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kalunov_sn\Documents\0\"/>
    </mc:Choice>
  </mc:AlternateContent>
  <bookViews>
    <workbookView xWindow="3120" yWindow="315" windowWidth="42540" windowHeight="11955" tabRatio="852" activeTab="2"/>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ТС. Т-подкл(инд)" sheetId="21" state="hidden" r:id="rId20"/>
    <sheet name="ХВС. Т-пит" sheetId="22" state="hidden" r:id="rId21"/>
    <sheet name="ХВС. Т-тех" sheetId="23" state="hidden" r:id="rId22"/>
    <sheet name="ХВС. Т-транс" sheetId="24" state="hidden" r:id="rId23"/>
    <sheet name="ХВС. Т-подвоз"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r:id="rId38"/>
    <sheet name="Ограничения" sheetId="40" state="hidden" r:id="rId39"/>
    <sheet name="ИП" sheetId="41" r:id="rId40"/>
    <sheet name="ИП. Детализация" sheetId="42" r:id="rId41"/>
    <sheet name="ИП. Финансовый план" sheetId="43" state="hidden" r:id="rId42"/>
    <sheet name="ИП. КНЭ" sheetId="44" r:id="rId43"/>
    <sheet name="ТП" sheetId="45" state="hidden" r:id="rId44"/>
    <sheet name="Договоры" sheetId="46" state="hidden"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Проверка" sheetId="60" state="hidden" r:id="rId58"/>
    <sheet name="et_union_hor" sheetId="61" state="hidden" r:id="rId59"/>
    <sheet name="DATA_FORMS" sheetId="62" state="hidden" r:id="rId60"/>
    <sheet name="DATA_NPA" sheetId="63" state="hidden" r:id="rId61"/>
    <sheet name="Т-ТЭ | потр" sheetId="64" state="hidden" r:id="rId62"/>
    <sheet name="modMainProcedures" sheetId="65" state="hidden" r:id="rId63"/>
    <sheet name="modB_FHD" sheetId="66" state="hidden" r:id="rId64"/>
    <sheet name="modB_FHD20" sheetId="67" state="hidden" r:id="rId65"/>
    <sheet name="modB_KNE" sheetId="68" state="hidden" r:id="rId66"/>
    <sheet name="modIP_MAIN" sheetId="69" state="hidden" r:id="rId67"/>
    <sheet name="modIP_QRE" sheetId="70" state="hidden" r:id="rId68"/>
    <sheet name="modIP_DETAILED" sheetId="71" state="hidden" r:id="rId69"/>
    <sheet name="et_union_vert" sheetId="72" state="hidden" r:id="rId70"/>
    <sheet name="Легенда" sheetId="73" state="hidden" r:id="rId71"/>
    <sheet name="modfrmListIP" sheetId="74" state="hidden" r:id="rId72"/>
    <sheet name="modfrmActivity" sheetId="75" state="hidden" r:id="rId73"/>
    <sheet name="REESTR_ORG" sheetId="76" state="hidden" r:id="rId74"/>
    <sheet name="REESTR_MO" sheetId="77" state="hidden" r:id="rId75"/>
    <sheet name="REESTR_IP" sheetId="78" state="hidden" r:id="rId76"/>
    <sheet name="REESTR_OBJ_INFR" sheetId="79" state="hidden" r:id="rId77"/>
    <sheet name="REESTR_DS" sheetId="80" state="hidden" r:id="rId78"/>
    <sheet name="REESTR_VT" sheetId="81" state="hidden" r:id="rId79"/>
    <sheet name="REESTR_VED" sheetId="82" state="hidden" r:id="rId80"/>
    <sheet name="REESTR_MO_FILTER" sheetId="83" state="hidden" r:id="rId81"/>
    <sheet name="REESTR_LINK" sheetId="84" state="hidden" r:id="rId82"/>
    <sheet name="modSheetMain" sheetId="85" state="hidden" r:id="rId83"/>
    <sheet name="modfrmReportMode" sheetId="86" state="hidden" r:id="rId84"/>
    <sheet name="modfrmReestrObj" sheetId="87" state="hidden" r:id="rId85"/>
    <sheet name="AllSheetsInThisWorkbook" sheetId="88" state="hidden" r:id="rId86"/>
    <sheet name="modInfo" sheetId="89" state="hidden" r:id="rId87"/>
  </sheets>
  <definedNames>
    <definedName name="_xlnm._FilterDatabase" localSheetId="57">Проверка!$B$4:$E$5</definedName>
    <definedName name="anscount">1</definedName>
    <definedName name="B_FHD_CHECK_INDEX_1">'Показатели ФХД'!$L$78</definedName>
    <definedName name="B_FHD_CHECK_INDEX_2">'Показатели ФХД'!$L$80</definedName>
    <definedName name="B_FHD_COSTS_INDEX_1">'Показатели ФХД'!$H$77:$J$77</definedName>
    <definedName name="B_FHD_COSTS_INDEX_2">'Показатели ФХД'!$H$79:$J$79</definedName>
    <definedName name="B_FHD_DATA_TOP80_ACTIVITY">'Показатели ФХД'!$H$98:$J$98</definedName>
    <definedName name="B_FHD_diff_1">'Показатели ФХД'!$I$25:$I$27</definedName>
    <definedName name="B_FHD_FLAG_DIFFERENTIATION">'Показатели ФХД'!$H$24:$J$24</definedName>
    <definedName name="B_FHD_FLAG_INDEX_1">'Показатели ФХД'!$H$78:$J$78</definedName>
    <definedName name="B_FHD_FLAG_INDEX_2">'Показатели ФХД'!$H$80:$J$80</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ФХД'!$99:$107</definedName>
    <definedName name="BLOCK_POK_FHD_COLDVSNA_P2">'Показатели ФХД'!$295:$299</definedName>
    <definedName name="BLOCK_POK_FHD_HEAT_ONLY_REG_ORG_P1">'Показатели ФХД'!$68:$69</definedName>
    <definedName name="BLOCK_POK_FHD_HEAT_ONLY_REG_ORG_P2">'Показатели ФХД'!$97:$311</definedName>
    <definedName name="BLOCK_POK_FHD_HEAT_P1">'Показатели ФХД'!$33:$52</definedName>
    <definedName name="BLOCK_POK_FHD_HEAT_P2">'Показатели ФХД'!$89:$89</definedName>
    <definedName name="BLOCK_POK_FHD_HEAT_P3">'Показатели ФХД'!$116:$291</definedName>
    <definedName name="BLOCK_POK_FHD_HEAT_P4">'Показатели ФХД'!$293:$293</definedName>
    <definedName name="BLOCK_POK_FHD_HEAT_P5">'Показатели ФХД'!$300:$310</definedName>
    <definedName name="BLOCK_POK_FHD_HEAT_P6">'Показатели ФХД'!$59:$59</definedName>
    <definedName name="BLOCK_POK_FHD_HOTVSNA_P1">'Показатели ФХД'!$53:$55</definedName>
    <definedName name="BLOCK_POK_FHD_HOTVSNA_P2">'Показатели ФХД'!$108:$112</definedName>
    <definedName name="BLOCK_POK_FHD_NOT_HEAT_P1">'Показатели ФХД'!$79:$80</definedName>
    <definedName name="BLOCK_POK_FHD_NOT_HEAT_P2">'Показатели ФХД'!$97:$97</definedName>
    <definedName name="BLOCK_POK_FHD_NOT_HOTVSNA">'Показатели ФХД'!$60:$60</definedName>
    <definedName name="BLOCK_POK_FHD_VOTV_P1">'Показатели ФХД'!$113:$115</definedName>
    <definedName name="BLOCK_POK_FHD_VSNA">'Показатели ФХД'!$294:$294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территорий'!$E$33:$I$33</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Детализация'!$14:$131</definedName>
    <definedName name="IP_DETAILED_ip_51">'ИП. Детализация'!#REF!</definedName>
    <definedName name="IP_DETAILED_ip_511">'ИП. Детализация'!#REF!</definedName>
    <definedName name="IP_DETAILED_ip_5111">'ИП. Детализация'!$132:$419</definedName>
    <definedName name="IP_DETAILED_ip_51111">'ИП. Детализация'!$420:$531</definedName>
    <definedName name="IP_DETAILED_ip_511111">'ИП. Детализация'!$532:$643</definedName>
    <definedName name="IP_DETAILED_ip_5111111">'ИП. Детализация'!$644:$678</definedName>
    <definedName name="IP_DETAILED_ip_51111111">'ИП. Детализация'!$679:$725</definedName>
    <definedName name="IP_DETAILED_ip_511111111">'ИП. Детализация'!$726:$759</definedName>
    <definedName name="IP_DETAILED_ip_5111111111">'ИП. Детализация'!$760:$925</definedName>
    <definedName name="IP_DETAILED_ip_51111111111">'ИП. Детализация'!$926:$959</definedName>
    <definedName name="IP_DETAILED_IST_FIN_FACT_COLUMN_MARKER">'ИП. Детализация'!$AD$7</definedName>
    <definedName name="IP_DETAILED_LIST_IP_ID">'ИП. Детализация'!$A$960:$A$960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план'!$K$11:$S$11</definedName>
    <definedName name="IP_FIN_PLAN_ip_51">'ИП. Финансовый план'!#REF!</definedName>
    <definedName name="IP_FIN_PLAN_ip_511">'ИП. Финансовый план'!#REF!</definedName>
    <definedName name="IP_FIN_PLAN_ip_5111">'ИП. Финансовый план'!$T$11:$AG$11</definedName>
    <definedName name="IP_FIN_PLAN_ip_51111">'ИП. Финансовый план'!$AH$11:$AS$11</definedName>
    <definedName name="IP_FIN_PLAN_ip_511111">'ИП. Финансовый план'!$AT$11:$BE$11</definedName>
    <definedName name="IP_FIN_PLAN_ip_5111111">'ИП. Финансовый план'!$BF$11:$BJ$11</definedName>
    <definedName name="IP_FIN_PLAN_ip_51111111">'ИП. Финансовый план'!$BK$11:$BP$11</definedName>
    <definedName name="IP_FIN_PLAN_ip_511111111">'ИП. Финансовый план'!$BQ$11:$BU$11</definedName>
    <definedName name="IP_FIN_PLAN_ip_5111111111">'ИП. Финансовый план'!$BV$11:$CL$11</definedName>
    <definedName name="IP_FIN_PLAN_ip_51111111111">'ИП. Финансовый план'!$CM$11:$CQ$11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ИП!$I$11:$I$31</definedName>
    <definedName name="IP_MAIN_CHANGE_DATE">ИП!$J$11:$J$31</definedName>
    <definedName name="IP_MAIN_CLAIM">ИП!$K$11:$K$31</definedName>
    <definedName name="IP_MAIN_DATE_PARKING">ИП!$L$5</definedName>
    <definedName name="IP_MAIN_DELETE_HL_COLUMN_MARKER">ИП!$E$7</definedName>
    <definedName name="IP_MAIN_DIFFERENTIATION_EVENTS_FLAG">ИП!$H$11:$H$31</definedName>
    <definedName name="IP_MAIN_END_DATE">ИП!$O$11:$O$31</definedName>
    <definedName name="IP_MAIN_FLAG_KS">ИП!$Y$11:$Y$31</definedName>
    <definedName name="IP_MAIN_FLAG_KS_COLUMN_MARKER">ИП!$Y$7</definedName>
    <definedName name="IP_MAIN_ip_5">ИП!$13:$14</definedName>
    <definedName name="IP_MAIN_ip_51">ИП!#REF!</definedName>
    <definedName name="IP_MAIN_ip_511">ИП!#REF!</definedName>
    <definedName name="IP_MAIN_ip_5111">ИП!$15:$16</definedName>
    <definedName name="IP_MAIN_ip_51111">ИП!$17:$18</definedName>
    <definedName name="IP_MAIN_ip_511111">ИП!$19:$20</definedName>
    <definedName name="IP_MAIN_ip_5111111">ИП!$21:$22</definedName>
    <definedName name="IP_MAIN_ip_51111111">ИП!$23:$24</definedName>
    <definedName name="IP_MAIN_ip_511111111">ИП!$25:$26</definedName>
    <definedName name="IP_MAIN_ip_5111111111">ИП!$27:$28</definedName>
    <definedName name="IP_MAIN_ip_51111111111">ИП!$29:$30</definedName>
    <definedName name="IP_MAIN_IP_FIN_PLAN_VISIBLE_FLAG">ИП!$H$33</definedName>
    <definedName name="IP_MAIN_LIST_IP_ID">ИП!$AD$11:$AD$31</definedName>
    <definedName name="IP_MAIN_LIST_NAME_IP">ИП!$G$11:$G$31</definedName>
    <definedName name="IP_MAIN_PERIOD_REALIZ_DATE">ИП!$P$11:$P$31</definedName>
    <definedName name="IP_MAIN_PR_IP_CHANGE_DATE">ИП!$X$11:$X$31</definedName>
    <definedName name="IP_MAIN_PR_IP_DATE">ИП!$T$11:$T$31</definedName>
    <definedName name="IP_MAIN_PR_IP_NAME">ИП!$Q$11:$Q$31</definedName>
    <definedName name="IP_MAIN_PR_IP_NUMBER">ИП!$S$11:$S$31</definedName>
    <definedName name="IP_MAIN_PR_IP_TYPE">ИП!$R$11:$R$31</definedName>
    <definedName name="IP_MAIN_START_DATE">ИП!$N$11:$N$31</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КНЭ'!$21:$25</definedName>
    <definedName name="IP_QRE_ip_51">'ИП. КНЭ'!#REF!</definedName>
    <definedName name="IP_QRE_ip_511">'ИП. КНЭ'!#REF!</definedName>
    <definedName name="IP_QRE_ip_5111">'ИП. КНЭ'!$26:$32</definedName>
    <definedName name="IP_QRE_ip_51111">'ИП. КНЭ'!$33:$35</definedName>
    <definedName name="IP_QRE_ip_511111">'ИП. КНЭ'!$36:$38</definedName>
    <definedName name="IP_QRE_ip_5111111">'ИП. КНЭ'!$39:$41</definedName>
    <definedName name="IP_QRE_ip_51111111">'ИП. КНЭ'!$42:$44</definedName>
    <definedName name="IP_QRE_ip_511111111">'ИП. КНЭ'!$45:$47</definedName>
    <definedName name="IP_QRE_ip_5111111111">'ИП. КНЭ'!$48:$50</definedName>
    <definedName name="IP_QRE_ip_51111111111">'ИП. КНЭ'!$51:$53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ИП!$E$11:$E$31</definedName>
    <definedName name="pDel_IP_MAIN_PROPERTY">ИП!$Z$11:$Z$31</definedName>
    <definedName name="pDel_IP_QRE_CLAIM">'ИП. КНЭ'!$E$18:$E$20</definedName>
    <definedName name="pDel_List07">'Сведения об изменении'!$C$11:$C$13</definedName>
    <definedName name="pDel_LT_AREA">'Список территорий'!$C$12:$C$33</definedName>
    <definedName name="pDel_LT_MO">'Список территорий'!$D$11:$D$33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ФХД'!$F$88</definedName>
    <definedName name="pIns_B_FHD_3">'Показатели ФХД'!$F$281</definedName>
    <definedName name="pIns_B_FHD_4">'Показатели ФХД'!$F$299</definedName>
    <definedName name="pIns_B_FHD_5">'Показатели ФХД'!$F$302</definedName>
    <definedName name="pIns_B_FHD_6">'Показатели ФХД'!$F$305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'ИП. Детализация'!$F$960</definedName>
    <definedName name="pIns_IP_FIN_PLAN">'ИП. Финансовый план'!$CR$8</definedName>
    <definedName name="pIns_IP_MAIN">ИП!$G$31</definedName>
    <definedName name="pIns_IP_QRE">'ИП. КНЭ'!$F$54</definedName>
    <definedName name="pIns_List07">'Сведения об изменении'!$E$13</definedName>
    <definedName name="pIns_LT_AREA">'Список территорий'!$G$33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REESTR_OBJ_INFR!$A$2:$AL$429</definedName>
    <definedName name="REESTR_IP_RANGE">REESTR_IP!$A$2:$I$26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ФХД'!$J$311</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Детализация'!$AH$960</definedName>
    <definedName name="tblEnd_1_IP_FIN_PLAN">'ИП. Финансовый план'!$CR$58</definedName>
    <definedName name="tblEnd_1_IP_MAIN">ИП!$AB$32</definedName>
    <definedName name="tblEnd_1_IP_QRE">'ИП. КНЭ'!$FX$54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территорий'!$G$13:$I$31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территорий'!$E$11:$I$33</definedName>
    <definedName name="TERRITORY_ID">TEHSHEET!$E$56</definedName>
    <definedName name="TERRITORY_LIST_ID">'Список территорий'!$F$11:$F$33</definedName>
    <definedName name="TERRITORY_MO_LIST">'Список территорий'!$H$11:$H$33</definedName>
    <definedName name="TERRITORY_MR_LIST">'Список территорий'!$G$11:$G$33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E310" i="33" s="1"/>
  <c r="N100" i="63"/>
  <c r="K100" i="63"/>
  <c r="J100" i="63"/>
  <c r="M100" i="63" s="1"/>
  <c r="I100" i="63"/>
  <c r="L100" i="63" s="1"/>
  <c r="K99" i="63"/>
  <c r="N99" i="63" s="1"/>
  <c r="J99" i="63"/>
  <c r="M99" i="63" s="1"/>
  <c r="I99" i="63"/>
  <c r="L99" i="63" s="1"/>
  <c r="E308" i="33" s="1"/>
  <c r="K98" i="63"/>
  <c r="N98" i="63" s="1"/>
  <c r="J307" i="33" s="1"/>
  <c r="J98" i="63"/>
  <c r="M98" i="63" s="1"/>
  <c r="I98" i="63"/>
  <c r="L98" i="63" s="1"/>
  <c r="K97" i="63"/>
  <c r="N97" i="63" s="1"/>
  <c r="J97" i="63"/>
  <c r="M97" i="63" s="1"/>
  <c r="I97" i="63"/>
  <c r="L97" i="63" s="1"/>
  <c r="E306" i="33" s="1"/>
  <c r="K96" i="63"/>
  <c r="N96" i="63" s="1"/>
  <c r="J303" i="33" s="1"/>
  <c r="J96" i="63"/>
  <c r="M96" i="63" s="1"/>
  <c r="I96" i="63"/>
  <c r="L96" i="63" s="1"/>
  <c r="K95" i="63"/>
  <c r="N95" i="63" s="1"/>
  <c r="J95" i="63"/>
  <c r="M95" i="63" s="1"/>
  <c r="I95" i="63"/>
  <c r="L95" i="63" s="1"/>
  <c r="E300" i="33" s="1"/>
  <c r="E301" i="33" s="1"/>
  <c r="K94" i="63"/>
  <c r="N94" i="63" s="1"/>
  <c r="J297" i="33" s="1"/>
  <c r="J94" i="63"/>
  <c r="M94" i="63" s="1"/>
  <c r="I94" i="63"/>
  <c r="L94" i="63" s="1"/>
  <c r="K93" i="63"/>
  <c r="N93" i="63" s="1"/>
  <c r="J93" i="63"/>
  <c r="M93" i="63" s="1"/>
  <c r="I93" i="63"/>
  <c r="L93" i="63" s="1"/>
  <c r="E296" i="33" s="1"/>
  <c r="K92" i="63"/>
  <c r="N92" i="63" s="1"/>
  <c r="J295" i="33" s="1"/>
  <c r="J92" i="63"/>
  <c r="M92" i="63" s="1"/>
  <c r="I92" i="63"/>
  <c r="L92" i="63" s="1"/>
  <c r="K91" i="63"/>
  <c r="N91" i="63" s="1"/>
  <c r="J91" i="63"/>
  <c r="M91" i="63" s="1"/>
  <c r="I91" i="63"/>
  <c r="L91" i="63" s="1"/>
  <c r="E294" i="33" s="1"/>
  <c r="K90" i="63"/>
  <c r="N90" i="63" s="1"/>
  <c r="J293" i="33" s="1"/>
  <c r="J90" i="63"/>
  <c r="M90" i="63" s="1"/>
  <c r="I90" i="63"/>
  <c r="L90" i="63" s="1"/>
  <c r="K89" i="63"/>
  <c r="N89" i="63" s="1"/>
  <c r="J89" i="63"/>
  <c r="M89" i="63" s="1"/>
  <c r="I89" i="63"/>
  <c r="L89" i="63" s="1"/>
  <c r="E292" i="33" s="1"/>
  <c r="K88" i="63"/>
  <c r="N88" i="63" s="1"/>
  <c r="J291" i="33" s="1"/>
  <c r="J88" i="63"/>
  <c r="M88" i="63" s="1"/>
  <c r="I88" i="63"/>
  <c r="L88" i="63" s="1"/>
  <c r="K87" i="63"/>
  <c r="N87" i="63" s="1"/>
  <c r="J87" i="63"/>
  <c r="M87" i="63" s="1"/>
  <c r="I87" i="63"/>
  <c r="L87" i="63" s="1"/>
  <c r="E290" i="33" s="1"/>
  <c r="K86" i="63"/>
  <c r="N86" i="63" s="1"/>
  <c r="J289" i="33" s="1"/>
  <c r="J86" i="63"/>
  <c r="M86" i="63" s="1"/>
  <c r="I86" i="63"/>
  <c r="L86" i="63" s="1"/>
  <c r="K85" i="63"/>
  <c r="N85" i="63" s="1"/>
  <c r="J85" i="63"/>
  <c r="M85" i="63" s="1"/>
  <c r="I85" i="63"/>
  <c r="L85" i="63" s="1"/>
  <c r="E288" i="33" s="1"/>
  <c r="K84" i="63"/>
  <c r="N84" i="63" s="1"/>
  <c r="J287" i="33" s="1"/>
  <c r="J84" i="63"/>
  <c r="M84" i="63" s="1"/>
  <c r="I84" i="63"/>
  <c r="L84" i="63" s="1"/>
  <c r="L83" i="63"/>
  <c r="K83" i="63"/>
  <c r="N83" i="63" s="1"/>
  <c r="J83" i="63"/>
  <c r="M83" i="63" s="1"/>
  <c r="F286" i="33" s="1"/>
  <c r="I83" i="63"/>
  <c r="K82" i="63"/>
  <c r="N82" i="63" s="1"/>
  <c r="J285" i="33" s="1"/>
  <c r="J82" i="63"/>
  <c r="M82" i="63" s="1"/>
  <c r="I82" i="63"/>
  <c r="L82" i="63" s="1"/>
  <c r="M81" i="63"/>
  <c r="K81" i="63"/>
  <c r="N81" i="63" s="1"/>
  <c r="J81" i="63"/>
  <c r="I81" i="63"/>
  <c r="L81" i="63" s="1"/>
  <c r="E284" i="33" s="1"/>
  <c r="N80" i="63"/>
  <c r="K80" i="63"/>
  <c r="J80" i="63"/>
  <c r="M80" i="63" s="1"/>
  <c r="I80" i="63"/>
  <c r="L80" i="63" s="1"/>
  <c r="M79" i="63"/>
  <c r="K79" i="63"/>
  <c r="N79" i="63" s="1"/>
  <c r="J79" i="63"/>
  <c r="I79" i="63"/>
  <c r="L79" i="63" s="1"/>
  <c r="E282" i="33" s="1"/>
  <c r="N78" i="63"/>
  <c r="K78" i="63"/>
  <c r="J78" i="63"/>
  <c r="M78" i="63" s="1"/>
  <c r="I78" i="63"/>
  <c r="L78" i="63" s="1"/>
  <c r="K77" i="63"/>
  <c r="N77" i="63" s="1"/>
  <c r="J77" i="63"/>
  <c r="M77" i="63" s="1"/>
  <c r="F115" i="33" s="1"/>
  <c r="I77" i="63"/>
  <c r="L77" i="63" s="1"/>
  <c r="E115" i="33" s="1"/>
  <c r="K76" i="63"/>
  <c r="N76" i="63" s="1"/>
  <c r="J114" i="33" s="1"/>
  <c r="J76" i="63"/>
  <c r="M76" i="63" s="1"/>
  <c r="I76" i="63"/>
  <c r="L76" i="63" s="1"/>
  <c r="L75" i="63"/>
  <c r="K75" i="63"/>
  <c r="N75" i="63" s="1"/>
  <c r="J75" i="63"/>
  <c r="M75" i="63" s="1"/>
  <c r="F113" i="33" s="1"/>
  <c r="I75" i="63"/>
  <c r="K74" i="63"/>
  <c r="N74" i="63" s="1"/>
  <c r="J112" i="33" s="1"/>
  <c r="J74" i="63"/>
  <c r="M74" i="63" s="1"/>
  <c r="I74" i="63"/>
  <c r="L74" i="63" s="1"/>
  <c r="M73" i="63"/>
  <c r="K73" i="63"/>
  <c r="N73" i="63" s="1"/>
  <c r="J73" i="63"/>
  <c r="I73" i="63"/>
  <c r="L73" i="63" s="1"/>
  <c r="E111" i="33" s="1"/>
  <c r="N72" i="63"/>
  <c r="K72" i="63"/>
  <c r="J72" i="63"/>
  <c r="M72" i="63" s="1"/>
  <c r="I72" i="63"/>
  <c r="L72" i="63" s="1"/>
  <c r="M71" i="63"/>
  <c r="K71" i="63"/>
  <c r="N71" i="63" s="1"/>
  <c r="J71" i="63"/>
  <c r="I71" i="63"/>
  <c r="L71" i="63" s="1"/>
  <c r="E109" i="33" s="1"/>
  <c r="N70" i="63"/>
  <c r="K70" i="63"/>
  <c r="J70" i="63"/>
  <c r="M70" i="63" s="1"/>
  <c r="I70" i="63"/>
  <c r="L70" i="63" s="1"/>
  <c r="K69" i="63"/>
  <c r="N69" i="63" s="1"/>
  <c r="J69" i="63"/>
  <c r="M69" i="63" s="1"/>
  <c r="F107" i="33" s="1"/>
  <c r="I69" i="63"/>
  <c r="L69" i="63" s="1"/>
  <c r="E107" i="33" s="1"/>
  <c r="K68" i="63"/>
  <c r="N68" i="63" s="1"/>
  <c r="J106" i="33" s="1"/>
  <c r="J68" i="63"/>
  <c r="M68" i="63" s="1"/>
  <c r="I68" i="63"/>
  <c r="L68" i="63" s="1"/>
  <c r="L67" i="63"/>
  <c r="K67" i="63"/>
  <c r="N67" i="63" s="1"/>
  <c r="J67" i="63"/>
  <c r="M67" i="63" s="1"/>
  <c r="F105" i="33" s="1"/>
  <c r="I67" i="63"/>
  <c r="K66" i="63"/>
  <c r="N66" i="63" s="1"/>
  <c r="J104" i="33" s="1"/>
  <c r="J66" i="63"/>
  <c r="M66" i="63" s="1"/>
  <c r="I66" i="63"/>
  <c r="L66" i="63" s="1"/>
  <c r="M65" i="63"/>
  <c r="K65" i="63"/>
  <c r="N65" i="63" s="1"/>
  <c r="J65" i="63"/>
  <c r="I65" i="63"/>
  <c r="L65" i="63" s="1"/>
  <c r="E103" i="33" s="1"/>
  <c r="N64" i="63"/>
  <c r="K64" i="63"/>
  <c r="J64" i="63"/>
  <c r="M64" i="63" s="1"/>
  <c r="I64" i="63"/>
  <c r="L64" i="63" s="1"/>
  <c r="M63" i="63"/>
  <c r="K63" i="63"/>
  <c r="N63" i="63" s="1"/>
  <c r="J63" i="63"/>
  <c r="I63" i="63"/>
  <c r="L63" i="63" s="1"/>
  <c r="E101" i="33" s="1"/>
  <c r="N62" i="63"/>
  <c r="K62" i="63"/>
  <c r="J62" i="63"/>
  <c r="M62" i="63" s="1"/>
  <c r="I62" i="63"/>
  <c r="L62" i="63" s="1"/>
  <c r="K61" i="63"/>
  <c r="N61" i="63" s="1"/>
  <c r="J61" i="63"/>
  <c r="M61" i="63" s="1"/>
  <c r="F99" i="33" s="1"/>
  <c r="I61" i="63"/>
  <c r="L61" i="63" s="1"/>
  <c r="E99" i="33" s="1"/>
  <c r="K60" i="63"/>
  <c r="N60" i="63" s="1"/>
  <c r="J98" i="33" s="1"/>
  <c r="J60" i="63"/>
  <c r="M60" i="63" s="1"/>
  <c r="I60" i="63"/>
  <c r="L60" i="63" s="1"/>
  <c r="L59" i="63"/>
  <c r="K59" i="63"/>
  <c r="N59" i="63" s="1"/>
  <c r="J59" i="63"/>
  <c r="M59" i="63" s="1"/>
  <c r="F97" i="33" s="1"/>
  <c r="I59" i="63"/>
  <c r="T58" i="63"/>
  <c r="J58" i="63" s="1"/>
  <c r="M58" i="63" s="1"/>
  <c r="L58" i="63"/>
  <c r="K58" i="63"/>
  <c r="N58" i="63" s="1"/>
  <c r="I58" i="63"/>
  <c r="T57" i="63"/>
  <c r="J57" i="63" s="1"/>
  <c r="M57" i="63" s="1"/>
  <c r="F95" i="33" s="1"/>
  <c r="N57" i="63"/>
  <c r="K57" i="63"/>
  <c r="I57" i="63"/>
  <c r="L57" i="63" s="1"/>
  <c r="T56" i="63"/>
  <c r="J56" i="63" s="1"/>
  <c r="M56" i="63" s="1"/>
  <c r="F94" i="33" s="1"/>
  <c r="K56" i="63"/>
  <c r="N56" i="63" s="1"/>
  <c r="J94" i="33" s="1"/>
  <c r="I56" i="63"/>
  <c r="L56" i="63" s="1"/>
  <c r="T55" i="63"/>
  <c r="J55" i="63" s="1"/>
  <c r="M55" i="63" s="1"/>
  <c r="L55" i="63"/>
  <c r="K55" i="63"/>
  <c r="N55" i="63" s="1"/>
  <c r="I55" i="63"/>
  <c r="K54" i="63"/>
  <c r="N54" i="63" s="1"/>
  <c r="J92" i="33" s="1"/>
  <c r="J54" i="63"/>
  <c r="M54" i="63" s="1"/>
  <c r="I54" i="63"/>
  <c r="L54" i="63" s="1"/>
  <c r="L53" i="63"/>
  <c r="K53" i="63"/>
  <c r="N53" i="63" s="1"/>
  <c r="J53" i="63"/>
  <c r="M53" i="63" s="1"/>
  <c r="F91" i="33" s="1"/>
  <c r="I53" i="63"/>
  <c r="K52" i="63"/>
  <c r="N52" i="63" s="1"/>
  <c r="J90" i="33" s="1"/>
  <c r="J52" i="63"/>
  <c r="M52" i="63" s="1"/>
  <c r="I52" i="63"/>
  <c r="L52" i="63" s="1"/>
  <c r="M51" i="63"/>
  <c r="L51" i="63"/>
  <c r="K51" i="63"/>
  <c r="N51" i="63" s="1"/>
  <c r="J51" i="63"/>
  <c r="I51" i="63"/>
  <c r="K50" i="63"/>
  <c r="N50" i="63" s="1"/>
  <c r="J81" i="33" s="1"/>
  <c r="J50" i="63"/>
  <c r="M50" i="63" s="1"/>
  <c r="I50" i="63"/>
  <c r="L50" i="63" s="1"/>
  <c r="K49" i="63"/>
  <c r="N49" i="63" s="1"/>
  <c r="J49" i="63"/>
  <c r="M49" i="63" s="1"/>
  <c r="F80" i="33" s="1"/>
  <c r="I49" i="63"/>
  <c r="L49" i="63" s="1"/>
  <c r="E80" i="33" s="1"/>
  <c r="K80" i="33" s="1"/>
  <c r="N48" i="63"/>
  <c r="K48" i="63"/>
  <c r="J48" i="63"/>
  <c r="M48" i="63" s="1"/>
  <c r="I48" i="63"/>
  <c r="L48" i="63" s="1"/>
  <c r="K47" i="63"/>
  <c r="N47" i="63" s="1"/>
  <c r="J47" i="63"/>
  <c r="M47" i="63" s="1"/>
  <c r="F78" i="33" s="1"/>
  <c r="I47" i="63"/>
  <c r="L47" i="63" s="1"/>
  <c r="E78" i="33" s="1"/>
  <c r="K78" i="33" s="1"/>
  <c r="T46" i="63"/>
  <c r="J46" i="63" s="1"/>
  <c r="M46" i="63" s="1"/>
  <c r="L46" i="63"/>
  <c r="K46" i="63"/>
  <c r="N46" i="63" s="1"/>
  <c r="I46" i="63"/>
  <c r="M45" i="63"/>
  <c r="K45" i="63"/>
  <c r="N45" i="63" s="1"/>
  <c r="J76" i="33" s="1"/>
  <c r="J45" i="63"/>
  <c r="I45" i="63"/>
  <c r="L45" i="63" s="1"/>
  <c r="L44" i="63"/>
  <c r="K44" i="63"/>
  <c r="N44" i="63" s="1"/>
  <c r="J44" i="63"/>
  <c r="M44" i="63" s="1"/>
  <c r="I44" i="63"/>
  <c r="N43" i="63"/>
  <c r="M43" i="63"/>
  <c r="K43" i="63"/>
  <c r="J43" i="63"/>
  <c r="I43" i="63"/>
  <c r="L43" i="63" s="1"/>
  <c r="K42" i="63"/>
  <c r="N42" i="63" s="1"/>
  <c r="J42" i="63"/>
  <c r="M42" i="63" s="1"/>
  <c r="I42" i="63"/>
  <c r="L42" i="63" s="1"/>
  <c r="E73" i="33" s="1"/>
  <c r="K73" i="33" s="1"/>
  <c r="N41" i="63"/>
  <c r="K41" i="63"/>
  <c r="J41" i="63"/>
  <c r="M41" i="63" s="1"/>
  <c r="F72" i="33" s="1"/>
  <c r="I41" i="63"/>
  <c r="L41" i="63" s="1"/>
  <c r="K40" i="63"/>
  <c r="N40" i="63" s="1"/>
  <c r="J40" i="63"/>
  <c r="M40" i="63" s="1"/>
  <c r="I40" i="63"/>
  <c r="L40" i="63" s="1"/>
  <c r="E71" i="33" s="1"/>
  <c r="K71" i="33" s="1"/>
  <c r="K39" i="63"/>
  <c r="N39" i="63" s="1"/>
  <c r="J70" i="33" s="1"/>
  <c r="J39" i="63"/>
  <c r="M39" i="63" s="1"/>
  <c r="F70" i="33" s="1"/>
  <c r="I39" i="63"/>
  <c r="L39" i="63" s="1"/>
  <c r="K38" i="63"/>
  <c r="N38" i="63" s="1"/>
  <c r="J38" i="63"/>
  <c r="M38" i="63" s="1"/>
  <c r="I38" i="63"/>
  <c r="L38" i="63" s="1"/>
  <c r="E69" i="33" s="1"/>
  <c r="K69" i="33" s="1"/>
  <c r="M37" i="63"/>
  <c r="K37" i="63"/>
  <c r="N37" i="63" s="1"/>
  <c r="J68" i="33" s="1"/>
  <c r="J37" i="63"/>
  <c r="I37" i="63"/>
  <c r="L37" i="63" s="1"/>
  <c r="L36" i="63"/>
  <c r="K36" i="63"/>
  <c r="N36" i="63" s="1"/>
  <c r="J36" i="63"/>
  <c r="M36" i="63" s="1"/>
  <c r="I36" i="63"/>
  <c r="T35" i="63"/>
  <c r="J35" i="63" s="1"/>
  <c r="M35" i="63" s="1"/>
  <c r="F66" i="33" s="1"/>
  <c r="N35" i="63"/>
  <c r="K35" i="63"/>
  <c r="I35" i="63"/>
  <c r="L35" i="63" s="1"/>
  <c r="K34" i="63"/>
  <c r="N34" i="63" s="1"/>
  <c r="J34" i="63"/>
  <c r="M34" i="63" s="1"/>
  <c r="F65" i="33" s="1"/>
  <c r="I34" i="63"/>
  <c r="L34" i="63" s="1"/>
  <c r="E65" i="33" s="1"/>
  <c r="K65" i="33" s="1"/>
  <c r="T33" i="63"/>
  <c r="J33" i="63" s="1"/>
  <c r="M33" i="63" s="1"/>
  <c r="K33" i="63"/>
  <c r="N33" i="63" s="1"/>
  <c r="I33" i="63"/>
  <c r="L33" i="63" s="1"/>
  <c r="E64" i="33" s="1"/>
  <c r="K64" i="33" s="1"/>
  <c r="T32" i="63"/>
  <c r="K32" i="63"/>
  <c r="N32" i="63" s="1"/>
  <c r="J63" i="33" s="1"/>
  <c r="J32" i="63"/>
  <c r="M32" i="63" s="1"/>
  <c r="I32" i="63"/>
  <c r="L32" i="63" s="1"/>
  <c r="L31" i="63"/>
  <c r="K31" i="63"/>
  <c r="N31" i="63" s="1"/>
  <c r="J31" i="63"/>
  <c r="M31" i="63" s="1"/>
  <c r="F62" i="33" s="1"/>
  <c r="I31" i="63"/>
  <c r="N30" i="63"/>
  <c r="K30" i="63"/>
  <c r="J30" i="63"/>
  <c r="M30" i="63" s="1"/>
  <c r="I30" i="63"/>
  <c r="L30" i="63" s="1"/>
  <c r="T29" i="63"/>
  <c r="J29" i="63" s="1"/>
  <c r="M29" i="63" s="1"/>
  <c r="F60" i="33" s="1"/>
  <c r="N29" i="63"/>
  <c r="K29" i="63"/>
  <c r="I29" i="63"/>
  <c r="L29" i="63" s="1"/>
  <c r="K28" i="63"/>
  <c r="N28" i="63" s="1"/>
  <c r="J28" i="63"/>
  <c r="M28" i="63" s="1"/>
  <c r="F59" i="33" s="1"/>
  <c r="I28" i="63"/>
  <c r="L28" i="63" s="1"/>
  <c r="E59" i="33" s="1"/>
  <c r="K59" i="33" s="1"/>
  <c r="M27" i="63"/>
  <c r="K27" i="63"/>
  <c r="N27" i="63" s="1"/>
  <c r="J58" i="33" s="1"/>
  <c r="J27" i="63"/>
  <c r="I27" i="63"/>
  <c r="L27" i="63" s="1"/>
  <c r="T26" i="63"/>
  <c r="K26" i="63"/>
  <c r="N26" i="63" s="1"/>
  <c r="J57" i="33" s="1"/>
  <c r="J26" i="63"/>
  <c r="M26" i="63" s="1"/>
  <c r="F57" i="33" s="1"/>
  <c r="I26" i="63"/>
  <c r="L26" i="63" s="1"/>
  <c r="E57" i="33" s="1"/>
  <c r="K57" i="33" s="1"/>
  <c r="L25" i="63"/>
  <c r="K25" i="63"/>
  <c r="N25" i="63" s="1"/>
  <c r="J56" i="33" s="1"/>
  <c r="J25" i="63"/>
  <c r="M25" i="63" s="1"/>
  <c r="I25" i="63"/>
  <c r="N24" i="63"/>
  <c r="K24" i="63"/>
  <c r="J24" i="63"/>
  <c r="M24" i="63" s="1"/>
  <c r="F55" i="33" s="1"/>
  <c r="I24" i="63"/>
  <c r="L24" i="63" s="1"/>
  <c r="E55" i="33" s="1"/>
  <c r="K55" i="33" s="1"/>
  <c r="K23" i="63"/>
  <c r="N23" i="63" s="1"/>
  <c r="J54" i="33" s="1"/>
  <c r="J23" i="63"/>
  <c r="M23" i="63" s="1"/>
  <c r="I23" i="63"/>
  <c r="L23" i="63" s="1"/>
  <c r="E54" i="33" s="1"/>
  <c r="K54" i="33" s="1"/>
  <c r="M22" i="63"/>
  <c r="K22" i="63"/>
  <c r="N22" i="63" s="1"/>
  <c r="J53" i="33" s="1"/>
  <c r="J22" i="63"/>
  <c r="I22" i="63"/>
  <c r="L22" i="63" s="1"/>
  <c r="E53" i="33" s="1"/>
  <c r="K53" i="33" s="1"/>
  <c r="N21" i="63"/>
  <c r="K21" i="63"/>
  <c r="J21" i="63"/>
  <c r="M21" i="63" s="1"/>
  <c r="I21" i="63"/>
  <c r="L21" i="63" s="1"/>
  <c r="E33" i="33" s="1"/>
  <c r="N20" i="63"/>
  <c r="L20" i="63"/>
  <c r="K20" i="63"/>
  <c r="J20" i="63"/>
  <c r="M20" i="63" s="1"/>
  <c r="F32" i="33" s="1"/>
  <c r="I20" i="63"/>
  <c r="N19" i="63"/>
  <c r="K19" i="63"/>
  <c r="J19" i="63"/>
  <c r="M19" i="63" s="1"/>
  <c r="I19" i="63"/>
  <c r="L19" i="63" s="1"/>
  <c r="E31" i="33" s="1"/>
  <c r="K18" i="63"/>
  <c r="N18" i="63" s="1"/>
  <c r="J30" i="33" s="1"/>
  <c r="J18" i="63"/>
  <c r="M18" i="63" s="1"/>
  <c r="F30" i="33" s="1"/>
  <c r="I18" i="63"/>
  <c r="L18" i="63" s="1"/>
  <c r="E30" i="33" s="1"/>
  <c r="N16" i="63"/>
  <c r="N15" i="63"/>
  <c r="M15" i="63"/>
  <c r="N14" i="63"/>
  <c r="M14" i="63"/>
  <c r="N13" i="63"/>
  <c r="M13" i="63"/>
  <c r="N12" i="63"/>
  <c r="M12" i="63"/>
  <c r="N11" i="63"/>
  <c r="M11" i="63"/>
  <c r="N3" i="63"/>
  <c r="C34" i="62"/>
  <c r="C32" i="62"/>
  <c r="F5" i="44" s="1"/>
  <c r="C31" i="62"/>
  <c r="C30" i="62"/>
  <c r="C29" i="62"/>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R2" i="54"/>
  <c r="P2" i="54" a="1"/>
  <c r="P2" i="54" s="1"/>
  <c r="P9" i="53"/>
  <c r="N9" i="53" a="1"/>
  <c r="N9" i="53"/>
  <c r="J9" i="53"/>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I45" i="51" s="1"/>
  <c r="H48" i="51"/>
  <c r="F29" i="51" s="1"/>
  <c r="G48" i="51"/>
  <c r="I47" i="51"/>
  <c r="H47" i="51"/>
  <c r="G47" i="51"/>
  <c r="I46" i="51"/>
  <c r="K45" i="51"/>
  <c r="J45" i="51"/>
  <c r="G44" i="51"/>
  <c r="H46" i="51" s="1"/>
  <c r="G36" i="51"/>
  <c r="E31" i="62" s="1"/>
  <c r="F36" i="51"/>
  <c r="E24" i="52" s="1"/>
  <c r="F32" i="51"/>
  <c r="E32" i="51"/>
  <c r="E29" i="51"/>
  <c r="L5" i="51"/>
  <c r="L4" i="51"/>
  <c r="L3" i="51"/>
  <c r="I14" i="50"/>
  <c r="G14" i="50"/>
  <c r="G11" i="50"/>
  <c r="G10" i="50"/>
  <c r="G9" i="50"/>
  <c r="D6" i="50"/>
  <c r="E13" i="49"/>
  <c r="H12" i="49"/>
  <c r="E12" i="49"/>
  <c r="E11" i="49"/>
  <c r="E10" i="49"/>
  <c r="D6" i="49"/>
  <c r="D5" i="49"/>
  <c r="F269" i="48"/>
  <c r="F208" i="48"/>
  <c r="F147" i="48"/>
  <c r="M87" i="48"/>
  <c r="G17" i="48"/>
  <c r="F17" i="48"/>
  <c r="G16" i="48"/>
  <c r="F16" i="48"/>
  <c r="N7" i="48"/>
  <c r="N4" i="48"/>
  <c r="N1" i="48"/>
  <c r="E42" i="47"/>
  <c r="E32" i="47"/>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51" i="44"/>
  <c r="F48" i="44"/>
  <c r="F45" i="44"/>
  <c r="F42" i="44"/>
  <c r="F39" i="44"/>
  <c r="F36" i="44"/>
  <c r="F33" i="44"/>
  <c r="F26" i="44"/>
  <c r="F21" i="44"/>
  <c r="F6" i="44"/>
  <c r="CM57" i="43"/>
  <c r="BV57" i="43"/>
  <c r="BQ57" i="43"/>
  <c r="BK57" i="43"/>
  <c r="BF57" i="43"/>
  <c r="AT57" i="43"/>
  <c r="AH57" i="43"/>
  <c r="T57" i="43"/>
  <c r="K57" i="43"/>
  <c r="H57" i="43"/>
  <c r="CM56" i="43"/>
  <c r="BV56" i="43"/>
  <c r="BQ56" i="43"/>
  <c r="BK56" i="43"/>
  <c r="BF56" i="43"/>
  <c r="AT56" i="43"/>
  <c r="AH56" i="43"/>
  <c r="T56" i="43"/>
  <c r="K56" i="43"/>
  <c r="H56" i="43"/>
  <c r="CM55" i="43"/>
  <c r="BV55" i="43"/>
  <c r="BQ55" i="43"/>
  <c r="BK55" i="43"/>
  <c r="BF55" i="43"/>
  <c r="AT55" i="43"/>
  <c r="AH55" i="43"/>
  <c r="T55" i="43"/>
  <c r="K55" i="43"/>
  <c r="H55" i="43"/>
  <c r="CP54" i="43"/>
  <c r="CO54" i="43"/>
  <c r="CO48" i="43" s="1"/>
  <c r="CN54" i="43"/>
  <c r="CK54" i="43"/>
  <c r="CK48" i="43" s="1"/>
  <c r="CJ54" i="43"/>
  <c r="CI54" i="43"/>
  <c r="CH54" i="43"/>
  <c r="CG54" i="43"/>
  <c r="CG48" i="43" s="1"/>
  <c r="CF54" i="43"/>
  <c r="CE54" i="43"/>
  <c r="CD54" i="43"/>
  <c r="CC54" i="43"/>
  <c r="CB54" i="43"/>
  <c r="CA54" i="43"/>
  <c r="CA48" i="43" s="1"/>
  <c r="BZ54" i="43"/>
  <c r="BY54" i="43"/>
  <c r="BX54" i="43"/>
  <c r="BW54" i="43"/>
  <c r="BT54" i="43"/>
  <c r="BS54" i="43"/>
  <c r="BR54" i="43"/>
  <c r="BO54" i="43"/>
  <c r="BN54" i="43"/>
  <c r="BM54" i="43"/>
  <c r="BL54" i="43"/>
  <c r="BK54" i="43"/>
  <c r="BI54" i="43"/>
  <c r="BH54" i="43"/>
  <c r="BG54" i="43"/>
  <c r="BF54" i="43" s="1"/>
  <c r="BD54" i="43"/>
  <c r="BD48" i="43" s="1"/>
  <c r="BC54" i="43"/>
  <c r="BC48" i="43" s="1"/>
  <c r="BB54" i="43"/>
  <c r="BA54" i="43"/>
  <c r="BA48" i="43" s="1"/>
  <c r="AZ54" i="43"/>
  <c r="AZ48" i="43" s="1"/>
  <c r="AY54" i="43"/>
  <c r="AX54" i="43"/>
  <c r="AW54" i="43"/>
  <c r="AV54" i="43"/>
  <c r="AU54" i="43"/>
  <c r="AR54" i="43"/>
  <c r="AQ54" i="43"/>
  <c r="AP54" i="43"/>
  <c r="AO54" i="43"/>
  <c r="AN54" i="43"/>
  <c r="AM54" i="43"/>
  <c r="AM48" i="43" s="1"/>
  <c r="AL54" i="43"/>
  <c r="AK54" i="43"/>
  <c r="AJ54" i="43"/>
  <c r="AI54" i="43"/>
  <c r="AF54" i="43"/>
  <c r="AE54" i="43"/>
  <c r="AE48" i="43" s="1"/>
  <c r="AD54" i="43"/>
  <c r="AC54" i="43"/>
  <c r="AB54" i="43"/>
  <c r="AA54" i="43"/>
  <c r="Z54" i="43"/>
  <c r="Y54" i="43"/>
  <c r="Y48" i="43" s="1"/>
  <c r="X54" i="43"/>
  <c r="W54" i="43"/>
  <c r="V54" i="43"/>
  <c r="U54" i="43"/>
  <c r="U48" i="43" s="1"/>
  <c r="R54" i="43"/>
  <c r="Q54" i="43"/>
  <c r="P54" i="43"/>
  <c r="O54" i="43"/>
  <c r="N54" i="43"/>
  <c r="M54" i="43"/>
  <c r="L54" i="43"/>
  <c r="I54" i="43"/>
  <c r="H54" i="43" s="1"/>
  <c r="CM53" i="43"/>
  <c r="BV53" i="43"/>
  <c r="BQ53" i="43"/>
  <c r="BK53" i="43"/>
  <c r="BF53" i="43"/>
  <c r="AT53" i="43"/>
  <c r="AH53" i="43"/>
  <c r="T53" i="43"/>
  <c r="K53" i="43"/>
  <c r="H53" i="43"/>
  <c r="CM52" i="43"/>
  <c r="BV52" i="43"/>
  <c r="BQ52" i="43"/>
  <c r="BK52" i="43"/>
  <c r="BF52" i="43"/>
  <c r="AT52" i="43"/>
  <c r="AH52" i="43"/>
  <c r="T52" i="43"/>
  <c r="K52" i="43"/>
  <c r="H52" i="43"/>
  <c r="CM51" i="43"/>
  <c r="BV51" i="43"/>
  <c r="BQ51" i="43"/>
  <c r="BK51" i="43"/>
  <c r="BF51" i="43"/>
  <c r="AT51" i="43"/>
  <c r="AH51" i="43"/>
  <c r="T51" i="43"/>
  <c r="K51" i="43"/>
  <c r="H51" i="43"/>
  <c r="CM50" i="43"/>
  <c r="BV50" i="43"/>
  <c r="BQ50" i="43"/>
  <c r="BK50" i="43"/>
  <c r="BF50" i="43"/>
  <c r="AT50" i="43"/>
  <c r="AH50" i="43"/>
  <c r="T50" i="43"/>
  <c r="K50" i="43"/>
  <c r="H50" i="43"/>
  <c r="CP49" i="43"/>
  <c r="CP48" i="43" s="1"/>
  <c r="CO49" i="43"/>
  <c r="CN49" i="43"/>
  <c r="CM49" i="43" s="1"/>
  <c r="CK49" i="43"/>
  <c r="CJ49" i="43"/>
  <c r="CJ48" i="43" s="1"/>
  <c r="CI49" i="43"/>
  <c r="CH49" i="43"/>
  <c r="CG49" i="43"/>
  <c r="CF49" i="43"/>
  <c r="CF48" i="43" s="1"/>
  <c r="CE49" i="43"/>
  <c r="CD49" i="43"/>
  <c r="CC49" i="43"/>
  <c r="CC48" i="43" s="1"/>
  <c r="CB49" i="43"/>
  <c r="CA49" i="43"/>
  <c r="BZ49" i="43"/>
  <c r="BZ48" i="43" s="1"/>
  <c r="BY49" i="43"/>
  <c r="BX49" i="43"/>
  <c r="BX48" i="43" s="1"/>
  <c r="BW49" i="43"/>
  <c r="BW48" i="43" s="1"/>
  <c r="BT49" i="43"/>
  <c r="BT48" i="43" s="1"/>
  <c r="BS49" i="43"/>
  <c r="BR49" i="43"/>
  <c r="BR48" i="43" s="1"/>
  <c r="BO49" i="43"/>
  <c r="BN49" i="43"/>
  <c r="BM49" i="43"/>
  <c r="BM48" i="43" s="1"/>
  <c r="BK48" i="43" s="1"/>
  <c r="BL49" i="43"/>
  <c r="BL48" i="43" s="1"/>
  <c r="BI49" i="43"/>
  <c r="BH49" i="43"/>
  <c r="BG49" i="43"/>
  <c r="BG48" i="43" s="1"/>
  <c r="BD49" i="43"/>
  <c r="BC49" i="43"/>
  <c r="BB49" i="43"/>
  <c r="BA49" i="43"/>
  <c r="AZ49" i="43"/>
  <c r="AY49" i="43"/>
  <c r="AY48" i="43" s="1"/>
  <c r="AX49" i="43"/>
  <c r="AX48" i="43" s="1"/>
  <c r="AW49" i="43"/>
  <c r="AV49" i="43"/>
  <c r="AV48" i="43" s="1"/>
  <c r="AU49" i="43"/>
  <c r="AR49" i="43"/>
  <c r="AR48" i="43" s="1"/>
  <c r="AQ49" i="43"/>
  <c r="AQ48" i="43" s="1"/>
  <c r="AP49" i="43"/>
  <c r="AP48" i="43" s="1"/>
  <c r="AO49" i="43"/>
  <c r="AN49" i="43"/>
  <c r="AM49" i="43"/>
  <c r="AL49" i="43"/>
  <c r="AK49" i="43"/>
  <c r="AK48" i="43" s="1"/>
  <c r="AJ49" i="43"/>
  <c r="AI49" i="43"/>
  <c r="AF49" i="43"/>
  <c r="AF48" i="43" s="1"/>
  <c r="AE49" i="43"/>
  <c r="AD49" i="43"/>
  <c r="AD48" i="43" s="1"/>
  <c r="AC49" i="43"/>
  <c r="AC48" i="43" s="1"/>
  <c r="AB49" i="43"/>
  <c r="AA49" i="43"/>
  <c r="Z49" i="43"/>
  <c r="Y49" i="43"/>
  <c r="X49" i="43"/>
  <c r="W49" i="43"/>
  <c r="W48" i="43" s="1"/>
  <c r="V49" i="43"/>
  <c r="U49" i="43"/>
  <c r="R49" i="43"/>
  <c r="R48" i="43" s="1"/>
  <c r="Q49" i="43"/>
  <c r="P49" i="43"/>
  <c r="P48" i="43" s="1"/>
  <c r="O49" i="43"/>
  <c r="N49" i="43"/>
  <c r="N48" i="43" s="1"/>
  <c r="M49" i="43"/>
  <c r="M48" i="43" s="1"/>
  <c r="L49" i="43"/>
  <c r="L48" i="43" s="1"/>
  <c r="K48" i="43" s="1"/>
  <c r="I49" i="43"/>
  <c r="H49" i="43" s="1"/>
  <c r="CN48" i="43"/>
  <c r="CE48" i="43"/>
  <c r="CB48" i="43"/>
  <c r="BY48" i="43"/>
  <c r="BS48" i="43"/>
  <c r="BO48" i="43"/>
  <c r="BN48" i="43"/>
  <c r="BI48" i="43"/>
  <c r="BH48" i="43"/>
  <c r="AW48" i="43"/>
  <c r="AU48" i="43"/>
  <c r="AN48" i="43"/>
  <c r="AL48" i="43"/>
  <c r="AJ48" i="43"/>
  <c r="Z48" i="43"/>
  <c r="Q48" i="43"/>
  <c r="O48" i="43"/>
  <c r="I48" i="43"/>
  <c r="H48" i="43" s="1"/>
  <c r="CM47" i="43"/>
  <c r="BV47" i="43"/>
  <c r="BQ47" i="43"/>
  <c r="BK47" i="43"/>
  <c r="BF47" i="43"/>
  <c r="AT47" i="43"/>
  <c r="AH47" i="43"/>
  <c r="T47" i="43"/>
  <c r="K47" i="43"/>
  <c r="H47" i="43"/>
  <c r="CM46" i="43"/>
  <c r="BV46" i="43"/>
  <c r="BQ46" i="43"/>
  <c r="BK46" i="43"/>
  <c r="BF46" i="43"/>
  <c r="AT46" i="43"/>
  <c r="AH46" i="43"/>
  <c r="T46" i="43"/>
  <c r="K46" i="43"/>
  <c r="H46" i="43"/>
  <c r="CM45" i="43"/>
  <c r="BV45" i="43"/>
  <c r="BQ45" i="43"/>
  <c r="BK45" i="43"/>
  <c r="BF45" i="43"/>
  <c r="AT45" i="43"/>
  <c r="AH45" i="43"/>
  <c r="T45" i="43"/>
  <c r="K45" i="43"/>
  <c r="H45" i="43"/>
  <c r="CP44" i="43"/>
  <c r="CP38" i="43" s="1"/>
  <c r="CP58" i="43" s="1"/>
  <c r="CO44" i="43"/>
  <c r="CN44" i="43"/>
  <c r="CM44" i="43" s="1"/>
  <c r="CK44" i="43"/>
  <c r="CJ44" i="43"/>
  <c r="CI44" i="43"/>
  <c r="CH44" i="43"/>
  <c r="CG44" i="43"/>
  <c r="CF44" i="43"/>
  <c r="CE44" i="43"/>
  <c r="CD44" i="43"/>
  <c r="CD38" i="43" s="1"/>
  <c r="CC44" i="43"/>
  <c r="CB44" i="43"/>
  <c r="CA44" i="43"/>
  <c r="BZ44" i="43"/>
  <c r="BY44" i="43"/>
  <c r="BX44" i="43"/>
  <c r="BV44" i="43" s="1"/>
  <c r="BW44" i="43"/>
  <c r="BT44" i="43"/>
  <c r="BS44" i="43"/>
  <c r="BR44" i="43"/>
  <c r="BQ44" i="43" s="1"/>
  <c r="BO44" i="43"/>
  <c r="BN44" i="43"/>
  <c r="BM44" i="43"/>
  <c r="BL44" i="43"/>
  <c r="BI44" i="43"/>
  <c r="BH44" i="43"/>
  <c r="BG44" i="43"/>
  <c r="BD44" i="43"/>
  <c r="BC44" i="43"/>
  <c r="BB44" i="43"/>
  <c r="BA44" i="43"/>
  <c r="AT44" i="43" s="1"/>
  <c r="AZ44" i="43"/>
  <c r="AY44" i="43"/>
  <c r="AX44" i="43"/>
  <c r="AW44" i="43"/>
  <c r="AV44" i="43"/>
  <c r="AU44" i="43"/>
  <c r="AR44" i="43"/>
  <c r="AQ44" i="43"/>
  <c r="AP44" i="43"/>
  <c r="AO44" i="43"/>
  <c r="AN44" i="43"/>
  <c r="AM44" i="43"/>
  <c r="AL44" i="43"/>
  <c r="AK44" i="43"/>
  <c r="AJ44" i="43"/>
  <c r="AI44" i="43"/>
  <c r="AF44" i="43"/>
  <c r="AE44" i="43"/>
  <c r="AE38" i="43" s="1"/>
  <c r="AE58" i="43" s="1"/>
  <c r="AD44" i="43"/>
  <c r="AC44" i="43"/>
  <c r="AB44" i="43"/>
  <c r="AA44" i="43"/>
  <c r="Z44" i="43"/>
  <c r="Y44" i="43"/>
  <c r="X44" i="43"/>
  <c r="W44" i="43"/>
  <c r="V44" i="43"/>
  <c r="U44" i="43"/>
  <c r="T44" i="43" s="1"/>
  <c r="R44" i="43"/>
  <c r="R38" i="43" s="1"/>
  <c r="R58" i="43" s="1"/>
  <c r="Q44" i="43"/>
  <c r="P44" i="43"/>
  <c r="O44" i="43"/>
  <c r="N44" i="43"/>
  <c r="M44" i="43"/>
  <c r="K44" i="43" s="1"/>
  <c r="L44" i="43"/>
  <c r="I44" i="43"/>
  <c r="H44" i="43" s="1"/>
  <c r="CM43" i="43"/>
  <c r="BV43" i="43"/>
  <c r="BQ43" i="43"/>
  <c r="BK43" i="43"/>
  <c r="BF43" i="43"/>
  <c r="AT43" i="43"/>
  <c r="AH43" i="43"/>
  <c r="T43" i="43"/>
  <c r="K43" i="43"/>
  <c r="H43" i="43"/>
  <c r="CM42" i="43"/>
  <c r="BV42" i="43"/>
  <c r="BQ42" i="43"/>
  <c r="BK42" i="43"/>
  <c r="BF42" i="43"/>
  <c r="AT42" i="43"/>
  <c r="AH42" i="43"/>
  <c r="T42" i="43"/>
  <c r="K42" i="43"/>
  <c r="H42" i="43"/>
  <c r="CM41" i="43"/>
  <c r="BV41" i="43"/>
  <c r="BQ41" i="43"/>
  <c r="BK41" i="43"/>
  <c r="BF41" i="43"/>
  <c r="AT41" i="43"/>
  <c r="AH41" i="43"/>
  <c r="T41" i="43"/>
  <c r="K41" i="43"/>
  <c r="H41" i="43"/>
  <c r="CM40" i="43"/>
  <c r="BV40" i="43"/>
  <c r="BQ40" i="43"/>
  <c r="BK40" i="43"/>
  <c r="BF40" i="43"/>
  <c r="AT40" i="43"/>
  <c r="AH40" i="43"/>
  <c r="T40" i="43"/>
  <c r="K40" i="43"/>
  <c r="H40" i="43"/>
  <c r="CP39" i="43"/>
  <c r="CO39" i="43"/>
  <c r="CN39" i="43"/>
  <c r="CM39" i="43" s="1"/>
  <c r="CK39" i="43"/>
  <c r="CJ39" i="43"/>
  <c r="CJ38" i="43" s="1"/>
  <c r="CI39" i="43"/>
  <c r="CI38" i="43" s="1"/>
  <c r="CH39" i="43"/>
  <c r="CG39" i="43"/>
  <c r="CG38" i="43" s="1"/>
  <c r="CG58" i="43" s="1"/>
  <c r="CF39" i="43"/>
  <c r="CF38" i="43" s="1"/>
  <c r="CE39" i="43"/>
  <c r="CD39" i="43"/>
  <c r="CC39" i="43"/>
  <c r="CC38" i="43" s="1"/>
  <c r="CC58" i="43" s="1"/>
  <c r="CB39" i="43"/>
  <c r="CA39" i="43"/>
  <c r="CA38" i="43" s="1"/>
  <c r="BZ39" i="43"/>
  <c r="BZ38" i="43" s="1"/>
  <c r="BZ58" i="43" s="1"/>
  <c r="BY39" i="43"/>
  <c r="BX39" i="43"/>
  <c r="BX38" i="43" s="1"/>
  <c r="BW39" i="43"/>
  <c r="BT39" i="43"/>
  <c r="BT38" i="43" s="1"/>
  <c r="BS39" i="43"/>
  <c r="BS38" i="43" s="1"/>
  <c r="BR39" i="43"/>
  <c r="BO39" i="43"/>
  <c r="BN39" i="43"/>
  <c r="BM39" i="43"/>
  <c r="BK39" i="43" s="1"/>
  <c r="BL39" i="43"/>
  <c r="BI39" i="43"/>
  <c r="BI38" i="43" s="1"/>
  <c r="BH39" i="43"/>
  <c r="BF39" i="43" s="1"/>
  <c r="BG39" i="43"/>
  <c r="BD39" i="43"/>
  <c r="BD38" i="43" s="1"/>
  <c r="BC39" i="43"/>
  <c r="BC38" i="43" s="1"/>
  <c r="BB39" i="43"/>
  <c r="BB38" i="43" s="1"/>
  <c r="BA39" i="43"/>
  <c r="BA38" i="43" s="1"/>
  <c r="AZ39" i="43"/>
  <c r="AY39" i="43"/>
  <c r="AX39" i="43"/>
  <c r="AW39" i="43"/>
  <c r="AW38" i="43" s="1"/>
  <c r="AW58" i="43" s="1"/>
  <c r="AV39" i="43"/>
  <c r="AV38" i="43" s="1"/>
  <c r="AU39" i="43"/>
  <c r="AR39" i="43"/>
  <c r="AQ39" i="43"/>
  <c r="AP39" i="43"/>
  <c r="AP38" i="43" s="1"/>
  <c r="AO39" i="43"/>
  <c r="AO38" i="43" s="1"/>
  <c r="AN39" i="43"/>
  <c r="AN38" i="43" s="1"/>
  <c r="AN58" i="43" s="1"/>
  <c r="AM39" i="43"/>
  <c r="AL39" i="43"/>
  <c r="AK39" i="43"/>
  <c r="AJ39" i="43"/>
  <c r="AI39" i="43"/>
  <c r="AF39" i="43"/>
  <c r="AE39" i="43"/>
  <c r="AD39" i="43"/>
  <c r="AD38" i="43" s="1"/>
  <c r="AC39" i="43"/>
  <c r="AB39" i="43"/>
  <c r="AB38" i="43" s="1"/>
  <c r="AA39" i="43"/>
  <c r="AA38" i="43" s="1"/>
  <c r="Z39" i="43"/>
  <c r="Y39" i="43"/>
  <c r="X39" i="43"/>
  <c r="X38" i="43" s="1"/>
  <c r="W39" i="43"/>
  <c r="V39" i="43"/>
  <c r="U39" i="43"/>
  <c r="R39" i="43"/>
  <c r="Q39" i="43"/>
  <c r="Q38" i="43" s="1"/>
  <c r="P39" i="43"/>
  <c r="P38" i="43" s="1"/>
  <c r="O39" i="43"/>
  <c r="N39" i="43"/>
  <c r="N38" i="43" s="1"/>
  <c r="M39" i="43"/>
  <c r="L39" i="43"/>
  <c r="I39" i="43"/>
  <c r="I38" i="43" s="1"/>
  <c r="I58" i="43" s="1"/>
  <c r="H58" i="43" s="1"/>
  <c r="CK38" i="43"/>
  <c r="CH38" i="43"/>
  <c r="BY38" i="43"/>
  <c r="BY58" i="43" s="1"/>
  <c r="BO38" i="43"/>
  <c r="BO58" i="43" s="1"/>
  <c r="BL38" i="43"/>
  <c r="BL58" i="43" s="1"/>
  <c r="BG38" i="43"/>
  <c r="AX38" i="43"/>
  <c r="AX58" i="43" s="1"/>
  <c r="AR38" i="43"/>
  <c r="AK38" i="43"/>
  <c r="AK58" i="43" s="1"/>
  <c r="AJ38" i="43"/>
  <c r="AF38" i="43"/>
  <c r="AF58" i="43" s="1"/>
  <c r="W38" i="43"/>
  <c r="O38" i="43"/>
  <c r="CM35" i="43"/>
  <c r="BV35" i="43"/>
  <c r="BQ35" i="43"/>
  <c r="BK35" i="43"/>
  <c r="BF35" i="43"/>
  <c r="AT35" i="43"/>
  <c r="AH35" i="43"/>
  <c r="T35" i="43"/>
  <c r="K35" i="43"/>
  <c r="H35" i="43"/>
  <c r="CM34" i="43"/>
  <c r="BV34" i="43"/>
  <c r="BQ34" i="43"/>
  <c r="BK34" i="43"/>
  <c r="BF34" i="43"/>
  <c r="AT34" i="43"/>
  <c r="AH34" i="43"/>
  <c r="T34" i="43"/>
  <c r="K34" i="43"/>
  <c r="H34" i="43"/>
  <c r="CM33" i="43"/>
  <c r="BV33" i="43"/>
  <c r="BQ33" i="43"/>
  <c r="BK33" i="43"/>
  <c r="BF33" i="43"/>
  <c r="AT33" i="43"/>
  <c r="AH33" i="43"/>
  <c r="T33" i="43"/>
  <c r="K33" i="43"/>
  <c r="H33" i="43"/>
  <c r="CP32" i="43"/>
  <c r="CO32" i="43"/>
  <c r="CN32" i="43"/>
  <c r="CK32" i="43"/>
  <c r="CJ32" i="43"/>
  <c r="CI32" i="43"/>
  <c r="CH32" i="43"/>
  <c r="CG32" i="43"/>
  <c r="CF32" i="43"/>
  <c r="CE32" i="43"/>
  <c r="CD32" i="43"/>
  <c r="CC32" i="43"/>
  <c r="CB32" i="43"/>
  <c r="CA32" i="43"/>
  <c r="BZ32" i="43"/>
  <c r="BY32" i="43"/>
  <c r="BX32" i="43"/>
  <c r="BW32" i="43"/>
  <c r="BT32" i="43"/>
  <c r="BS32" i="43"/>
  <c r="BR32" i="43"/>
  <c r="BO32" i="43"/>
  <c r="BN32" i="43"/>
  <c r="BM32" i="43"/>
  <c r="BL32" i="43"/>
  <c r="BI32" i="43"/>
  <c r="BH32" i="43"/>
  <c r="BG32" i="43"/>
  <c r="BD32" i="43"/>
  <c r="BC32" i="43"/>
  <c r="BB32" i="43"/>
  <c r="BA32" i="43"/>
  <c r="AZ32" i="43"/>
  <c r="AY32" i="43"/>
  <c r="AX32" i="43"/>
  <c r="AW32" i="43"/>
  <c r="AV32" i="43"/>
  <c r="AU32" i="43"/>
  <c r="AR32" i="43"/>
  <c r="AQ32" i="43"/>
  <c r="AP32" i="43"/>
  <c r="AO32" i="43"/>
  <c r="AN32" i="43"/>
  <c r="AM32" i="43"/>
  <c r="AL32" i="43"/>
  <c r="AK32" i="43"/>
  <c r="AJ32" i="43"/>
  <c r="AI32" i="43"/>
  <c r="AF32" i="43"/>
  <c r="AE32" i="43"/>
  <c r="AD32" i="43"/>
  <c r="AC32" i="43"/>
  <c r="AB32" i="43"/>
  <c r="AA32" i="43"/>
  <c r="Z32" i="43"/>
  <c r="Y32" i="43"/>
  <c r="X32" i="43"/>
  <c r="W32" i="43"/>
  <c r="V32" i="43"/>
  <c r="U32" i="43"/>
  <c r="R32" i="43"/>
  <c r="Q32" i="43"/>
  <c r="P32" i="43"/>
  <c r="O32" i="43"/>
  <c r="N32" i="43"/>
  <c r="M32" i="43"/>
  <c r="L32" i="43"/>
  <c r="K32" i="43" s="1"/>
  <c r="I32" i="43"/>
  <c r="H32" i="43"/>
  <c r="CM31" i="43"/>
  <c r="BV31" i="43"/>
  <c r="BQ31" i="43"/>
  <c r="BK31" i="43"/>
  <c r="BF31" i="43"/>
  <c r="AT31" i="43"/>
  <c r="AH31" i="43"/>
  <c r="T31" i="43"/>
  <c r="K31" i="43"/>
  <c r="H31" i="43"/>
  <c r="CM30" i="43"/>
  <c r="BV30" i="43"/>
  <c r="BQ30" i="43"/>
  <c r="BK30" i="43"/>
  <c r="BF30" i="43"/>
  <c r="AT30" i="43"/>
  <c r="AH30" i="43"/>
  <c r="T30" i="43"/>
  <c r="K30" i="43"/>
  <c r="H30" i="43"/>
  <c r="CM29" i="43"/>
  <c r="BV29" i="43"/>
  <c r="BQ29" i="43"/>
  <c r="BK29" i="43"/>
  <c r="BF29" i="43"/>
  <c r="AT29" i="43"/>
  <c r="AH29" i="43"/>
  <c r="T29" i="43"/>
  <c r="K29" i="43"/>
  <c r="H29" i="43"/>
  <c r="CP28" i="43"/>
  <c r="CO28" i="43"/>
  <c r="CN28" i="43"/>
  <c r="CK28" i="43"/>
  <c r="CJ28" i="43"/>
  <c r="CI28" i="43"/>
  <c r="CH28" i="43"/>
  <c r="CG28" i="43"/>
  <c r="CF28" i="43"/>
  <c r="CE28" i="43"/>
  <c r="CD28" i="43"/>
  <c r="CC28" i="43"/>
  <c r="CB28" i="43"/>
  <c r="CA28" i="43"/>
  <c r="BZ28" i="43"/>
  <c r="BY28" i="43"/>
  <c r="BX28" i="43"/>
  <c r="BW28" i="43"/>
  <c r="BT28" i="43"/>
  <c r="BS28" i="43"/>
  <c r="BR28" i="43"/>
  <c r="BO28" i="43"/>
  <c r="BN28" i="43"/>
  <c r="BM28" i="43"/>
  <c r="BL28" i="43"/>
  <c r="BI28" i="43"/>
  <c r="BH28" i="43"/>
  <c r="BG28" i="43"/>
  <c r="BD28" i="43"/>
  <c r="BC28" i="43"/>
  <c r="BB28" i="43"/>
  <c r="BA28" i="43"/>
  <c r="AZ28" i="43"/>
  <c r="AY28" i="43"/>
  <c r="AX28" i="43"/>
  <c r="AW28" i="43"/>
  <c r="AV28" i="43"/>
  <c r="AU28" i="43"/>
  <c r="AR28" i="43"/>
  <c r="AQ28" i="43"/>
  <c r="AP28" i="43"/>
  <c r="AO28" i="43"/>
  <c r="AN28" i="43"/>
  <c r="AM28" i="43"/>
  <c r="AL28" i="43"/>
  <c r="AK28" i="43"/>
  <c r="AJ28" i="43"/>
  <c r="AI28" i="43"/>
  <c r="AF28" i="43"/>
  <c r="AE28" i="43"/>
  <c r="AD28" i="43"/>
  <c r="AC28" i="43"/>
  <c r="AB28" i="43"/>
  <c r="AA28" i="43"/>
  <c r="Z28" i="43"/>
  <c r="Y28" i="43"/>
  <c r="X28" i="43"/>
  <c r="W28" i="43"/>
  <c r="V28" i="43"/>
  <c r="U28" i="43"/>
  <c r="R28" i="43"/>
  <c r="Q28" i="43"/>
  <c r="P28" i="43"/>
  <c r="O28" i="43"/>
  <c r="N28" i="43"/>
  <c r="M28" i="43"/>
  <c r="L28" i="43"/>
  <c r="I28" i="43"/>
  <c r="H28" i="43"/>
  <c r="CM27" i="43"/>
  <c r="BV27" i="43"/>
  <c r="BQ27" i="43"/>
  <c r="BK27" i="43"/>
  <c r="BF27" i="43"/>
  <c r="AT27" i="43"/>
  <c r="AH27" i="43"/>
  <c r="T27" i="43"/>
  <c r="K27" i="43"/>
  <c r="H27" i="43"/>
  <c r="CM26" i="43"/>
  <c r="BV26" i="43"/>
  <c r="BQ26" i="43"/>
  <c r="BK26" i="43"/>
  <c r="BF26" i="43"/>
  <c r="AT26" i="43"/>
  <c r="AH26" i="43"/>
  <c r="T26" i="43"/>
  <c r="K26" i="43"/>
  <c r="H26" i="43"/>
  <c r="CM25" i="43"/>
  <c r="BV25" i="43"/>
  <c r="BQ25" i="43"/>
  <c r="BK25" i="43"/>
  <c r="BF25" i="43"/>
  <c r="AT25" i="43"/>
  <c r="AH25" i="43"/>
  <c r="T25" i="43"/>
  <c r="K25" i="43"/>
  <c r="H25" i="43"/>
  <c r="CM24" i="43"/>
  <c r="BV24" i="43"/>
  <c r="BQ24" i="43"/>
  <c r="BK24" i="43"/>
  <c r="BF24" i="43"/>
  <c r="AT24" i="43"/>
  <c r="AH24" i="43"/>
  <c r="T24" i="43"/>
  <c r="K24" i="43"/>
  <c r="H24" i="43"/>
  <c r="CM23" i="43"/>
  <c r="BV23" i="43"/>
  <c r="BQ23" i="43"/>
  <c r="BK23" i="43"/>
  <c r="BF23" i="43"/>
  <c r="AT23" i="43"/>
  <c r="AH23" i="43"/>
  <c r="T23" i="43"/>
  <c r="K23" i="43"/>
  <c r="H23" i="43"/>
  <c r="CM22" i="43"/>
  <c r="BV22" i="43"/>
  <c r="BQ22" i="43"/>
  <c r="BK22" i="43"/>
  <c r="BF22" i="43"/>
  <c r="AT22" i="43"/>
  <c r="AH22" i="43"/>
  <c r="T22" i="43"/>
  <c r="K22" i="43"/>
  <c r="H22" i="43"/>
  <c r="CM21" i="43"/>
  <c r="BV21" i="43"/>
  <c r="BQ21" i="43"/>
  <c r="BK21" i="43"/>
  <c r="BF21" i="43"/>
  <c r="AT21" i="43"/>
  <c r="AH21" i="43"/>
  <c r="T21" i="43"/>
  <c r="K21" i="43"/>
  <c r="H21" i="43"/>
  <c r="CM20" i="43"/>
  <c r="BV20" i="43"/>
  <c r="BQ20" i="43"/>
  <c r="BK20" i="43"/>
  <c r="BF20" i="43"/>
  <c r="AT20" i="43"/>
  <c r="AH20" i="43"/>
  <c r="T20" i="43"/>
  <c r="K20" i="43"/>
  <c r="H20" i="43"/>
  <c r="CM19" i="43"/>
  <c r="BV19" i="43"/>
  <c r="BQ19" i="43"/>
  <c r="BK19" i="43"/>
  <c r="BF19" i="43"/>
  <c r="AT19" i="43"/>
  <c r="AH19" i="43"/>
  <c r="T19" i="43"/>
  <c r="K19" i="43"/>
  <c r="H19" i="43"/>
  <c r="CM18" i="43"/>
  <c r="BV18" i="43"/>
  <c r="BQ18" i="43"/>
  <c r="BK18" i="43"/>
  <c r="BF18" i="43"/>
  <c r="AT18" i="43"/>
  <c r="AH18" i="43"/>
  <c r="T18" i="43"/>
  <c r="K18" i="43"/>
  <c r="H18" i="43"/>
  <c r="CM17" i="43"/>
  <c r="BV17" i="43"/>
  <c r="BQ17" i="43"/>
  <c r="BK17" i="43"/>
  <c r="BF17" i="43"/>
  <c r="AT17" i="43"/>
  <c r="AH17" i="43"/>
  <c r="T17" i="43"/>
  <c r="K17" i="43"/>
  <c r="H17" i="43"/>
  <c r="CM16" i="43"/>
  <c r="BV16" i="43"/>
  <c r="BQ16" i="43"/>
  <c r="BK16" i="43"/>
  <c r="BF16" i="43"/>
  <c r="AT16" i="43"/>
  <c r="AH16" i="43"/>
  <c r="T16" i="43"/>
  <c r="K16" i="43"/>
  <c r="H16" i="43"/>
  <c r="CP15" i="43"/>
  <c r="CP36" i="43" s="1"/>
  <c r="CO15" i="43"/>
  <c r="CO36" i="43" s="1"/>
  <c r="CN15" i="43"/>
  <c r="CN36" i="43" s="1"/>
  <c r="CK15" i="43"/>
  <c r="CJ15" i="43"/>
  <c r="CI15" i="43"/>
  <c r="CI36" i="43" s="1"/>
  <c r="CH15" i="43"/>
  <c r="CG15" i="43"/>
  <c r="CG36" i="43" s="1"/>
  <c r="CF15" i="43"/>
  <c r="CE15" i="43"/>
  <c r="CE36" i="43" s="1"/>
  <c r="CD15" i="43"/>
  <c r="CC15" i="43"/>
  <c r="CC36" i="43" s="1"/>
  <c r="CB15" i="43"/>
  <c r="CB36" i="43" s="1"/>
  <c r="CA15" i="43"/>
  <c r="BZ15" i="43"/>
  <c r="BZ36" i="43" s="1"/>
  <c r="BY15" i="43"/>
  <c r="BX15" i="43"/>
  <c r="BW15" i="43"/>
  <c r="BW36" i="43" s="1"/>
  <c r="BT15" i="43"/>
  <c r="BS15" i="43"/>
  <c r="BR15" i="43"/>
  <c r="BQ15" i="43" s="1"/>
  <c r="BO15" i="43"/>
  <c r="BO36" i="43" s="1"/>
  <c r="BN15" i="43"/>
  <c r="BN36" i="43" s="1"/>
  <c r="BM15" i="43"/>
  <c r="BM36" i="43" s="1"/>
  <c r="BL15" i="43"/>
  <c r="BI15" i="43"/>
  <c r="BH15" i="43"/>
  <c r="BH36" i="43" s="1"/>
  <c r="BG15" i="43"/>
  <c r="BF15" i="43" s="1"/>
  <c r="BD15" i="43"/>
  <c r="BD36" i="43" s="1"/>
  <c r="BC15" i="43"/>
  <c r="BC36" i="43" s="1"/>
  <c r="BB15" i="43"/>
  <c r="BA15" i="43"/>
  <c r="AZ15" i="43"/>
  <c r="AY15" i="43"/>
  <c r="AY36" i="43" s="1"/>
  <c r="AX15" i="43"/>
  <c r="AX36" i="43" s="1"/>
  <c r="AW15" i="43"/>
  <c r="AW36" i="43" s="1"/>
  <c r="AV15" i="43"/>
  <c r="AV36" i="43" s="1"/>
  <c r="AU15" i="43"/>
  <c r="AT15" i="43" s="1"/>
  <c r="AR15" i="43"/>
  <c r="AR36" i="43" s="1"/>
  <c r="AQ15" i="43"/>
  <c r="AP15" i="43"/>
  <c r="AP36" i="43" s="1"/>
  <c r="AO15" i="43"/>
  <c r="AN15" i="43"/>
  <c r="AM15" i="43"/>
  <c r="AL15" i="43"/>
  <c r="AK15" i="43"/>
  <c r="AK36" i="43" s="1"/>
  <c r="AJ15" i="43"/>
  <c r="AI15" i="43"/>
  <c r="AI36" i="43" s="1"/>
  <c r="AF15" i="43"/>
  <c r="AF36" i="43" s="1"/>
  <c r="AE15" i="43"/>
  <c r="AD15" i="43"/>
  <c r="AD36" i="43" s="1"/>
  <c r="AC15" i="43"/>
  <c r="AB15" i="43"/>
  <c r="AB36" i="43" s="1"/>
  <c r="AA15" i="43"/>
  <c r="Z15" i="43"/>
  <c r="Y15" i="43"/>
  <c r="X15" i="43"/>
  <c r="W15" i="43"/>
  <c r="W36" i="43" s="1"/>
  <c r="V15" i="43"/>
  <c r="U15" i="43"/>
  <c r="U36" i="43" s="1"/>
  <c r="R15" i="43"/>
  <c r="R36" i="43" s="1"/>
  <c r="Q15" i="43"/>
  <c r="Q36" i="43" s="1"/>
  <c r="P15" i="43"/>
  <c r="P36" i="43" s="1"/>
  <c r="O15" i="43"/>
  <c r="N15" i="43"/>
  <c r="M15" i="43"/>
  <c r="L15" i="43"/>
  <c r="K15" i="43" s="1"/>
  <c r="I15" i="43"/>
  <c r="H15" i="43" s="1"/>
  <c r="CM11" i="43"/>
  <c r="BV11" i="43"/>
  <c r="BQ11" i="43"/>
  <c r="BK11" i="43"/>
  <c r="BF11" i="43"/>
  <c r="AT11" i="43"/>
  <c r="AH11" i="43"/>
  <c r="T11" i="43"/>
  <c r="K11" i="43"/>
  <c r="H11" i="43"/>
  <c r="F6" i="43"/>
  <c r="F5" i="43"/>
  <c r="AD956" i="42"/>
  <c r="AD945" i="42"/>
  <c r="AD934" i="42"/>
  <c r="F926" i="42"/>
  <c r="AD922" i="42"/>
  <c r="AD911" i="42"/>
  <c r="AD900" i="42"/>
  <c r="AD889" i="42"/>
  <c r="AD878" i="42"/>
  <c r="AD867" i="42"/>
  <c r="AD856" i="42"/>
  <c r="AD845" i="42"/>
  <c r="AD834" i="42"/>
  <c r="AD823" i="42"/>
  <c r="AD812" i="42"/>
  <c r="AD801" i="42"/>
  <c r="AD790" i="42"/>
  <c r="AD779" i="42"/>
  <c r="AD768" i="42"/>
  <c r="F760" i="42"/>
  <c r="AD756" i="42"/>
  <c r="AD745" i="42"/>
  <c r="AD734" i="42"/>
  <c r="F726" i="42"/>
  <c r="AD722" i="42"/>
  <c r="AD721" i="42"/>
  <c r="AD710" i="42"/>
  <c r="AD709" i="42"/>
  <c r="AD698" i="42"/>
  <c r="AD687" i="42"/>
  <c r="F679" i="42"/>
  <c r="AD675" i="42"/>
  <c r="AD674" i="42"/>
  <c r="AD663" i="42"/>
  <c r="AD652" i="42"/>
  <c r="F644" i="42"/>
  <c r="AD640" i="42"/>
  <c r="AD629" i="42"/>
  <c r="AD618" i="42"/>
  <c r="AD607" i="42"/>
  <c r="AD596" i="42"/>
  <c r="AD585" i="42"/>
  <c r="AD574" i="42"/>
  <c r="AD563" i="42"/>
  <c r="AD552" i="42"/>
  <c r="AD541" i="42"/>
  <c r="AD540" i="42"/>
  <c r="F532" i="42"/>
  <c r="AD528" i="42"/>
  <c r="AD517" i="42"/>
  <c r="AD506" i="42"/>
  <c r="AD495" i="42"/>
  <c r="AD484" i="42"/>
  <c r="AD473" i="42"/>
  <c r="AD462" i="42"/>
  <c r="AD451" i="42"/>
  <c r="AD440" i="42"/>
  <c r="AD429" i="42"/>
  <c r="AD428" i="42"/>
  <c r="F420" i="42"/>
  <c r="AD416" i="42"/>
  <c r="AD415" i="42"/>
  <c r="AD404" i="42"/>
  <c r="AD403" i="42"/>
  <c r="AD392" i="42"/>
  <c r="AD391" i="42"/>
  <c r="AD386" i="42"/>
  <c r="AD375" i="42"/>
  <c r="AD374" i="42"/>
  <c r="AD369" i="42"/>
  <c r="AD358" i="42"/>
  <c r="AD357" i="42"/>
  <c r="AD352" i="42"/>
  <c r="AD341" i="42"/>
  <c r="AD336" i="42"/>
  <c r="AD331" i="42"/>
  <c r="AD326" i="42"/>
  <c r="AD325" i="42"/>
  <c r="AD320" i="42"/>
  <c r="AD309" i="42"/>
  <c r="AD304" i="42"/>
  <c r="AD303" i="42"/>
  <c r="AD298" i="42"/>
  <c r="AD293" i="42"/>
  <c r="AD288" i="42"/>
  <c r="AD277" i="42"/>
  <c r="AD272" i="42"/>
  <c r="AD267" i="42"/>
  <c r="AD262" i="42"/>
  <c r="AD257" i="42"/>
  <c r="AD256" i="42"/>
  <c r="AD255" i="42"/>
  <c r="AD244" i="42"/>
  <c r="AD239" i="42"/>
  <c r="AD238" i="42"/>
  <c r="AD237" i="42"/>
  <c r="AD232" i="42"/>
  <c r="AD227" i="42"/>
  <c r="AD222" i="42"/>
  <c r="AD211" i="42"/>
  <c r="AD206" i="42"/>
  <c r="AD205" i="42"/>
  <c r="AD204" i="42"/>
  <c r="AD199" i="42"/>
  <c r="AD194" i="42"/>
  <c r="AD189" i="42"/>
  <c r="AD178" i="42"/>
  <c r="AD173" i="42"/>
  <c r="AD168" i="42"/>
  <c r="AD163" i="42"/>
  <c r="AD162" i="42"/>
  <c r="AD161" i="42"/>
  <c r="AD150" i="42"/>
  <c r="AD145" i="42"/>
  <c r="AD140" i="42"/>
  <c r="F132" i="42"/>
  <c r="AD128" i="42"/>
  <c r="AD127" i="42"/>
  <c r="AD116" i="42"/>
  <c r="AD111" i="42"/>
  <c r="AD110" i="42"/>
  <c r="AD99" i="42"/>
  <c r="AD94" i="42"/>
  <c r="AD93" i="42"/>
  <c r="AD82" i="42"/>
  <c r="AD77" i="42"/>
  <c r="AD72" i="42"/>
  <c r="AD71" i="42"/>
  <c r="AD60" i="42"/>
  <c r="AD55" i="42"/>
  <c r="AD54" i="42"/>
  <c r="AD43" i="42"/>
  <c r="AD38" i="42"/>
  <c r="AD27" i="42"/>
  <c r="AD22" i="42"/>
  <c r="F14" i="42"/>
  <c r="F6" i="42"/>
  <c r="F5" i="42"/>
  <c r="H33" i="41"/>
  <c r="P29" i="41"/>
  <c r="P27" i="41"/>
  <c r="P25" i="41"/>
  <c r="P23" i="41"/>
  <c r="P21" i="41"/>
  <c r="P19" i="41"/>
  <c r="P17" i="41"/>
  <c r="P15" i="41"/>
  <c r="P13" i="41"/>
  <c r="F6" i="41"/>
  <c r="F5" i="41"/>
  <c r="G28" i="40"/>
  <c r="G27" i="40"/>
  <c r="G26" i="40"/>
  <c r="D23" i="40"/>
  <c r="D22" i="40"/>
  <c r="D14" i="40"/>
  <c r="D13" i="40"/>
  <c r="D11" i="40"/>
  <c r="D10" i="40"/>
  <c r="D9" i="40"/>
  <c r="D7" i="40"/>
  <c r="D6" i="40"/>
  <c r="D4" i="40"/>
  <c r="D3" i="40"/>
  <c r="I29" i="39"/>
  <c r="I24" i="39"/>
  <c r="I13" i="39"/>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310" i="33"/>
  <c r="F310" i="33"/>
  <c r="J309" i="33"/>
  <c r="F309" i="33"/>
  <c r="E309" i="33"/>
  <c r="J308" i="33"/>
  <c r="F308" i="33"/>
  <c r="I307" i="33"/>
  <c r="F307" i="33"/>
  <c r="E307" i="33"/>
  <c r="J306" i="33"/>
  <c r="I306" i="33"/>
  <c r="F306" i="33"/>
  <c r="E304" i="33"/>
  <c r="F303" i="33"/>
  <c r="E303" i="33"/>
  <c r="J300" i="33"/>
  <c r="F300" i="33"/>
  <c r="F297" i="33"/>
  <c r="E297" i="33"/>
  <c r="E298" i="33" s="1"/>
  <c r="J296" i="33"/>
  <c r="F296" i="33"/>
  <c r="F295" i="33"/>
  <c r="E295" i="33"/>
  <c r="J294" i="33"/>
  <c r="F294" i="33"/>
  <c r="I293" i="33"/>
  <c r="F293" i="33"/>
  <c r="E293" i="33"/>
  <c r="J292" i="33"/>
  <c r="I292" i="33"/>
  <c r="F292" i="33"/>
  <c r="F291" i="33"/>
  <c r="E291" i="33"/>
  <c r="J290" i="33"/>
  <c r="F290" i="33"/>
  <c r="I289" i="33"/>
  <c r="F289" i="33"/>
  <c r="E289" i="33"/>
  <c r="J288" i="33"/>
  <c r="F288" i="33"/>
  <c r="F287" i="33"/>
  <c r="E287" i="33"/>
  <c r="J286" i="33"/>
  <c r="E286" i="33"/>
  <c r="F285" i="33"/>
  <c r="E285" i="33"/>
  <c r="J284" i="33"/>
  <c r="F284" i="33"/>
  <c r="J283" i="33"/>
  <c r="F283" i="33"/>
  <c r="E283" i="33"/>
  <c r="J282" i="33"/>
  <c r="I282" i="33"/>
  <c r="F282" i="33"/>
  <c r="J116" i="33"/>
  <c r="I116" i="33"/>
  <c r="F116" i="33"/>
  <c r="E116" i="33"/>
  <c r="E175" i="33" s="1"/>
  <c r="J115" i="33"/>
  <c r="F114" i="33"/>
  <c r="E114" i="33"/>
  <c r="J113" i="33"/>
  <c r="E113" i="33"/>
  <c r="F112" i="33"/>
  <c r="E112" i="33"/>
  <c r="J111" i="33"/>
  <c r="F111" i="33"/>
  <c r="J110" i="33"/>
  <c r="F110" i="33"/>
  <c r="E110" i="33"/>
  <c r="J109" i="33"/>
  <c r="F109" i="33"/>
  <c r="J108" i="33"/>
  <c r="F108" i="33"/>
  <c r="E108" i="33"/>
  <c r="J107" i="33"/>
  <c r="F106" i="33"/>
  <c r="E106" i="33"/>
  <c r="J105" i="33"/>
  <c r="E105" i="33"/>
  <c r="I104" i="33"/>
  <c r="H104" i="33"/>
  <c r="F104" i="33"/>
  <c r="E104" i="33"/>
  <c r="J103" i="33"/>
  <c r="F103" i="33"/>
  <c r="J102" i="33"/>
  <c r="F102" i="33"/>
  <c r="E102" i="33"/>
  <c r="J101" i="33"/>
  <c r="F101" i="33"/>
  <c r="J100" i="33"/>
  <c r="F100" i="33"/>
  <c r="E100" i="33"/>
  <c r="J99" i="33"/>
  <c r="F98" i="33"/>
  <c r="E98" i="33"/>
  <c r="J97" i="33"/>
  <c r="E97" i="33"/>
  <c r="J96" i="33"/>
  <c r="F96" i="33"/>
  <c r="E96" i="33"/>
  <c r="J95" i="33"/>
  <c r="I95" i="33"/>
  <c r="E95" i="33"/>
  <c r="I94" i="33"/>
  <c r="I92" i="33" s="1"/>
  <c r="E94" i="33"/>
  <c r="J93" i="33"/>
  <c r="F93" i="33"/>
  <c r="E93" i="33"/>
  <c r="F92" i="33"/>
  <c r="E92" i="33"/>
  <c r="J91" i="33"/>
  <c r="E91" i="33"/>
  <c r="F90" i="33"/>
  <c r="E90" i="33"/>
  <c r="J89" i="33"/>
  <c r="F89" i="33"/>
  <c r="E89" i="33"/>
  <c r="I87" i="33"/>
  <c r="I85" i="33"/>
  <c r="E85" i="33"/>
  <c r="E84" i="33"/>
  <c r="E82" i="33"/>
  <c r="K82" i="33" s="1"/>
  <c r="K81" i="33"/>
  <c r="I81" i="33"/>
  <c r="H81" i="33"/>
  <c r="F81" i="33"/>
  <c r="E81" i="33"/>
  <c r="E86" i="33" s="1"/>
  <c r="J80" i="33"/>
  <c r="L80" i="33" s="1"/>
  <c r="J79" i="33"/>
  <c r="F79" i="33"/>
  <c r="E79" i="33"/>
  <c r="K79" i="33" s="1"/>
  <c r="J78" i="33"/>
  <c r="L78" i="33" s="1"/>
  <c r="J77" i="33"/>
  <c r="F77" i="33"/>
  <c r="E77" i="33"/>
  <c r="K77" i="33" s="1"/>
  <c r="K76" i="33"/>
  <c r="F76" i="33"/>
  <c r="E76" i="33"/>
  <c r="J75" i="33"/>
  <c r="I75" i="33"/>
  <c r="F75" i="33"/>
  <c r="E75" i="33"/>
  <c r="K75" i="33" s="1"/>
  <c r="J74" i="33"/>
  <c r="I74" i="33"/>
  <c r="F74" i="33"/>
  <c r="E74" i="33"/>
  <c r="K74" i="33" s="1"/>
  <c r="J73" i="33"/>
  <c r="F73" i="33"/>
  <c r="K72" i="33"/>
  <c r="J72" i="33"/>
  <c r="E72" i="33"/>
  <c r="J71" i="33"/>
  <c r="I71" i="33"/>
  <c r="F71" i="33"/>
  <c r="E70" i="33"/>
  <c r="K70" i="33" s="1"/>
  <c r="J69" i="33"/>
  <c r="F69" i="33"/>
  <c r="I68" i="33"/>
  <c r="F68" i="33"/>
  <c r="E68" i="33"/>
  <c r="K68" i="33" s="1"/>
  <c r="J67" i="33"/>
  <c r="F67" i="33"/>
  <c r="E67" i="33"/>
  <c r="K67" i="33" s="1"/>
  <c r="J66" i="33"/>
  <c r="E66" i="33"/>
  <c r="K66" i="33" s="1"/>
  <c r="J65" i="33"/>
  <c r="I65" i="33"/>
  <c r="J64" i="33"/>
  <c r="F64" i="33"/>
  <c r="I63" i="33"/>
  <c r="I66" i="33" s="1"/>
  <c r="I64" i="33" s="1"/>
  <c r="F63" i="33"/>
  <c r="E63" i="33"/>
  <c r="K63" i="33" s="1"/>
  <c r="J62" i="33"/>
  <c r="I62" i="33"/>
  <c r="E62" i="33"/>
  <c r="K62" i="33" s="1"/>
  <c r="J61" i="33"/>
  <c r="F61" i="33"/>
  <c r="E61" i="33"/>
  <c r="K61" i="33" s="1"/>
  <c r="J60" i="33"/>
  <c r="E60" i="33"/>
  <c r="K60" i="33" s="1"/>
  <c r="J59" i="33"/>
  <c r="I59" i="33"/>
  <c r="F58" i="33"/>
  <c r="E58" i="33"/>
  <c r="K58" i="33" s="1"/>
  <c r="I57" i="33"/>
  <c r="K56" i="33"/>
  <c r="F56" i="33"/>
  <c r="E56" i="33"/>
  <c r="J55" i="33"/>
  <c r="F54" i="33"/>
  <c r="F53" i="33"/>
  <c r="K52" i="33"/>
  <c r="I49" i="33"/>
  <c r="I47" i="33"/>
  <c r="H47" i="33"/>
  <c r="I43" i="33"/>
  <c r="I41" i="33"/>
  <c r="H41" i="33"/>
  <c r="H33" i="33" s="1"/>
  <c r="K39" i="33"/>
  <c r="K38" i="33"/>
  <c r="K37" i="33"/>
  <c r="K36" i="33"/>
  <c r="K35" i="33"/>
  <c r="K34" i="33"/>
  <c r="J33" i="33"/>
  <c r="I33" i="33"/>
  <c r="F33" i="33"/>
  <c r="K32" i="33"/>
  <c r="J32" i="33"/>
  <c r="E32" i="33"/>
  <c r="J31" i="33"/>
  <c r="F31"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K7" i="25"/>
  <c r="AN6" i="25"/>
  <c r="AN5" i="25"/>
  <c r="I5" i="25"/>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6" i="21"/>
  <c r="AN55" i="21"/>
  <c r="AN54" i="21"/>
  <c r="AN53" i="21"/>
  <c r="AN52" i="21"/>
  <c r="AN51" i="21"/>
  <c r="AN50" i="21"/>
  <c r="AN49" i="21"/>
  <c r="AN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N7" i="21"/>
  <c r="AN6" i="21"/>
  <c r="AN5" i="21"/>
  <c r="AC5" i="21"/>
  <c r="S5" i="21"/>
  <c r="K8" i="21" s="1"/>
  <c r="S8" i="21" s="1"/>
  <c r="AN4" i="21"/>
  <c r="AC4" i="21"/>
  <c r="S4" i="21"/>
  <c r="AN3" i="21"/>
  <c r="AC3" i="21"/>
  <c r="S3" i="21"/>
  <c r="AN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P7" i="15"/>
  <c r="J7" i="15"/>
  <c r="S7" i="15" s="1"/>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63" i="5"/>
  <c r="AP63" i="5"/>
  <c r="AO63" i="5"/>
  <c r="AN63" i="5"/>
  <c r="AM63" i="5"/>
  <c r="AL63" i="5"/>
  <c r="AK63" i="5"/>
  <c r="AJ63" i="5"/>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E13" i="4"/>
  <c r="P13" i="4" s="1"/>
  <c r="E7" i="4"/>
  <c r="D5" i="4"/>
  <c r="O31" i="3"/>
  <c r="M31" i="3" a="1"/>
  <c r="M31" i="3"/>
  <c r="E31" i="3"/>
  <c r="O30" i="3"/>
  <c r="M30" i="3" a="1"/>
  <c r="M30" i="3"/>
  <c r="E30" i="3"/>
  <c r="O29" i="3"/>
  <c r="M29" i="3" a="1"/>
  <c r="M29" i="3"/>
  <c r="E29" i="3"/>
  <c r="O28" i="3"/>
  <c r="M28" i="3" a="1"/>
  <c r="M28" i="3"/>
  <c r="E28" i="3"/>
  <c r="O27" i="3"/>
  <c r="M27" i="3" a="1"/>
  <c r="M27" i="3"/>
  <c r="E27" i="3"/>
  <c r="O26" i="3"/>
  <c r="M26" i="3" a="1"/>
  <c r="M26" i="3"/>
  <c r="E26" i="3"/>
  <c r="O25" i="3"/>
  <c r="M25" i="3" a="1"/>
  <c r="M25" i="3"/>
  <c r="E25" i="3"/>
  <c r="O24" i="3"/>
  <c r="M24" i="3" a="1"/>
  <c r="M24" i="3"/>
  <c r="E24" i="3"/>
  <c r="O23" i="3"/>
  <c r="M23" i="3" a="1"/>
  <c r="M23" i="3"/>
  <c r="E23" i="3"/>
  <c r="O22" i="3"/>
  <c r="M22" i="3" a="1"/>
  <c r="M22" i="3"/>
  <c r="E22" i="3"/>
  <c r="O21" i="3"/>
  <c r="M21" i="3" a="1"/>
  <c r="M21" i="3"/>
  <c r="E21" i="3"/>
  <c r="O20" i="3"/>
  <c r="M20" i="3" a="1"/>
  <c r="M20" i="3"/>
  <c r="E20" i="3"/>
  <c r="O19" i="3"/>
  <c r="M19" i="3" a="1"/>
  <c r="M19" i="3"/>
  <c r="E19" i="3"/>
  <c r="O18" i="3"/>
  <c r="M18" i="3" a="1"/>
  <c r="M18" i="3"/>
  <c r="E18" i="3"/>
  <c r="O17" i="3"/>
  <c r="M17" i="3" a="1"/>
  <c r="M17" i="3"/>
  <c r="E17" i="3"/>
  <c r="O16" i="3"/>
  <c r="M16" i="3" a="1"/>
  <c r="M16" i="3"/>
  <c r="E16" i="3"/>
  <c r="O15" i="3"/>
  <c r="M15" i="3" a="1"/>
  <c r="M15" i="3"/>
  <c r="E15" i="3"/>
  <c r="O14" i="3"/>
  <c r="M14" i="3" a="1"/>
  <c r="M14" i="3"/>
  <c r="E14" i="3"/>
  <c r="O13" i="3"/>
  <c r="M13" i="3" a="1"/>
  <c r="M13" i="3"/>
  <c r="E13" i="3"/>
  <c r="E12" i="3"/>
  <c r="G12" i="3" s="1"/>
  <c r="E4" i="3"/>
  <c r="E59" i="2"/>
  <c r="E49" i="2"/>
  <c r="E41" i="2"/>
  <c r="E31" i="2"/>
  <c r="E27" i="2"/>
  <c r="E26" i="2"/>
  <c r="F25" i="2"/>
  <c r="E22" i="2"/>
  <c r="E21" i="2"/>
  <c r="F20" i="2"/>
  <c r="E19" i="2"/>
  <c r="I9" i="2"/>
  <c r="E5" i="2"/>
  <c r="D4" i="4" s="1"/>
  <c r="E3" i="2"/>
  <c r="E2" i="2"/>
  <c r="AL7" i="27"/>
  <c r="AL7" i="28"/>
  <c r="AN49" i="11"/>
  <c r="AR55" i="19"/>
  <c r="AL46" i="24"/>
  <c r="AN8" i="11"/>
  <c r="AL7" i="25"/>
  <c r="AL7" i="24"/>
  <c r="J13" i="3"/>
  <c r="AL46" i="25"/>
  <c r="AT47" i="31"/>
  <c r="AL46" i="23"/>
  <c r="AL46" i="22"/>
  <c r="AL8" i="21"/>
  <c r="AN49" i="18"/>
  <c r="AN8" i="18"/>
  <c r="AL48" i="21"/>
  <c r="AT47" i="30"/>
  <c r="AV51" i="20"/>
  <c r="AN49" i="12"/>
  <c r="AT7" i="31"/>
  <c r="AL7" i="23"/>
  <c r="AL7" i="22"/>
  <c r="AN8" i="13"/>
  <c r="AN49" i="16"/>
  <c r="M10" i="54"/>
  <c r="AV8" i="20"/>
  <c r="AN8" i="16"/>
  <c r="AT7" i="30"/>
  <c r="AR56" i="19"/>
  <c r="Y25" i="64"/>
  <c r="M10" i="55"/>
  <c r="AN8" i="15"/>
  <c r="AN8" i="17"/>
  <c r="AN49" i="17"/>
  <c r="AN49" i="14"/>
  <c r="AN8" i="14"/>
  <c r="AL46" i="27"/>
  <c r="AN8" i="12"/>
  <c r="M2" i="55"/>
  <c r="AR8" i="19"/>
  <c r="M2" i="54"/>
  <c r="AN49" i="15"/>
  <c r="AL46" i="28"/>
  <c r="AN49" i="13"/>
  <c r="B48" i="33" l="1"/>
  <c r="B45" i="33"/>
  <c r="B44" i="33"/>
  <c r="B51" i="33"/>
  <c r="B34" i="33"/>
  <c r="B50" i="33"/>
  <c r="B42" i="33"/>
  <c r="K33" i="33"/>
  <c r="B49" i="33"/>
  <c r="B41" i="33"/>
  <c r="B40" i="33"/>
  <c r="E42" i="33" s="1"/>
  <c r="B47" i="33"/>
  <c r="B46" i="33"/>
  <c r="E49" i="33" s="1"/>
  <c r="BA58" i="43"/>
  <c r="BT58" i="43"/>
  <c r="S6" i="13"/>
  <c r="J7" i="13"/>
  <c r="S7" i="13" s="1"/>
  <c r="AA58" i="43"/>
  <c r="N58" i="43"/>
  <c r="AB58" i="43"/>
  <c r="BK15" i="43"/>
  <c r="CM15" i="43"/>
  <c r="O58" i="43"/>
  <c r="AR58" i="43"/>
  <c r="Q58" i="43"/>
  <c r="AT39" i="43"/>
  <c r="BI58" i="43"/>
  <c r="CA58" i="43"/>
  <c r="CO38" i="43"/>
  <c r="CO58" i="43" s="1"/>
  <c r="AT49" i="43"/>
  <c r="BK49" i="43"/>
  <c r="H31" i="33"/>
  <c r="H316" i="33" s="1"/>
  <c r="V36" i="43"/>
  <c r="AJ36" i="43"/>
  <c r="CA36" i="43"/>
  <c r="T28" i="43"/>
  <c r="AH28" i="43"/>
  <c r="BK28" i="43"/>
  <c r="BF32" i="43"/>
  <c r="CM32" i="43"/>
  <c r="AV58" i="43"/>
  <c r="CB38" i="43"/>
  <c r="CB58" i="43" s="1"/>
  <c r="BF44" i="43"/>
  <c r="AH49" i="43"/>
  <c r="E16" i="46"/>
  <c r="AT32" i="43"/>
  <c r="W58" i="43"/>
  <c r="T39" i="43"/>
  <c r="AH39" i="43"/>
  <c r="T49" i="43"/>
  <c r="AH54" i="43"/>
  <c r="X36" i="43"/>
  <c r="AL36" i="43"/>
  <c r="BK32" i="43"/>
  <c r="CK58" i="43"/>
  <c r="V38" i="43"/>
  <c r="BN38" i="43"/>
  <c r="BN58" i="43" s="1"/>
  <c r="X48" i="43"/>
  <c r="X58" i="43" s="1"/>
  <c r="CD48" i="43"/>
  <c r="CD58" i="43" s="1"/>
  <c r="V48" i="43"/>
  <c r="E5" i="55"/>
  <c r="L36" i="43"/>
  <c r="Y36" i="43"/>
  <c r="AM36" i="43"/>
  <c r="AZ36" i="43"/>
  <c r="CD36" i="43"/>
  <c r="BV36" i="43" s="1"/>
  <c r="BQ28" i="43"/>
  <c r="T32" i="43"/>
  <c r="AH32" i="43"/>
  <c r="AY38" i="43"/>
  <c r="AY58" i="43" s="1"/>
  <c r="CE38" i="43"/>
  <c r="CE58" i="43" s="1"/>
  <c r="BK44" i="43"/>
  <c r="E24" i="47"/>
  <c r="J51" i="51"/>
  <c r="D21" i="7"/>
  <c r="M36" i="43"/>
  <c r="Z36" i="43"/>
  <c r="AN36" i="43"/>
  <c r="AH36" i="43" s="1"/>
  <c r="BA36" i="43"/>
  <c r="BR36" i="43"/>
  <c r="BG58" i="43"/>
  <c r="H39" i="43"/>
  <c r="AL38" i="43"/>
  <c r="AL58" i="43" s="1"/>
  <c r="AZ38" i="43"/>
  <c r="AZ58" i="43" s="1"/>
  <c r="BQ39" i="43"/>
  <c r="CF58" i="43"/>
  <c r="AH44" i="43"/>
  <c r="BB48" i="43"/>
  <c r="BB58" i="43" s="1"/>
  <c r="BQ49" i="43"/>
  <c r="E28" i="47"/>
  <c r="F23" i="48"/>
  <c r="F10" i="55"/>
  <c r="I6" i="21"/>
  <c r="N36" i="43"/>
  <c r="AA36" i="43"/>
  <c r="AO36" i="43"/>
  <c r="BB36" i="43"/>
  <c r="BS36" i="43"/>
  <c r="CF36" i="43"/>
  <c r="K28" i="43"/>
  <c r="Y38" i="43"/>
  <c r="Y58" i="43" s="1"/>
  <c r="AM38" i="43"/>
  <c r="AM58" i="43" s="1"/>
  <c r="BS58" i="43"/>
  <c r="AI48" i="43"/>
  <c r="AH48" i="43" s="1"/>
  <c r="AA48" i="43"/>
  <c r="AO48" i="43"/>
  <c r="AO58" i="43" s="1"/>
  <c r="E31" i="47"/>
  <c r="F84" i="48"/>
  <c r="L10" i="54"/>
  <c r="R10" i="54" s="1"/>
  <c r="E87" i="33"/>
  <c r="O36" i="43"/>
  <c r="BT36" i="43"/>
  <c r="BV28" i="43"/>
  <c r="BQ32" i="43"/>
  <c r="K39" i="43"/>
  <c r="Z38" i="43"/>
  <c r="Z58" i="43" s="1"/>
  <c r="K49" i="43"/>
  <c r="AB48" i="43"/>
  <c r="CH48" i="43"/>
  <c r="CH58" i="43" s="1"/>
  <c r="K54" i="43"/>
  <c r="BQ54" i="43"/>
  <c r="K8" i="17"/>
  <c r="S8" i="17" s="1"/>
  <c r="J7" i="21"/>
  <c r="AC36" i="43"/>
  <c r="AQ36" i="43"/>
  <c r="BV15" i="43"/>
  <c r="CH36" i="43"/>
  <c r="AJ58" i="43"/>
  <c r="M38" i="43"/>
  <c r="M58" i="43" s="1"/>
  <c r="BC58" i="43"/>
  <c r="BV39" i="43"/>
  <c r="BF48" i="43"/>
  <c r="BF49" i="43"/>
  <c r="BV49" i="43"/>
  <c r="E38" i="47"/>
  <c r="AP58" i="43"/>
  <c r="BD58" i="43"/>
  <c r="BX58" i="43"/>
  <c r="CJ58" i="43"/>
  <c r="I61" i="33"/>
  <c r="AE36" i="43"/>
  <c r="BX36" i="43"/>
  <c r="CJ36" i="43"/>
  <c r="BF28" i="43"/>
  <c r="CM28" i="43"/>
  <c r="BV32" i="43"/>
  <c r="AC38" i="43"/>
  <c r="AC58" i="43" s="1"/>
  <c r="AQ38" i="43"/>
  <c r="AQ58" i="43" s="1"/>
  <c r="BV54" i="43"/>
  <c r="CI48" i="43"/>
  <c r="CI58" i="43" s="1"/>
  <c r="M209" i="48"/>
  <c r="F10" i="54"/>
  <c r="S5" i="31"/>
  <c r="T15" i="43"/>
  <c r="AU36" i="43"/>
  <c r="BI36" i="43"/>
  <c r="BY36" i="43"/>
  <c r="CK36" i="43"/>
  <c r="AT28" i="43"/>
  <c r="P58" i="43"/>
  <c r="AD58" i="43"/>
  <c r="J49" i="51"/>
  <c r="H51" i="51"/>
  <c r="S47" i="11"/>
  <c r="J48" i="11"/>
  <c r="I9" i="50"/>
  <c r="H9" i="45"/>
  <c r="I26" i="40"/>
  <c r="I7" i="39"/>
  <c r="I10" i="38"/>
  <c r="I10" i="37"/>
  <c r="M10" i="35"/>
  <c r="H14" i="34"/>
  <c r="I25" i="33"/>
  <c r="D37" i="7"/>
  <c r="D38" i="7" s="1"/>
  <c r="D39" i="7" s="1"/>
  <c r="D34" i="7"/>
  <c r="D35" i="7"/>
  <c r="D36" i="7"/>
  <c r="F218" i="48"/>
  <c r="F157" i="48"/>
  <c r="F279" i="48"/>
  <c r="F96" i="48"/>
  <c r="F33" i="48"/>
  <c r="G288" i="48"/>
  <c r="G166" i="48"/>
  <c r="G42" i="48"/>
  <c r="G105" i="48"/>
  <c r="G227" i="48"/>
  <c r="AD43" i="15"/>
  <c r="F108" i="48"/>
  <c r="F230" i="48"/>
  <c r="F169" i="48"/>
  <c r="F45" i="48"/>
  <c r="F291" i="48"/>
  <c r="S47" i="12"/>
  <c r="J48" i="12"/>
  <c r="O22" i="64"/>
  <c r="AD46" i="16"/>
  <c r="L22" i="64"/>
  <c r="F23" i="64" s="1"/>
  <c r="S46" i="16"/>
  <c r="J48" i="17"/>
  <c r="I47" i="17"/>
  <c r="S47" i="15"/>
  <c r="J48" i="15"/>
  <c r="J47" i="21"/>
  <c r="K48" i="21"/>
  <c r="S48" i="21" s="1"/>
  <c r="I46" i="21"/>
  <c r="AD44" i="14"/>
  <c r="AD44" i="13"/>
  <c r="S44" i="14"/>
  <c r="S44" i="13"/>
  <c r="D20" i="7"/>
  <c r="J7" i="11"/>
  <c r="F209" i="48"/>
  <c r="F87" i="48"/>
  <c r="F24" i="48"/>
  <c r="F148" i="48"/>
  <c r="F270" i="48"/>
  <c r="G212" i="48"/>
  <c r="G90" i="48"/>
  <c r="G151" i="48"/>
  <c r="G273" i="48"/>
  <c r="G27" i="48"/>
  <c r="AD43" i="12"/>
  <c r="O19" i="64"/>
  <c r="G276" i="48"/>
  <c r="G154" i="48"/>
  <c r="G30" i="48"/>
  <c r="G93" i="48"/>
  <c r="G215" i="48"/>
  <c r="AD43" i="16"/>
  <c r="L19" i="64"/>
  <c r="S43" i="16"/>
  <c r="G294" i="48"/>
  <c r="G172" i="48"/>
  <c r="G48" i="48"/>
  <c r="G233" i="48"/>
  <c r="G111" i="48"/>
  <c r="AC42" i="21"/>
  <c r="S45" i="13"/>
  <c r="S45" i="14"/>
  <c r="G236" i="48"/>
  <c r="G114" i="48"/>
  <c r="G175" i="48"/>
  <c r="G297" i="48"/>
  <c r="G51" i="48"/>
  <c r="AC41" i="22"/>
  <c r="S44" i="23"/>
  <c r="J45" i="23"/>
  <c r="G242" i="48"/>
  <c r="G120" i="48"/>
  <c r="G303" i="48"/>
  <c r="G57" i="48"/>
  <c r="G181" i="48"/>
  <c r="AC41" i="24"/>
  <c r="F184" i="48"/>
  <c r="F123" i="48"/>
  <c r="F306" i="48"/>
  <c r="F245" i="48"/>
  <c r="F60" i="48"/>
  <c r="S44" i="25"/>
  <c r="J45" i="25"/>
  <c r="G248" i="48"/>
  <c r="G126" i="48"/>
  <c r="G187" i="48"/>
  <c r="G309" i="48"/>
  <c r="G63" i="48"/>
  <c r="AD46" i="26"/>
  <c r="F312" i="48"/>
  <c r="F251" i="48"/>
  <c r="F66" i="48"/>
  <c r="F190" i="48"/>
  <c r="F129" i="48"/>
  <c r="J46" i="30"/>
  <c r="S45" i="30"/>
  <c r="G254" i="48"/>
  <c r="G132" i="48"/>
  <c r="G69" i="48"/>
  <c r="G193" i="48"/>
  <c r="G315" i="48"/>
  <c r="AG42" i="31"/>
  <c r="F196" i="48"/>
  <c r="F135" i="48"/>
  <c r="F318" i="48"/>
  <c r="F257" i="48"/>
  <c r="F72" i="48"/>
  <c r="G260" i="48"/>
  <c r="G138" i="48"/>
  <c r="G75" i="48"/>
  <c r="G199" i="48"/>
  <c r="G321" i="48"/>
  <c r="AC41" i="27"/>
  <c r="F78" i="48"/>
  <c r="F202" i="48"/>
  <c r="F141" i="48"/>
  <c r="F324" i="48"/>
  <c r="F263" i="48"/>
  <c r="J45" i="28"/>
  <c r="S44" i="28"/>
  <c r="G266" i="48"/>
  <c r="G144" i="48"/>
  <c r="G327" i="48"/>
  <c r="G81" i="48"/>
  <c r="G205" i="48"/>
  <c r="AD46" i="29"/>
  <c r="I10" i="50"/>
  <c r="H10" i="45"/>
  <c r="M11" i="35"/>
  <c r="I27" i="40"/>
  <c r="I8" i="39"/>
  <c r="H15" i="34"/>
  <c r="I11" i="38"/>
  <c r="I11" i="37"/>
  <c r="I26" i="33"/>
  <c r="AD45" i="14"/>
  <c r="AD45" i="13"/>
  <c r="F54" i="48"/>
  <c r="F178" i="48"/>
  <c r="F117" i="48"/>
  <c r="F300" i="48"/>
  <c r="F239" i="48"/>
  <c r="I11" i="50"/>
  <c r="H11" i="45"/>
  <c r="I28" i="40"/>
  <c r="I9" i="39"/>
  <c r="I12" i="38"/>
  <c r="I12" i="37"/>
  <c r="H16" i="34"/>
  <c r="M12" i="35"/>
  <c r="I27" i="33"/>
  <c r="O20" i="64"/>
  <c r="AD44" i="16"/>
  <c r="L20" i="64"/>
  <c r="S44" i="16"/>
  <c r="K55" i="19"/>
  <c r="U54" i="19"/>
  <c r="J48" i="18"/>
  <c r="I47" i="18"/>
  <c r="J50" i="20"/>
  <c r="K51" i="20"/>
  <c r="S51" i="20" s="1"/>
  <c r="I49" i="20"/>
  <c r="AD46" i="13"/>
  <c r="AD46" i="14"/>
  <c r="S46" i="14"/>
  <c r="I47" i="14" s="1"/>
  <c r="S46" i="13"/>
  <c r="I47" i="13" s="1"/>
  <c r="S7" i="18"/>
  <c r="K8" i="18"/>
  <c r="S8" i="18" s="1"/>
  <c r="S6" i="31"/>
  <c r="K7" i="31"/>
  <c r="S7" i="31" s="1"/>
  <c r="G282" i="48"/>
  <c r="G160" i="48"/>
  <c r="G36" i="48"/>
  <c r="G99" i="48"/>
  <c r="G221" i="48"/>
  <c r="AD43" i="17"/>
  <c r="F102" i="48"/>
  <c r="F39" i="48"/>
  <c r="F224" i="48"/>
  <c r="F163" i="48"/>
  <c r="F285" i="48"/>
  <c r="G2" i="48"/>
  <c r="G148" i="48"/>
  <c r="G87" i="48"/>
  <c r="G270" i="48"/>
  <c r="G209" i="48"/>
  <c r="G5" i="48"/>
  <c r="G24" i="48"/>
  <c r="F273" i="48"/>
  <c r="F90" i="48"/>
  <c r="F27" i="48"/>
  <c r="F212" i="48"/>
  <c r="F151" i="48"/>
  <c r="F30" i="48"/>
  <c r="F154" i="48"/>
  <c r="F93" i="48"/>
  <c r="F276" i="48"/>
  <c r="F215" i="48"/>
  <c r="O21" i="64"/>
  <c r="AD45" i="16"/>
  <c r="L21" i="64"/>
  <c r="S45" i="16"/>
  <c r="G218" i="48"/>
  <c r="G96" i="48"/>
  <c r="G279" i="48"/>
  <c r="G33" i="48"/>
  <c r="G157" i="48"/>
  <c r="AG49" i="19"/>
  <c r="F160" i="48"/>
  <c r="F99" i="48"/>
  <c r="F36" i="48"/>
  <c r="F282" i="48"/>
  <c r="F221" i="48"/>
  <c r="G224" i="48"/>
  <c r="G102" i="48"/>
  <c r="G163" i="48"/>
  <c r="G285" i="48"/>
  <c r="G39" i="48"/>
  <c r="AD43" i="18"/>
  <c r="F288" i="48"/>
  <c r="F227" i="48"/>
  <c r="F42" i="48"/>
  <c r="F166" i="48"/>
  <c r="F105" i="48"/>
  <c r="G230" i="48"/>
  <c r="G108" i="48"/>
  <c r="G45" i="48"/>
  <c r="G169" i="48"/>
  <c r="G291" i="48"/>
  <c r="AB45" i="20"/>
  <c r="F172" i="48"/>
  <c r="F111" i="48"/>
  <c r="F294" i="48"/>
  <c r="F233" i="48"/>
  <c r="F48" i="48"/>
  <c r="AD43" i="14"/>
  <c r="AD43" i="13"/>
  <c r="S43" i="14"/>
  <c r="S43" i="13"/>
  <c r="F297" i="48"/>
  <c r="F114" i="48"/>
  <c r="F51" i="48"/>
  <c r="F236" i="48"/>
  <c r="F175" i="48"/>
  <c r="J45" i="22"/>
  <c r="S44" i="22"/>
  <c r="G300" i="48"/>
  <c r="G178" i="48"/>
  <c r="G54" i="48"/>
  <c r="G117" i="48"/>
  <c r="G239" i="48"/>
  <c r="AC41" i="23"/>
  <c r="F242" i="48"/>
  <c r="F181" i="48"/>
  <c r="F303" i="48"/>
  <c r="F57" i="48"/>
  <c r="F120" i="48"/>
  <c r="J45" i="24"/>
  <c r="S44" i="24"/>
  <c r="G306" i="48"/>
  <c r="G184" i="48"/>
  <c r="G60" i="48"/>
  <c r="G123" i="48"/>
  <c r="G245" i="48"/>
  <c r="AC41" i="25"/>
  <c r="F126" i="48"/>
  <c r="F63" i="48"/>
  <c r="F248" i="48"/>
  <c r="F187" i="48"/>
  <c r="F309" i="48"/>
  <c r="G312" i="48"/>
  <c r="G190" i="48"/>
  <c r="G66" i="48"/>
  <c r="G129" i="48"/>
  <c r="G251" i="48"/>
  <c r="AG42" i="30"/>
  <c r="F132" i="48"/>
  <c r="F69" i="48"/>
  <c r="F254" i="48"/>
  <c r="F193" i="48"/>
  <c r="F315" i="48"/>
  <c r="J46" i="31"/>
  <c r="S45" i="31"/>
  <c r="G318" i="48"/>
  <c r="G196" i="48"/>
  <c r="G72" i="48"/>
  <c r="G257" i="48"/>
  <c r="G135" i="48"/>
  <c r="AD46" i="32"/>
  <c r="F321" i="48"/>
  <c r="F138" i="48"/>
  <c r="F75" i="48"/>
  <c r="F199" i="48"/>
  <c r="F260" i="48"/>
  <c r="S44" i="27"/>
  <c r="J45" i="27"/>
  <c r="G324" i="48"/>
  <c r="G202" i="48"/>
  <c r="G78" i="48"/>
  <c r="G141" i="48"/>
  <c r="G263" i="48"/>
  <c r="AC41" i="28"/>
  <c r="F266" i="48"/>
  <c r="F205" i="48"/>
  <c r="F327" i="48"/>
  <c r="F144" i="48"/>
  <c r="F81" i="48"/>
  <c r="S7" i="12"/>
  <c r="K8" i="12"/>
  <c r="S8" i="12" s="1"/>
  <c r="S6" i="12"/>
  <c r="K8" i="13"/>
  <c r="S8" i="13" s="1"/>
  <c r="J7" i="14"/>
  <c r="K8" i="19"/>
  <c r="S5" i="27"/>
  <c r="J6" i="27"/>
  <c r="J6" i="28"/>
  <c r="S5" i="28"/>
  <c r="E44" i="33"/>
  <c r="E45" i="33"/>
  <c r="E40" i="33"/>
  <c r="K8" i="16"/>
  <c r="S8" i="16" s="1"/>
  <c r="S7" i="16"/>
  <c r="J7" i="20"/>
  <c r="K8" i="20"/>
  <c r="S8" i="20" s="1"/>
  <c r="I6" i="20"/>
  <c r="J6" i="22"/>
  <c r="S5" i="22"/>
  <c r="S5" i="23"/>
  <c r="J6" i="23"/>
  <c r="J6" i="24"/>
  <c r="S5" i="24"/>
  <c r="S5" i="25"/>
  <c r="J6" i="25"/>
  <c r="K7" i="30"/>
  <c r="S7" i="30" s="1"/>
  <c r="S6" i="30"/>
  <c r="I31" i="33"/>
  <c r="E43" i="33"/>
  <c r="E51" i="33"/>
  <c r="E46" i="33"/>
  <c r="E50" i="33"/>
  <c r="E48" i="33"/>
  <c r="K8" i="15"/>
  <c r="S8" i="15" s="1"/>
  <c r="E120" i="33"/>
  <c r="E124" i="33"/>
  <c r="E128" i="33"/>
  <c r="E132" i="33"/>
  <c r="E136" i="33"/>
  <c r="E140" i="33"/>
  <c r="E144" i="33"/>
  <c r="E148" i="33"/>
  <c r="E152" i="33"/>
  <c r="E156" i="33"/>
  <c r="E160" i="33"/>
  <c r="E164" i="33"/>
  <c r="E168" i="33"/>
  <c r="E172" i="33"/>
  <c r="E176" i="33"/>
  <c r="E117" i="33"/>
  <c r="E121" i="33"/>
  <c r="E125" i="33"/>
  <c r="E129" i="33"/>
  <c r="E133" i="33"/>
  <c r="E137" i="33"/>
  <c r="E141" i="33"/>
  <c r="E145" i="33"/>
  <c r="E149" i="33"/>
  <c r="E153" i="33"/>
  <c r="E157" i="33"/>
  <c r="E161" i="33"/>
  <c r="E165" i="33"/>
  <c r="E169" i="33"/>
  <c r="E173" i="33"/>
  <c r="E177" i="33"/>
  <c r="AT36" i="43"/>
  <c r="T48" i="43"/>
  <c r="E118" i="33"/>
  <c r="E122" i="33"/>
  <c r="E126" i="33"/>
  <c r="E130" i="33"/>
  <c r="E134" i="33"/>
  <c r="E138" i="33"/>
  <c r="E142" i="33"/>
  <c r="E146" i="33"/>
  <c r="E150" i="33"/>
  <c r="E154" i="33"/>
  <c r="E158" i="33"/>
  <c r="E162" i="33"/>
  <c r="E166" i="33"/>
  <c r="E170" i="33"/>
  <c r="E174" i="33"/>
  <c r="K36" i="43"/>
  <c r="T36" i="43"/>
  <c r="B43" i="33"/>
  <c r="E83" i="33"/>
  <c r="E119" i="33"/>
  <c r="E123" i="33"/>
  <c r="E127" i="33"/>
  <c r="E131" i="33"/>
  <c r="E135" i="33"/>
  <c r="E139" i="33"/>
  <c r="E143" i="33"/>
  <c r="E147" i="33"/>
  <c r="E151" i="33"/>
  <c r="E155" i="33"/>
  <c r="E159" i="33"/>
  <c r="E163" i="33"/>
  <c r="E167" i="33"/>
  <c r="E171" i="33"/>
  <c r="BQ36" i="43"/>
  <c r="CM36" i="43"/>
  <c r="AH15" i="43"/>
  <c r="I36" i="43"/>
  <c r="H36" i="43" s="1"/>
  <c r="L38" i="43"/>
  <c r="U38" i="43"/>
  <c r="AU38" i="43"/>
  <c r="BH38" i="43"/>
  <c r="BH58" i="43" s="1"/>
  <c r="BF58" i="43" s="1"/>
  <c r="BM38" i="43"/>
  <c r="BM58" i="43" s="1"/>
  <c r="BK58" i="43" s="1"/>
  <c r="BR38" i="43"/>
  <c r="BW38" i="43"/>
  <c r="CN38" i="43"/>
  <c r="BV48" i="43"/>
  <c r="CM48" i="43"/>
  <c r="AT54" i="43"/>
  <c r="BG36" i="43"/>
  <c r="BF36" i="43" s="1"/>
  <c r="BL36" i="43"/>
  <c r="BK36" i="43" s="1"/>
  <c r="H38" i="43"/>
  <c r="AI38" i="43"/>
  <c r="BQ48" i="43"/>
  <c r="T54" i="43"/>
  <c r="CM54" i="43"/>
  <c r="BF38" i="43"/>
  <c r="BK38" i="43"/>
  <c r="AT48" i="43"/>
  <c r="L6" i="51"/>
  <c r="U148" i="63"/>
  <c r="AA16" i="63"/>
  <c r="AA12" i="63"/>
  <c r="E32" i="62"/>
  <c r="E30" i="62"/>
  <c r="J47" i="51"/>
  <c r="J46" i="51"/>
  <c r="M270" i="48"/>
  <c r="M148" i="48"/>
  <c r="M24" i="48"/>
  <c r="E14" i="48"/>
  <c r="E35" i="47"/>
  <c r="E25" i="47"/>
  <c r="G17" i="46"/>
  <c r="AA13" i="63"/>
  <c r="E5" i="62"/>
  <c r="E3" i="62"/>
  <c r="AA15" i="63"/>
  <c r="U14" i="63"/>
  <c r="E29" i="62"/>
  <c r="E6" i="62"/>
  <c r="U15" i="63"/>
  <c r="AA11" i="63"/>
  <c r="J52" i="51"/>
  <c r="E5" i="54"/>
  <c r="G52" i="51"/>
  <c r="G51" i="51"/>
  <c r="G46" i="51"/>
  <c r="J50" i="51"/>
  <c r="H52" i="51"/>
  <c r="D5" i="52"/>
  <c r="D51" i="61"/>
  <c r="E4" i="62"/>
  <c r="D48" i="61"/>
  <c r="D49" i="61"/>
  <c r="F2" i="54"/>
  <c r="V58" i="43" l="1"/>
  <c r="AT38" i="43"/>
  <c r="AU58" i="43"/>
  <c r="AT58" i="43" s="1"/>
  <c r="S6" i="27"/>
  <c r="K7" i="27"/>
  <c r="S7" i="27" s="1"/>
  <c r="K46" i="25"/>
  <c r="S46" i="25" s="1"/>
  <c r="S45" i="25"/>
  <c r="D41" i="7"/>
  <c r="D40" i="7"/>
  <c r="D43" i="7"/>
  <c r="D44" i="7" s="1"/>
  <c r="D45" i="7" s="1"/>
  <c r="BR58" i="43"/>
  <c r="BQ58" i="43" s="1"/>
  <c r="BQ38" i="43"/>
  <c r="T38" i="43"/>
  <c r="U58" i="43"/>
  <c r="T58" i="43" s="1"/>
  <c r="S6" i="24"/>
  <c r="K7" i="24"/>
  <c r="S7" i="24" s="1"/>
  <c r="S6" i="22"/>
  <c r="K7" i="22"/>
  <c r="S7" i="22" s="1"/>
  <c r="K47" i="31"/>
  <c r="S47" i="31" s="1"/>
  <c r="S46" i="31"/>
  <c r="K46" i="24"/>
  <c r="S46" i="24" s="1"/>
  <c r="S45" i="24"/>
  <c r="S47" i="13"/>
  <c r="J48" i="13"/>
  <c r="K49" i="18"/>
  <c r="S49" i="18" s="1"/>
  <c r="S48" i="18"/>
  <c r="K46" i="23"/>
  <c r="S46" i="23" s="1"/>
  <c r="S45" i="23"/>
  <c r="K8" i="11"/>
  <c r="S8" i="11" s="1"/>
  <c r="S7" i="11"/>
  <c r="S48" i="17"/>
  <c r="K49" i="17"/>
  <c r="S49" i="17" s="1"/>
  <c r="BV38" i="43"/>
  <c r="BW58" i="43"/>
  <c r="BV58" i="43" s="1"/>
  <c r="K46" i="28"/>
  <c r="S46" i="28" s="1"/>
  <c r="S45" i="28"/>
  <c r="K38" i="43"/>
  <c r="L58" i="43"/>
  <c r="K58" i="43" s="1"/>
  <c r="S6" i="25"/>
  <c r="K7" i="25"/>
  <c r="S7" i="25" s="1"/>
  <c r="S6" i="23"/>
  <c r="K7" i="23"/>
  <c r="S7" i="23" s="1"/>
  <c r="U8" i="19"/>
  <c r="L9" i="19"/>
  <c r="U9" i="19" s="1"/>
  <c r="K46" i="22"/>
  <c r="S46" i="22" s="1"/>
  <c r="S45" i="22"/>
  <c r="S47" i="14"/>
  <c r="J48" i="14"/>
  <c r="K49" i="15"/>
  <c r="S49" i="15" s="1"/>
  <c r="S48" i="15"/>
  <c r="I47" i="16"/>
  <c r="J48" i="16"/>
  <c r="S48" i="12"/>
  <c r="K49" i="12"/>
  <c r="S49" i="12" s="1"/>
  <c r="S48" i="11"/>
  <c r="K49" i="11"/>
  <c r="S49" i="11" s="1"/>
  <c r="AI58" i="43"/>
  <c r="AH58" i="43" s="1"/>
  <c r="AH38" i="43"/>
  <c r="S46" i="30"/>
  <c r="K47" i="30"/>
  <c r="S47" i="30" s="1"/>
  <c r="CM38" i="43"/>
  <c r="CN58" i="43"/>
  <c r="CM58" i="43" s="1"/>
  <c r="I89" i="33"/>
  <c r="I316" i="33" s="1"/>
  <c r="S6" i="28"/>
  <c r="K7" i="28"/>
  <c r="S7" i="28" s="1"/>
  <c r="K8" i="14"/>
  <c r="S8" i="14" s="1"/>
  <c r="S7" i="14"/>
  <c r="K46" i="27"/>
  <c r="S46" i="27" s="1"/>
  <c r="S45" i="27"/>
  <c r="U55" i="19"/>
  <c r="L56" i="19"/>
  <c r="U56" i="19" s="1"/>
  <c r="L23" i="64"/>
  <c r="G24" i="64"/>
  <c r="S48" i="14" l="1"/>
  <c r="K49" i="14"/>
  <c r="S49" i="14" s="1"/>
  <c r="S48" i="16"/>
  <c r="K49" i="16"/>
  <c r="S49" i="16" s="1"/>
  <c r="K49" i="13"/>
  <c r="S49" i="13" s="1"/>
  <c r="S48" i="13"/>
  <c r="L24" i="64"/>
  <c r="H25" i="64"/>
  <c r="L25" i="64" s="1"/>
  <c r="D49" i="7"/>
  <c r="D46" i="7"/>
  <c r="D48" i="7"/>
  <c r="D47"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<sst xmlns="http://schemas.openxmlformats.org/spreadsheetml/2006/main" count="37616" uniqueCount="5165">
  <si>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</si>
  <si>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</si>
  <si>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</si>
  <si>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</si>
  <si>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</si>
  <si>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</si>
  <si>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</si>
  <si>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</si>
  <si>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</si>
  <si>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</si>
  <si>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</si>
  <si>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</si>
  <si>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</si>
  <si>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</si>
  <si>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</si>
  <si>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</si>
  <si>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</si>
  <si>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</si>
  <si>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</si>
  <si>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</si>
  <si>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</si>
  <si>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</si>
  <si>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</si>
  <si>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</si>
  <si>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</si>
  <si>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</si>
  <si>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</si>
  <si>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</si>
  <si>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</si>
  <si>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</si>
  <si>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</si>
  <si>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</si>
  <si>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</si>
  <si>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</si>
  <si>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</si>
  <si>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</si>
  <si>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</si>
  <si>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</si>
  <si>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</si>
  <si>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</si>
  <si>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</si>
  <si>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</si>
  <si>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</si>
  <si>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</si>
  <si>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</si>
  <si>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</si>
  <si>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</si>
  <si>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</si>
  <si>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</si>
  <si>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</si>
  <si>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</si>
  <si>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</si>
  <si>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</si>
  <si>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</si>
  <si>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</si>
  <si>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</si>
  <si>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</si>
  <si>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</si>
  <si>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</si>
  <si>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</si>
  <si>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</si>
  <si>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</si>
  <si>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</si>
  <si>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</si>
  <si>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</si>
  <si>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t>
  </si>
  <si>
    <t>Контактный телефон</t>
  </si>
  <si>
    <t>(4812) 377-222 доб. 128</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</si>
  <si>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</si>
  <si>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</si>
  <si>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</si>
  <si>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</si>
  <si>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</si>
  <si>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</si>
  <si>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</si>
  <si>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</si>
  <si>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</si>
  <si>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</si>
  <si>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</si>
  <si>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</si>
  <si>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</si>
  <si>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</si>
  <si>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</si>
  <si>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</si>
  <si>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</si>
  <si>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</si>
  <si>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</si>
  <si>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</si>
  <si>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</si>
  <si>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2</t>
  </si>
  <si>
    <t>×</t>
  </si>
  <si>
    <t>17</t>
  </si>
  <si>
    <t>Гагаринский муниципальный округ</t>
  </si>
  <si>
    <t>66508000</t>
  </si>
  <si>
    <t>38</t>
  </si>
  <si>
    <t>Дорогобужский муниципальный округ</t>
  </si>
  <si>
    <t>66514000</t>
  </si>
  <si>
    <t>45</t>
  </si>
  <si>
    <t>Духовщинский муниципальный округ</t>
  </si>
  <si>
    <t>66516000</t>
  </si>
  <si>
    <t>5</t>
  </si>
  <si>
    <t>52</t>
  </si>
  <si>
    <t>Ельнинский муниципальный округ</t>
  </si>
  <si>
    <t>66519000</t>
  </si>
  <si>
    <t>58</t>
  </si>
  <si>
    <t>Ершичский муниципальный округ</t>
  </si>
  <si>
    <t>66521000</t>
  </si>
  <si>
    <t>70</t>
  </si>
  <si>
    <t>Краснинский муниципальный округ</t>
  </si>
  <si>
    <t>66524000</t>
  </si>
  <si>
    <t>8</t>
  </si>
  <si>
    <t>76</t>
  </si>
  <si>
    <t>Монастырщинский муниципальный округ</t>
  </si>
  <si>
    <t>66527000</t>
  </si>
  <si>
    <t>9</t>
  </si>
  <si>
    <t>85</t>
  </si>
  <si>
    <t>Новодугинский муниципальный округ</t>
  </si>
  <si>
    <t>66530000</t>
  </si>
  <si>
    <t>10</t>
  </si>
  <si>
    <t>92</t>
  </si>
  <si>
    <t>Починковский муниципальный округ</t>
  </si>
  <si>
    <t>66533000</t>
  </si>
  <si>
    <t>11</t>
  </si>
  <si>
    <t>100</t>
  </si>
  <si>
    <t>Рославльский муниципальный округ</t>
  </si>
  <si>
    <t>66536000</t>
  </si>
  <si>
    <t>12</t>
  </si>
  <si>
    <t>112</t>
  </si>
  <si>
    <t>Руднянский муниципальный округ</t>
  </si>
  <si>
    <t>66538000</t>
  </si>
  <si>
    <t>13</t>
  </si>
  <si>
    <t>120</t>
  </si>
  <si>
    <t>Сафоновский муниципальный округ</t>
  </si>
  <si>
    <t>66541000</t>
  </si>
  <si>
    <t>14</t>
  </si>
  <si>
    <t>135</t>
  </si>
  <si>
    <t>Смоленский муниципальный округ</t>
  </si>
  <si>
    <t>66544000</t>
  </si>
  <si>
    <t>15</t>
  </si>
  <si>
    <t>156</t>
  </si>
  <si>
    <t>Сычевский муниципальный округ</t>
  </si>
  <si>
    <t>66546000</t>
  </si>
  <si>
    <t>16</t>
  </si>
  <si>
    <t>174</t>
  </si>
  <si>
    <t>Хиславичский муниципальный округ</t>
  </si>
  <si>
    <t>66552000</t>
  </si>
  <si>
    <t>183</t>
  </si>
  <si>
    <t>Холм-Жирковский муниципальный округ</t>
  </si>
  <si>
    <t>66554000</t>
  </si>
  <si>
    <t>18</t>
  </si>
  <si>
    <t>191</t>
  </si>
  <si>
    <t>Шумячский муниципальный округ</t>
  </si>
  <si>
    <t>66556000</t>
  </si>
  <si>
    <t>19</t>
  </si>
  <si>
    <t>201</t>
  </si>
  <si>
    <t>Ярцевский муниципальный округ</t>
  </si>
  <si>
    <t>66558000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</si>
  <si>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</si>
  <si>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</si>
  <si>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</si>
  <si>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</si>
  <si>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</si>
  <si>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</si>
  <si>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</si>
  <si>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</si>
  <si>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</si>
  <si>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</si>
  <si>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</si>
  <si>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</si>
  <si>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</si>
  <si>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</si>
  <si>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</si>
  <si>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</si>
  <si>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</si>
  <si>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</si>
  <si>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</si>
  <si>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</si>
  <si>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</si>
  <si>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</si>
  <si>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</si>
  <si>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</si>
  <si>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</si>
  <si>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</si>
  <si>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</si>
  <si>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</si>
  <si>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</si>
  <si>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</si>
  <si>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</si>
  <si>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</si>
  <si>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</si>
  <si>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</si>
  <si>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</si>
  <si>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</si>
  <si>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</si>
  <si>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</si>
  <si>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</si>
  <si>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</si>
  <si>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</si>
  <si>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</si>
  <si>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</si>
  <si>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</si>
  <si>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</si>
  <si>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</si>
  <si>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</si>
  <si>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</si>
  <si>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</si>
  <si>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</si>
  <si>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</si>
  <si>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</si>
  <si>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</si>
  <si>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</si>
  <si>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</si>
  <si>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</si>
  <si>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</si>
  <si>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</si>
  <si>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</si>
  <si>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</si>
  <si>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</si>
  <si>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</si>
  <si>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</si>
  <si>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</si>
  <si>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</si>
  <si>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</si>
  <si>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</si>
  <si>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</si>
  <si>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</si>
  <si>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</si>
  <si>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</si>
  <si>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</si>
  <si>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</si>
  <si>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</si>
  <si>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</si>
  <si>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</si>
  <si>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</si>
  <si>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</si>
  <si>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</si>
  <si>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</si>
  <si>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</si>
  <si>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</si>
  <si>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</si>
  <si>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</si>
  <si>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</si>
  <si>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</si>
  <si>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</si>
  <si>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</si>
  <si>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</si>
  <si>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</si>
  <si>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</si>
  <si>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</si>
  <si>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</si>
  <si>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</si>
  <si>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</si>
  <si>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</si>
  <si>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</si>
  <si>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</si>
  <si>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</si>
  <si>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</si>
  <si>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</si>
  <si>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</si>
  <si>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</si>
  <si>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</si>
  <si>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</si>
  <si>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</si>
  <si>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</si>
  <si>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</si>
  <si>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</si>
  <si>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</si>
  <si>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</si>
  <si>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</si>
  <si>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</si>
  <si>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</si>
  <si>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</si>
  <si>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</si>
  <si>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</si>
  <si>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</si>
  <si>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</si>
  <si>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</si>
  <si>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</si>
  <si>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</si>
  <si>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</si>
  <si>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</si>
  <si>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</si>
  <si>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</si>
  <si>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</si>
  <si>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</si>
  <si>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</si>
  <si>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</si>
  <si>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</si>
  <si>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</si>
  <si>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</si>
  <si>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</si>
  <si>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</si>
  <si>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</si>
  <si>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</si>
  <si>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</si>
  <si>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</si>
  <si>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</si>
  <si>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</si>
  <si>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</si>
  <si>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</si>
  <si>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</si>
  <si>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</si>
  <si>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</si>
  <si>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</si>
  <si>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</si>
  <si>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</si>
  <si>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</si>
  <si>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</si>
  <si>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</si>
  <si>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</si>
  <si>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</si>
  <si>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</si>
  <si>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</si>
  <si>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</si>
  <si>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</si>
  <si>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</si>
  <si>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</si>
  <si>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</si>
  <si>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</si>
  <si>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</si>
  <si>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</si>
  <si>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</si>
  <si>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</si>
  <si>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</si>
  <si>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</si>
  <si>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</si>
  <si>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</si>
  <si>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</si>
  <si>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</si>
  <si>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</si>
  <si>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</si>
  <si>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</si>
  <si>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</si>
  <si>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</si>
  <si>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</si>
  <si>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</si>
  <si>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</si>
  <si>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</si>
  <si>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</si>
  <si>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</si>
  <si>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</si>
  <si>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</si>
  <si>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</si>
  <si>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</si>
  <si>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</si>
  <si>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</si>
  <si>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</si>
  <si>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</si>
  <si>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</si>
  <si>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</si>
  <si>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</si>
  <si>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</si>
  <si>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</si>
  <si>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</si>
  <si>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</si>
  <si>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</si>
  <si>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</si>
  <si>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</si>
  <si>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</si>
  <si>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</si>
  <si>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</si>
  <si>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</si>
  <si>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</si>
  <si>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</si>
  <si>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</si>
  <si>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</si>
  <si>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</si>
  <si>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</si>
  <si>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</si>
  <si>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</si>
  <si>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</si>
  <si>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</si>
  <si>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</si>
  <si>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</si>
  <si>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</si>
  <si>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</si>
  <si>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</si>
  <si>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</si>
  <si>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</si>
  <si>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</si>
  <si>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</si>
  <si>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</si>
  <si>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</si>
  <si>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</si>
  <si>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</si>
  <si>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</si>
  <si>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</si>
  <si>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</si>
  <si>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</si>
  <si>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</si>
  <si>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</si>
  <si>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</si>
  <si>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</si>
  <si>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</si>
  <si>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</si>
  <si>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</si>
  <si>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</si>
  <si>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</si>
  <si>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</si>
  <si>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</si>
  <si>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</si>
  <si>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</si>
  <si>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</si>
  <si>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</si>
  <si>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</si>
  <si>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</si>
  <si>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</si>
  <si>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</si>
  <si>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</si>
  <si>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</si>
  <si>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</si>
  <si>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</si>
  <si>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</si>
  <si>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</si>
  <si>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</si>
  <si>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</si>
  <si>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</si>
  <si>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</si>
  <si>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</si>
  <si>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</si>
  <si>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</si>
  <si>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</si>
  <si>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</si>
  <si>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</si>
  <si>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</si>
  <si>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</si>
  <si>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</si>
  <si>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</si>
  <si>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</si>
  <si>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</si>
  <si>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</si>
  <si>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</si>
  <si>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</si>
  <si>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</si>
  <si>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</si>
  <si>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</si>
  <si>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</si>
  <si>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</si>
  <si>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</si>
  <si>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</si>
  <si>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</si>
  <si>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</si>
  <si>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</si>
  <si>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</si>
  <si>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</si>
  <si>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</si>
  <si>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</si>
  <si>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</si>
  <si>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</si>
  <si>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</si>
  <si>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</si>
  <si>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</si>
  <si>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</si>
  <si>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</si>
  <si>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</si>
  <si>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</si>
  <si>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</si>
  <si>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</si>
  <si>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</si>
  <si>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</si>
  <si>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</si>
  <si>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</si>
  <si>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</si>
  <si>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</si>
  <si>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</si>
  <si>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</si>
  <si>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</si>
  <si>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</si>
  <si>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</si>
  <si>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</si>
  <si>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</si>
  <si>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</si>
  <si>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</si>
  <si>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</si>
  <si>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</si>
  <si>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</si>
  <si>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</si>
  <si>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</si>
  <si>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</si>
  <si>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</si>
  <si>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</si>
  <si>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</si>
  <si>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</si>
  <si>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</si>
  <si>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</si>
  <si>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</si>
  <si>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</si>
  <si>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</si>
  <si>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</si>
  <si>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</si>
  <si>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</si>
  <si>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</si>
  <si>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</si>
  <si>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</si>
  <si>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</si>
  <si>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</si>
  <si>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</si>
  <si>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</si>
  <si>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</si>
  <si>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</si>
  <si>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</si>
  <si>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</si>
  <si>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</si>
  <si>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</si>
  <si>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</si>
  <si>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</si>
  <si>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</si>
  <si>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</si>
  <si>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</si>
  <si>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</si>
  <si>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</si>
  <si>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</si>
  <si>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</si>
  <si>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</si>
  <si>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</si>
  <si>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</si>
  <si>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</si>
  <si>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</si>
  <si>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</si>
  <si>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</si>
  <si>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</si>
  <si>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</si>
  <si>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</si>
  <si>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</si>
  <si>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</si>
  <si>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</si>
  <si>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</si>
  <si>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</si>
  <si>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</si>
  <si>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</si>
  <si>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</si>
  <si>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</si>
  <si>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</si>
  <si>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</si>
  <si>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</si>
  <si>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</si>
  <si>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</si>
  <si>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</si>
  <si>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</si>
  <si>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</si>
  <si>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</si>
  <si>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</si>
  <si>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</si>
  <si>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</si>
  <si>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</si>
  <si>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</si>
  <si>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</si>
  <si>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</si>
  <si>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</si>
  <si>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</si>
  <si>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</si>
  <si>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</si>
  <si>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</si>
  <si>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</si>
  <si>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</si>
  <si>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</si>
  <si>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</si>
  <si>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</si>
  <si>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</si>
  <si>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</si>
  <si>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</si>
  <si>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</si>
  <si>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</si>
  <si>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</si>
  <si>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</si>
  <si>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</si>
  <si>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</si>
  <si>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</si>
  <si>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</si>
  <si>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</si>
  <si>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</si>
  <si>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</si>
  <si>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</si>
  <si>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</si>
  <si>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</si>
  <si>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</si>
  <si>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</si>
  <si>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</si>
  <si>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</si>
  <si>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</si>
  <si>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</si>
  <si>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</si>
  <si>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</si>
  <si>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</si>
  <si>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</si>
  <si>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</si>
  <si>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</si>
  <si>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</si>
  <si>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</si>
  <si>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</si>
  <si>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</si>
  <si>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</si>
  <si>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</si>
  <si>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</si>
  <si>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</si>
  <si>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</si>
  <si>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</si>
  <si>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</si>
  <si>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</si>
  <si>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</si>
  <si>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</si>
  <si>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</si>
  <si>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</si>
  <si>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</si>
  <si>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</si>
  <si>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</si>
  <si>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</si>
  <si>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</si>
  <si>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</si>
  <si>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</si>
  <si>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</si>
  <si>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</si>
  <si>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</si>
  <si>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</si>
  <si>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</si>
  <si>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уголь каменный</t>
  </si>
  <si>
    <t>тонны</t>
  </si>
  <si>
    <t>Торги/аукционы</t>
  </si>
  <si>
    <t>Добавить вид топлива</t>
  </si>
  <si>
    <t>HOTVSNA_P1</t>
  </si>
  <si>
    <t>руб.</t>
  </si>
  <si>
    <t>тыс. кВт·ч</t>
  </si>
  <si>
    <t>HEAT_P6</t>
  </si>
  <si>
    <t>NOT_HOTVSNA</t>
  </si>
  <si>
    <t>отсутствует</t>
  </si>
  <si>
    <t>NOT_HEAT_P1</t>
  </si>
  <si>
    <t>Лизинговые платежи</t>
  </si>
  <si>
    <t xml:space="preserve">Проценты по кредитам </t>
  </si>
  <si>
    <t>Налоги</t>
  </si>
  <si>
    <t>Резерв на погашение дебиторской задолженнсти</t>
  </si>
  <si>
    <t>Прочие расходы</t>
  </si>
  <si>
    <t>Добавить прочие расходы</t>
  </si>
  <si>
    <t>HEAT_P2</t>
  </si>
  <si>
    <t>NOT_HEAT_P2</t>
  </si>
  <si>
    <t>hyp</t>
  </si>
  <si>
    <t>https://portal.eias.ru/Portal/DownloadPage.aspx?type=12&amp;guid=f0f42c8e-e288-454a-9b1c-9f80bc301c52</t>
  </si>
  <si>
    <t>COLDVSNA_P1</t>
  </si>
  <si>
    <t>тыс. куб. м</t>
  </si>
  <si>
    <t>HOTVSNA_P2</t>
  </si>
  <si>
    <t>тыс. Гкал</t>
  </si>
  <si>
    <t>VOTV_P1</t>
  </si>
  <si>
    <t>HEAT_P3</t>
  </si>
  <si>
    <t>Котельная №1, ул. Кронштадтская д.21
Смоленская область, г.Вязьма, ул.Кронштадтская, 
д.21</t>
  </si>
  <si>
    <t>Котельная №2, ул. Кронштадтская 6
Смоленская область, г.Вязьма, ул.Кронштадтская, д.6</t>
  </si>
  <si>
    <t>котельная №3, ул. С. Перовской
Смоленская область, г.Вязьма, ул.С.Перовской, д.6</t>
  </si>
  <si>
    <t>Котельная №4 ЦРБ, г.Вязьма
Смоленская область, г.Вязьма, ул. Комсомольская</t>
  </si>
  <si>
    <t>Котельная №5 дер. Ново-Никольский
Смоленская область, Вяземский р-н, п.Ново-
Никольский</t>
  </si>
  <si>
    <t>Котельная №7 Восток
Смоленская область, г.Вязьма, м-рн Восток</t>
  </si>
  <si>
    <t>Котельная №8 ул. Маяковского
Смоленская область, г.Вязьма, ул.Маяковского</t>
  </si>
  <si>
    <t>Котельная №9 м-н Плетниковка
Смоленская область, г.Вязьма, м-рн Плетниковка</t>
  </si>
  <si>
    <t>Котельная №11 с. Андрейково
Смоленская область, Вяземский р-н, п.Андрейково</t>
  </si>
  <si>
    <t>Котельная №13 д. Новое  село
Смоленская область, Вяземский р-н, п.Новое село</t>
  </si>
  <si>
    <t>Котельная №12 д. Относово
Смоленская область, Вяземский р-н, п.Относово</t>
  </si>
  <si>
    <t>Котельная №14 ст. Семлево
Смоленская область, Вяземский р-н, ст.Семлево</t>
  </si>
  <si>
    <t>Котельная №6 Дом престарелых
Смоленская область, г.Вязьма, ул.Ленина</t>
  </si>
  <si>
    <t>Котельная №16 Средняя  школа №3
Смоленская область, г.Вязьма, Ср.школа №3</t>
  </si>
  <si>
    <t>Котельная №1 Районная  котельная
Смоленская область, г.Гагарин, Воинский пр-зд, 
д.1А</t>
  </si>
  <si>
    <t>Котельная №1 кот."Роддом"
Смоленская оласть, г.Сычевка,ул.Пушкина</t>
  </si>
  <si>
    <t>Котельная №2 "ГДРСУ"
Смоленская оласть, г.Сычевка,ул.Б.Пролетарская</t>
  </si>
  <si>
    <t>Котельная №3 "Школа", г.Сычевка
Смоленская обл. г.Сычевка</t>
  </si>
  <si>
    <t>Котельная №1 "ЦРБ",  с. Новодугино
Смоленская обл., п.г.т.Новодугино</t>
  </si>
  <si>
    <t>Котельная №4 с.Карманово
Смоленская обл., Гагаринский р-н, п.Карманово</t>
  </si>
  <si>
    <t>Котельная №19 с. Семлево
Смоленская область, Вяземский р-н, п.Семлево</t>
  </si>
  <si>
    <t>Котельная №2 БМК-1
Смоленская область,г.Гагарин, ул.Бахтина</t>
  </si>
  <si>
    <t>Котельная №3 БМК-2
Смоленская область,г.Гагарин, ул.Заводская</t>
  </si>
  <si>
    <t>Котельная №21 ул. Гоголя
Смоленская область, гВязьма, ул.Гоголя</t>
  </si>
  <si>
    <t>котельная БМК-9
Смоленская обл. , г. Гагарин, в районе ЦТП-11</t>
  </si>
  <si>
    <t>котельная БМК-8
Смоленская обл., г. Гагарин, ул. Ленина и 
Красноармейская</t>
  </si>
  <si>
    <t>котельная БМК-7
Смоленская обл., г. Гагарин, в районе ЦТП-18</t>
  </si>
  <si>
    <t>Котельная № 5 БМК-3 (ул. Мира)
Смоленская обл., Гагаринский р-он., п.Лесной, ул. 
Мирв</t>
  </si>
  <si>
    <t>Котельная №23 мкр-н Юбилейный
Смоленская обл. г.Вязьма, мкр-н Юбилейный</t>
  </si>
  <si>
    <t>Котельная №22 "ДЭП-2" Сычевское шоссе
Смоленская обл. г.Вязьма, Сычевское ш.</t>
  </si>
  <si>
    <t>котельная №6 ул.Пушная
Смоленская обл. г.Гагарин, ул. Пушная</t>
  </si>
  <si>
    <t>Котельная № 24 ул. Московская
Смоленская обл. г.Вязьма, ул. Московская</t>
  </si>
  <si>
    <t>Котельная № 2 Рославль
Смоленская область г. Рославль, ул. Урицкого</t>
  </si>
  <si>
    <t>Котельная №3 Рославль
Смоленская область г. Рославль, ул. Товарная</t>
  </si>
  <si>
    <t>Котельная №4 Рославль
Смоленская область г. Рославль, ул. Пушкина</t>
  </si>
  <si>
    <t>Котельная №5 Рославль
Смоленская область г. Рославль,  162 квартала</t>
  </si>
  <si>
    <t>Котельная №7 Рославль
Смоленская область г. Рославль, ул. Красина</t>
  </si>
  <si>
    <t>Котельная №11 Рославль
Смоленская область г. Рославль, ул. Свердлова</t>
  </si>
  <si>
    <t>Котельная №15 Рославль
Смоленская область Рославльский район, д. 
Никольское</t>
  </si>
  <si>
    <t>Котельная №17 Рославль
Смоленская область г. Рославль, ул. К. Маркса</t>
  </si>
  <si>
    <t>Котельная №18 Рославль
Смоленская область  Рославльский район п. Остер</t>
  </si>
  <si>
    <t>Котельная №19 Рославль
Смоленская область Рославльский район п. 
Козловка</t>
  </si>
  <si>
    <t>Котельная №1 Ершичи
Смоленская область п. Ершичи, ул. Луговая</t>
  </si>
  <si>
    <t>Котельная №2 Ершичи
Смоленская область п. Ершичи, ЦРБ</t>
  </si>
  <si>
    <t>Котельная №3 Ершичи
Смоленская область п. Ершичи, Ворга</t>
  </si>
  <si>
    <t>Котельная №1 Шумячи
Смоленская область п. Шумячи, ул. Заводская</t>
  </si>
  <si>
    <t>Котельная №2 Шумячи
Смоленская область п. Шумячи, средняя школа</t>
  </si>
  <si>
    <t>Котельная №3 Шумячи
Смоленская область п. Шумячи, школа-интернат</t>
  </si>
  <si>
    <t>Котельная №1 Починок
Смоленская область г. Починок ул. Твардовского</t>
  </si>
  <si>
    <t>Котельная №2 Починок
Смоленская область г. Починок, 1-ый мкр-н</t>
  </si>
  <si>
    <t>Котельная №3 Починок
Смоленская область Починковский район п. Баяды</t>
  </si>
  <si>
    <t>Котельная №4 Починок
Смоленская область Починковский район д. Прудки</t>
  </si>
  <si>
    <t>Котельная №5 Починок
Смоленская область Починковский район п. Лосня</t>
  </si>
  <si>
    <t>Котельная №1 Рославль
Смоленская область г. Рославль, 12 мкр-н</t>
  </si>
  <si>
    <t>Котельная №6 Рославль
Смоленская область г. Рославль, средняя школа № 8</t>
  </si>
  <si>
    <t>Котельная №9 Рославль
Смоленская область г. Рославль, средняя школа № 6</t>
  </si>
  <si>
    <t>Котельная №10 Рославль
Смоленская область г. Рославль, средняя школа № 3</t>
  </si>
  <si>
    <t>Котельная №12 Рославль
Смоленская область г. Рославль, ул. Загородная, 
баня № 2</t>
  </si>
  <si>
    <t>Котельная №13 Рославль
Смоленская область г. Рославль, ул. Пайтерова, 
Тубдиспансер</t>
  </si>
  <si>
    <t>Котельная №14 Рославль
Смоленская область г. Рославль, ул. Пайтерова</t>
  </si>
  <si>
    <t>7.61</t>
  </si>
  <si>
    <t>Котельная №30 П/Я 100-6
Смоленская область г. Рославль, П/Я 100-6</t>
  </si>
  <si>
    <t>7.62</t>
  </si>
  <si>
    <t>Котельная №28 Пригорье
Смоленская область Рославльский район, д. 
Пригорье</t>
  </si>
  <si>
    <t>7.63</t>
  </si>
  <si>
    <t>Котельная №20 Козловка СПТУ-31
Смоленская область Рославльский район п. 
Козловка, СПТУ-31</t>
  </si>
  <si>
    <t>7.64</t>
  </si>
  <si>
    <t>Котельная №25 Астапковичи
Смоленская область Рославльского района, д. 
Астапковичи</t>
  </si>
  <si>
    <t>7.65</t>
  </si>
  <si>
    <t>Котельная №22 Липовка
Смоленская область Рославльского района, д. 
Липовка</t>
  </si>
  <si>
    <t>7.66</t>
  </si>
  <si>
    <t>Котельная №26 Грязенять
Смоленская область Рославльский район, д. 
Грязенять</t>
  </si>
  <si>
    <t>7.67</t>
  </si>
  <si>
    <t>Котельная №24 Екимовичи-шк
Смоленская область Рославльского района п. 
Екимовичи (школа</t>
  </si>
  <si>
    <t>7.68</t>
  </si>
  <si>
    <t>Котельная №27 Кириллы
Смоленская область Рославльский район, д. Кириллы</t>
  </si>
  <si>
    <t>7.69</t>
  </si>
  <si>
    <t>Котельная №29 Перенка
Смоленская область Рославльский район д. 
Перенка</t>
  </si>
  <si>
    <t>7.70</t>
  </si>
  <si>
    <t>Котельная №8 Лесники
Смоленская область  Рославльского района, д. 
Лесники</t>
  </si>
  <si>
    <t>7.71</t>
  </si>
  <si>
    <t>Котельная №23 Екимовичи-центр
Смоленская область Рославльский район п. 
Екимовичи (центральная)</t>
  </si>
  <si>
    <t>7.72</t>
  </si>
  <si>
    <t>Котельная №21 Модуль Остер
Смоленская область Рославльского района п. Остёр
 (БМК)</t>
  </si>
  <si>
    <t>7.73</t>
  </si>
  <si>
    <t>Котельная №6, БМК, ул.Строителей
Смоленская область г. Починок, ул. Строителей</t>
  </si>
  <si>
    <t>7.74</t>
  </si>
  <si>
    <t>Котельная №12 РТП
Смоленская область г. Починок, ул. Полевая (РТП)</t>
  </si>
  <si>
    <t>7.75</t>
  </si>
  <si>
    <t>Котельная №15 д.Денисово
Смоленская область Починковский район, д. 
Денисово</t>
  </si>
  <si>
    <t>7.76</t>
  </si>
  <si>
    <t>Котельная №31 Рославль ЦРБ
Смоленская область г. Рославль, ЦРБ</t>
  </si>
  <si>
    <t>7.77</t>
  </si>
  <si>
    <t>№32, ул.Мичурина, 196
г.Рославль ул.Мичурина 196</t>
  </si>
  <si>
    <t>7.78</t>
  </si>
  <si>
    <t>Котельная №14 Пересна
Смоленская обл. Починковский р-он, Мурыгинское 
сп., д.Пересна</t>
  </si>
  <si>
    <t>7.79</t>
  </si>
  <si>
    <t>БМК Даньково
Смоленская обл. Починковский район. Д.Даньково</t>
  </si>
  <si>
    <t>7.80</t>
  </si>
  <si>
    <t>Котельная №1 п. Турковского торфопредприятия
Смоленская область, Монастыршинский район, 
Барсуковское с.п., п. Турковского торфопредприятия</t>
  </si>
  <si>
    <t>7.81</t>
  </si>
  <si>
    <t>Котельная №3 п. Турковского торфопредприятия
Смоленская область, Монастыршинский район, 
Барсуковское с.п., п. Турковского торфопредприятия</t>
  </si>
  <si>
    <t>7.82</t>
  </si>
  <si>
    <t>Котельная №2 п. Турковского торфопредприятия
Смоленская область, Монастыршинский район, 
Барсуковское с.п., п. Турковского торфопредприятия</t>
  </si>
  <si>
    <t>7.83</t>
  </si>
  <si>
    <t>Котельная №1 Ельня
Смоленская область, Ельнинский р-н, 
пос.Льнозавод, ул.Смоленский большак</t>
  </si>
  <si>
    <t>7.84</t>
  </si>
  <si>
    <t>Котельная № 2 Ельня
Смоленская область, г.Ельня, пер.Глинки</t>
  </si>
  <si>
    <t>7.85</t>
  </si>
  <si>
    <t>Котельная №4 Ельня
Смоленская область, г.Ельня, ул.Пролетарская</t>
  </si>
  <si>
    <t>7.86</t>
  </si>
  <si>
    <t>Котельная № 1 Духовщина
Смоленская область, г.Духовщина, ул.Карла 
Либкнехта, 51б</t>
  </si>
  <si>
    <t>7.87</t>
  </si>
  <si>
    <t>Котельная № 2 Духовщина
Смоленская область, г.Духовщина, ул.Смоленская</t>
  </si>
  <si>
    <t>7.88</t>
  </si>
  <si>
    <t>Котельная № 3 Духовщина
Смоленская область, г.Духовщина, ул. Советская, 13а</t>
  </si>
  <si>
    <t>7.89</t>
  </si>
  <si>
    <t>Котельная №16 ул. Советская ,78
Смоленская обл.,г. Сафоново,ул. Советская,78</t>
  </si>
  <si>
    <t>7.90</t>
  </si>
  <si>
    <t>Котельная № 1 Сафоново (шк-интернат)
Смоленская область, г.Сафоново, школа-интернат</t>
  </si>
  <si>
    <t>7.91</t>
  </si>
  <si>
    <t>Котельная № 2 Сафоново пос.Южный.
Смоленская область, г.Сафоново, 
ул.Красноармейская</t>
  </si>
  <si>
    <t>7.92</t>
  </si>
  <si>
    <t>Котельная № 3 Сафоново
Смоленская область, г.Сафоново, ул.Пушкина</t>
  </si>
  <si>
    <t>7.93</t>
  </si>
  <si>
    <t>Котельная № 4 Сафоново (26 квартала)
Смоленская область, г.Сафоново, 26-ой квартал</t>
  </si>
  <si>
    <t>7.94</t>
  </si>
  <si>
    <t>Котельная № 5 Сафоново БМК
Смоленская область, г.Сафоново, ул. Кутузова</t>
  </si>
  <si>
    <t>7.95</t>
  </si>
  <si>
    <t>Котельная №15 ул. Химиков
г. Сафоново ул. Химиков,м-н №1</t>
  </si>
  <si>
    <t>7.96</t>
  </si>
  <si>
    <t>Котельная № 1п.Холм-Жирковский
Смоленская область, п.г.т.Холм-Жирки,  ул. Героя 
Соколова, 9а</t>
  </si>
  <si>
    <t>7.97</t>
  </si>
  <si>
    <t>Котельная № 9 Сафоново 21 квартала
Смоленская область, г.Сафоново, 21 квартал</t>
  </si>
  <si>
    <t>7.98</t>
  </si>
  <si>
    <t>Котельная № 10 Сафоново 45 квартала
Смоленская область, г.Сафоново, ул. 45 квартал</t>
  </si>
  <si>
    <t>7.99</t>
  </si>
  <si>
    <t>Котельная № 8-н Сафоново ГМП
Смоленская область, г.Сафоново, мик-н ГМП</t>
  </si>
  <si>
    <t>7.100</t>
  </si>
  <si>
    <t>котельная № 11 Сафоново ул Районная подстанция
Смоленская область, г.Сафоново, ул. Районная 
подстанция</t>
  </si>
  <si>
    <t>7.101</t>
  </si>
  <si>
    <t>Котельная №17  ул. Ковалева
Смоленская область, г. Сафоново, ул. Ковалева</t>
  </si>
  <si>
    <t>7.102</t>
  </si>
  <si>
    <t>Котельная №12 (Районная подстанция)
г. Сафоново, Районная подстанция(для ж.д. №№1,4)</t>
  </si>
  <si>
    <t>7.103</t>
  </si>
  <si>
    <t>Котельная №13 (Районная подстанция)
г. Сафоново,Районная подстанция(для ж.д.№№1,4)</t>
  </si>
  <si>
    <t>7.104</t>
  </si>
  <si>
    <t>Котельная №18 ул.Первомайская (ЦТП-10)
г. Сафоново, ул. Первомайская</t>
  </si>
  <si>
    <t>7.105</t>
  </si>
  <si>
    <t>Котельная №1 Дорогобуж (ул. Коммунистическая)
Смоленская область, г. Дорогобуж, ул. 
Коммунистическая</t>
  </si>
  <si>
    <t>7.106</t>
  </si>
  <si>
    <t>Котельная №2 Дорогобуж (ул. Павлова)
Смоленская область, г.Дорогобуж, ул. Павлова</t>
  </si>
  <si>
    <t>7.107</t>
  </si>
  <si>
    <t>Котельная №1 БМК с/п Михайловское
Смоленская область, Дорогобужский район, 
Михайловское сельское поселение</t>
  </si>
  <si>
    <t>7.108</t>
  </si>
  <si>
    <t>Котельная №2 Центральная, пгт. Холм-Жирковский
Смоленская обл., пгт.Холм-Жирки, ул.Кирова, д.1</t>
  </si>
  <si>
    <t>7.109</t>
  </si>
  <si>
    <t>Котельная №3 (БМК-3) пгт.Холм-Жирковский
ул.Советская</t>
  </si>
  <si>
    <t>7.110</t>
  </si>
  <si>
    <t>Котельная с. Издешково
215540,Смоленская область,Сафоновский 
район,с.Издешково с.Издешково ул.1-я Ленинская</t>
  </si>
  <si>
    <t>7.111</t>
  </si>
  <si>
    <t>Котельная №2 БМК п.Верхнеднепровский
Смоленская обл.,  Дорогобужский район, п. 
Верхнеднепровский</t>
  </si>
  <si>
    <t>7.112</t>
  </si>
  <si>
    <t>Котельная №4 Игоревская
Смоленская область, Холм-Жирковский район, 
Игоревское сельское поселение, ст.Игоревская</t>
  </si>
  <si>
    <t>7.113</t>
  </si>
  <si>
    <t>Котельная №6 г.Ельня
Смоленская область, г. Ельня, ул. Дорогобужский 
большак, д. 18А</t>
  </si>
  <si>
    <t>7.114</t>
  </si>
  <si>
    <t>Котельная №3 Дорогобуж (ул. Кутузова, РДК)
Смоленская область, г. Дорогобуж, ул.Кутузова</t>
  </si>
  <si>
    <t>7.115</t>
  </si>
  <si>
    <t>Котельная №7 Дорогобуж (ул. К. Маркса, 17)
Смоленская область, г.Дорогобуж, ул. Карла-Маркса
 17</t>
  </si>
  <si>
    <t>7.116</t>
  </si>
  <si>
    <t>Котельная №9 Дорогобуж (ул. Урицкого, 35)
Смоленская область, г. Дорогобуж, ул. Урицкого, 35</t>
  </si>
  <si>
    <t>7.117</t>
  </si>
  <si>
    <t>Котельная №4 Дорогобужский район (д. Озерище)
Смоленская область, Дорогобужский район, д. 
Озерище</t>
  </si>
  <si>
    <t>7.118</t>
  </si>
  <si>
    <t>Котельная №5 Дорогобужский район (с. Алексино)
Смоленская область, Дорогобужский район, с. 
Алексино</t>
  </si>
  <si>
    <t>7.119</t>
  </si>
  <si>
    <t>Котельная №10 Дорогобужский район (д. Усвятье)
Смоленская область, Дорогобужский район, д. 
Усвятье</t>
  </si>
  <si>
    <t>7.120</t>
  </si>
  <si>
    <t>Котельная №6 Дорогобуж (ул. Лермонтова, 12)
Смоленкая область, г.Дорогобуж, ул. Лермонтова 12</t>
  </si>
  <si>
    <t>7.121</t>
  </si>
  <si>
    <t>Котельная №8 Дорогобуж (ул. К. Маркса, 31)
Смоленкая область, г.Дорогобуж, ул. К.Маркса, 31</t>
  </si>
  <si>
    <t>7.122</t>
  </si>
  <si>
    <t>Котельная №11 Дорогобуж (ДОС)
Смоленкая область, г.Дорогобуж, мк-н ДОС</t>
  </si>
  <si>
    <t>7.123</t>
  </si>
  <si>
    <t>№1(ул.Машиностроительная)
Смоленская область, г. Ярцево, ул. 
Машиностроительная, стр.1</t>
  </si>
  <si>
    <t>7.124</t>
  </si>
  <si>
    <t>№2(ул.Октябрьская)
Смоленская область, г. Ярцево, ул. Октябрьская, д. 
2</t>
  </si>
  <si>
    <t>7.125</t>
  </si>
  <si>
    <t>№4(ул.Рабочая)
Смоленская область, г. Ярцево, ул. 1-ая Рабочая, д. 
22</t>
  </si>
  <si>
    <t>7.126</t>
  </si>
  <si>
    <t>№5(ул.Макаренко)
Смоленская область, г. Ярцево, ул. Макаренко, д. 3а</t>
  </si>
  <si>
    <t>7.127</t>
  </si>
  <si>
    <t>№8(ул.Краснооктябрьская)
Смоленская область, г. Ярцево, ул. 
Краснооктябрьская, д. 22</t>
  </si>
  <si>
    <t>7.128</t>
  </si>
  <si>
    <t>№3(ул.Школьная)
Смоленская область, г. Ярцево, ул. Школьная,9</t>
  </si>
  <si>
    <t>7.129</t>
  </si>
  <si>
    <t>№10(ул.Дачная)
Смоленская область, г. Ярцево, ул. Дачная, д. 24</t>
  </si>
  <si>
    <t>7.130</t>
  </si>
  <si>
    <t>№11(Суетово)
Смоленская область,  Ярцевский район, д. Суетово</t>
  </si>
  <si>
    <t>7.131</t>
  </si>
  <si>
    <t>№12(ул.Жукова)
Смоленская область, г. Ярцево, ул. Маршала 
Жукова, д. 1-а</t>
  </si>
  <si>
    <t>7.132</t>
  </si>
  <si>
    <t>№13(д.Михейково)
Смоленская область,  Ярцевский район, д. 
Михейково</t>
  </si>
  <si>
    <t>7.133</t>
  </si>
  <si>
    <t>№15(ул.Победы)
Смоленская область, г. Ярцево, мкр.Яковлево, 
ул.Победы, №. 17-а</t>
  </si>
  <si>
    <t>7.134</t>
  </si>
  <si>
    <t>№14 (ЛММС, д.7)
Смоленская область, г.Ярцево, ЛМПС</t>
  </si>
  <si>
    <t>7.135</t>
  </si>
  <si>
    <t>№16 (ул.Заозерная, 4В)
Смоленская обл., г.Ярцево,ул.Заозерная</t>
  </si>
  <si>
    <t>7.136</t>
  </si>
  <si>
    <t>котельная №1 п. Красный  ул. К.Маркса
Смоленская область, п. Красный ул. К. Маркса, д. 2а</t>
  </si>
  <si>
    <t>7.137</t>
  </si>
  <si>
    <t>Котельная №2 ЦРБ п. Красный
Смоленская область, п. Красный, ул. Ленина</t>
  </si>
  <si>
    <t>7.138</t>
  </si>
  <si>
    <t>Котельная №1 д. Кощино
Смоленская обл., Смоленский мун. окр., д. Кощино, 
ул. Дружбы, 23а</t>
  </si>
  <si>
    <t>7.139</t>
  </si>
  <si>
    <t>Котельная д. Митино (ТК Соколья гора)
Смоленская обл., Смоленский р-н, д. Митино</t>
  </si>
  <si>
    <t>7.140</t>
  </si>
  <si>
    <t>Котельная ул. Вокзальная
г. Смоленск, ул. Вокзальная</t>
  </si>
  <si>
    <t>7.141</t>
  </si>
  <si>
    <t>Котельная №1д.Богородицкое
Смоленская обл., Смоленский р-н, д.Богородицкое</t>
  </si>
  <si>
    <t>7.142</t>
  </si>
  <si>
    <t>Котельная №3 с.Талашкино
Смоленская обл., Смоленский р-н, с.Талашкино</t>
  </si>
  <si>
    <t>7.143</t>
  </si>
  <si>
    <t>Котельная №2 д.Сметанино
Смоленская обл., Смоленский р-н, д.Сметанино</t>
  </si>
  <si>
    <t>7.144</t>
  </si>
  <si>
    <t>Котельная №7 д Плоское
Смоленская обл, Починковский МО, д. Плоское, в р-
н жд. 31</t>
  </si>
  <si>
    <t>7.145</t>
  </si>
  <si>
    <t>Котельная №13 п. Стодолище
Смоленская обл. Починковский МО, п. Стодолище, 1-
й Советский пер.</t>
  </si>
  <si>
    <t>7.146</t>
  </si>
  <si>
    <t>Котельная №13 д. Студенец
Смоленская обл., Шумяческий муниципальный 
округ, д. Студенец, около д.129</t>
  </si>
  <si>
    <t>7.147</t>
  </si>
  <si>
    <t>Котельная №14 д. Надейковичи
Смоленская обл., Шумяческий муниципальный 
округ, д.Надейковичи</t>
  </si>
  <si>
    <t>7.148</t>
  </si>
  <si>
    <t>Котельная №1 п.Хиславичи
Смоленская обл., пгт.Хиславичи, ул. Берестнева, д. 
21а</t>
  </si>
  <si>
    <t>7.149</t>
  </si>
  <si>
    <t>Котельная №2 д. Корзово
Смоленская обл. Хиславический муниципальный 
округ, д. Корзово</t>
  </si>
  <si>
    <t>7.150</t>
  </si>
  <si>
    <t>Котельная №4 (почта)
Смоленская обл., Шумячский муниципальный округ,
 п. Шумячи, ул. Советская, д.76</t>
  </si>
  <si>
    <t>7.151</t>
  </si>
  <si>
    <t>Котельная №5 (нар.суд)
Смоленская обл., Шумячский муниципальный округ,
 п. Шумячи, ул. Советская, д.94</t>
  </si>
  <si>
    <t>7.152</t>
  </si>
  <si>
    <t>Котельная №6 (СХТ)
Смоленская обл., Шумячский муниципальный округ,
 п. Шумячи, ул. Сельхозтехника</t>
  </si>
  <si>
    <t>7.153</t>
  </si>
  <si>
    <t>Котельная №7 ЦРБ
Смоленская обл., Шумячский муниципальный округ,
 п. Шумячи, ул. Пионерская</t>
  </si>
  <si>
    <t>7.154</t>
  </si>
  <si>
    <t>Котельная №8 МСО
Смоленская обл., Шумячский муниципальный округ,
 п. Шумячи, ул. Базарная</t>
  </si>
  <si>
    <t>7.155</t>
  </si>
  <si>
    <t>Котельная №9 ПМК-160
Смоленская обл., Шумячский муниципальный округ,
 п. Шумячи, ул. Маяковского</t>
  </si>
  <si>
    <t>7.156</t>
  </si>
  <si>
    <t>Котельная №11 с. Первомайский
Смоленская обл., Шумячский муниципальный округ,
 с. Первомайский, ул. Советская</t>
  </si>
  <si>
    <t>7.157</t>
  </si>
  <si>
    <t>Котельная №10 с. Первомайский
Смоленская обл., Шумячский муниципальный округ,
 с. Первомайский, ул. Никольская</t>
  </si>
  <si>
    <t>7.158</t>
  </si>
  <si>
    <t>Котельная №3 ФОК Красный
Смоленская обл., Краснинский муниципальный 
округ, пгт. Красный, ул. Ленина</t>
  </si>
  <si>
    <t>7.159</t>
  </si>
  <si>
    <t>Котельная №4 Гусино
Смоленская обл., Краснинский муниципальный 
округ,д. Гусино, ул. Октябрьская, 29в</t>
  </si>
  <si>
    <t>7.160</t>
  </si>
  <si>
    <t>Котельная №5 Гусино
Смоленская обл., Краснинский муниципальный 
округ, д. Гусино, ул. Молодежная</t>
  </si>
  <si>
    <t>7.161</t>
  </si>
  <si>
    <t>Котельная № 1 с. Понизовье
Смоленская обл., Руднянский муниципальный 
округ, с. Понизовье, ул. Чибисова К.Н., д. 22а</t>
  </si>
  <si>
    <t>7.162</t>
  </si>
  <si>
    <t>"Котельная №25 с.Вязьма-Брянская
 Смоленская обл., Вяземский МО, с. Вязьма-
 Брянская
"</t>
  </si>
  <si>
    <t>7.163</t>
  </si>
  <si>
    <t>ПУ-29 Смоленская область г. Починок, ул.Садовая, 23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</si>
  <si>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</si>
  <si>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</si>
  <si>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</si>
  <si>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</si>
  <si>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</si>
  <si>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</si>
  <si>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</si>
  <si>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</si>
  <si>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</si>
  <si>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</si>
  <si>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</si>
  <si>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</si>
  <si>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</si>
  <si>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</si>
  <si>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</si>
  <si>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</si>
  <si>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</si>
  <si>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</si>
  <si>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</si>
  <si>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</si>
  <si>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</si>
  <si>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</si>
  <si>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</si>
  <si>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</si>
  <si>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</si>
  <si>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</si>
  <si>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</si>
  <si>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</si>
  <si>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</si>
  <si>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</si>
  <si>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</si>
  <si>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</si>
  <si>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</si>
  <si>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</si>
  <si>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</si>
  <si>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</si>
  <si>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</si>
  <si>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</si>
  <si>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</si>
  <si>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</si>
  <si>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</si>
  <si>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</si>
  <si>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</si>
  <si>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</si>
  <si>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</si>
  <si>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</si>
  <si>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</si>
  <si>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</si>
  <si>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</si>
  <si>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</si>
  <si>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</si>
  <si>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</si>
  <si>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</si>
  <si>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</si>
  <si>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</si>
  <si>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</si>
  <si>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</si>
  <si>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</si>
  <si>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</si>
  <si>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</si>
  <si>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</si>
  <si>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</si>
  <si>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</si>
  <si>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</si>
  <si>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</si>
  <si>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</si>
  <si>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</si>
  <si>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</si>
  <si>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</si>
  <si>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</si>
  <si>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</si>
  <si>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</si>
  <si>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</si>
  <si>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</si>
  <si>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</si>
  <si>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</si>
  <si>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</si>
  <si>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</si>
  <si>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</si>
  <si>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</si>
  <si>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</si>
  <si>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</si>
  <si>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</si>
  <si>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</si>
  <si>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</si>
  <si>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</si>
  <si>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</si>
  <si>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</si>
  <si>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</si>
  <si>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</si>
  <si>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</si>
  <si>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</si>
  <si>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</si>
  <si>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</si>
  <si>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</si>
  <si>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</si>
  <si>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</si>
  <si>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</si>
  <si>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</si>
  <si>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</si>
  <si>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</si>
  <si>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</si>
  <si>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</si>
  <si>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</si>
  <si>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</si>
  <si>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</si>
  <si>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</si>
  <si>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</si>
  <si>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</si>
  <si>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</si>
  <si>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</si>
  <si>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</si>
  <si>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</si>
  <si>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</si>
  <si>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</si>
  <si>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</si>
  <si>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</si>
  <si>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</si>
  <si>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</si>
  <si>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</si>
  <si>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</si>
  <si>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</si>
  <si>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</si>
  <si>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</si>
  <si>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</si>
  <si>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</si>
  <si>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</si>
  <si>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</si>
  <si>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</si>
  <si>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</si>
  <si>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</si>
  <si>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</si>
  <si>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</si>
  <si>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</si>
  <si>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</si>
  <si>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</si>
  <si>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</si>
  <si>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</si>
  <si>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</si>
  <si>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</si>
  <si>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</si>
  <si>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</si>
  <si>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</si>
  <si>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</si>
  <si>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</si>
  <si>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</si>
  <si>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</si>
  <si>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</si>
  <si>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</si>
  <si>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</si>
  <si>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</si>
  <si>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</si>
  <si>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</si>
  <si>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</si>
  <si>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</si>
  <si>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</si>
  <si>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</si>
  <si>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</si>
  <si>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</si>
  <si>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</si>
  <si>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</si>
  <si>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</si>
  <si>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</si>
  <si>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</si>
  <si>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</si>
  <si>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</si>
  <si>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</si>
  <si>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</si>
  <si>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</si>
  <si>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</si>
  <si>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</si>
  <si>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</si>
  <si>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</si>
  <si>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</si>
  <si>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</si>
  <si>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</si>
  <si>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</si>
  <si>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</si>
  <si>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</si>
  <si>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</si>
  <si>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</si>
  <si>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</si>
  <si>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</si>
  <si>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</si>
  <si>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</si>
  <si>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</si>
  <si>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</si>
  <si>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</si>
  <si>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</si>
  <si>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</si>
  <si>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</si>
  <si>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</si>
  <si>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</si>
  <si>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</si>
  <si>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</si>
  <si>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</si>
  <si>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</si>
  <si>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</si>
  <si>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</si>
  <si>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</si>
  <si>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</si>
  <si>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</si>
  <si>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</si>
  <si>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</si>
  <si>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</si>
  <si>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</si>
  <si>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</si>
  <si>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</si>
  <si>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</si>
  <si>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</si>
  <si>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</si>
  <si>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</si>
  <si>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</si>
  <si>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</si>
  <si>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</si>
  <si>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</si>
  <si>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</si>
  <si>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</si>
  <si>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</si>
  <si>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</si>
  <si>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</si>
  <si>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</si>
  <si>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</si>
  <si>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</si>
  <si>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</si>
  <si>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</si>
  <si>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</si>
  <si>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</si>
  <si>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</si>
  <si>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</si>
  <si>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</si>
  <si>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</si>
  <si>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</si>
  <si>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</si>
  <si>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</si>
  <si>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</si>
  <si>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</si>
  <si>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</si>
  <si>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</si>
  <si>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</si>
  <si>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</si>
  <si>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</si>
  <si>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</si>
  <si>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</si>
  <si>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</si>
  <si>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</si>
  <si>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</si>
  <si>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</si>
  <si>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</si>
  <si>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</si>
  <si>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</si>
  <si>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</si>
  <si>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</si>
  <si>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Постановление Министерства жилищно-коммунального хозяйства, энергетики и тарифной политики Смоленской области от 19.12.2023 № 243</t>
  </si>
  <si>
    <t>https://portal.eias.ru/Portal/DownloadPage.aspx?type=12&amp;guid=b8235fcb-0f6e-4950-9530-2d87544d8296</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</si>
  <si>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</si>
  <si>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</si>
  <si>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</si>
  <si>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</si>
  <si>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</si>
  <si>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</si>
  <si>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</si>
  <si>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</si>
  <si>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</si>
  <si>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</si>
  <si>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</si>
  <si>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</si>
  <si>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</si>
  <si>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</si>
  <si>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</si>
  <si>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</si>
  <si>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</si>
  <si>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</si>
  <si>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</si>
  <si>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</si>
  <si>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</si>
  <si>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</si>
  <si>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</si>
  <si>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</si>
  <si>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</si>
  <si>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</si>
  <si>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</si>
  <si>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</si>
  <si>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</si>
  <si>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</si>
  <si>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</si>
  <si>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</si>
  <si>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</si>
  <si>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</si>
  <si>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</si>
  <si>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</si>
  <si>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</si>
  <si>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</si>
  <si>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</si>
  <si>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</si>
  <si>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</si>
  <si>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</si>
  <si>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</si>
  <si>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</si>
  <si>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</si>
  <si>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</si>
  <si>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</si>
  <si>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</si>
  <si>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</si>
  <si>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</si>
  <si>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</si>
  <si>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</si>
  <si>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</si>
  <si>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</si>
  <si>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</si>
  <si>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</si>
  <si>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</si>
  <si>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</si>
  <si>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</si>
  <si>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</si>
  <si>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</si>
  <si>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</si>
  <si>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</si>
  <si>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</si>
  <si>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</si>
  <si>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</si>
  <si>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</si>
  <si>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</si>
  <si>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</si>
  <si>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</si>
  <si>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</si>
  <si>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</si>
  <si>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</si>
  <si>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</si>
  <si>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</si>
  <si>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</si>
  <si>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</si>
  <si>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</si>
  <si>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</si>
  <si>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</si>
  <si>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</si>
  <si>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</si>
  <si>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</si>
  <si>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</si>
  <si>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</si>
  <si>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</si>
  <si>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</si>
  <si>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</si>
  <si>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</si>
  <si>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</si>
  <si>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</si>
  <si>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</si>
  <si>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</si>
  <si>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</si>
  <si>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</si>
  <si>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</si>
  <si>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</si>
  <si>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</si>
  <si>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</si>
  <si>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</si>
  <si>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</si>
  <si>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</si>
  <si>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</si>
  <si>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</si>
  <si>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</si>
  <si>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</si>
  <si>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</si>
  <si>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</si>
  <si>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</si>
  <si>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</si>
  <si>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</si>
  <si>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</si>
  <si>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</si>
  <si>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</si>
  <si>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</si>
  <si>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</si>
  <si>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</si>
  <si>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</si>
  <si>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</si>
  <si>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</si>
  <si>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</si>
  <si>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</si>
  <si>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</si>
  <si>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</si>
  <si>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</si>
  <si>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</si>
  <si>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</si>
  <si>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</si>
  <si>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</si>
  <si>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</si>
  <si>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</si>
  <si>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</si>
  <si>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</si>
  <si>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</si>
  <si>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</si>
  <si>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</si>
  <si>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</si>
  <si>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</si>
  <si>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</si>
  <si>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</si>
  <si>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</si>
  <si>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</si>
  <si>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</si>
  <si>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</si>
  <si>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</si>
  <si>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</si>
  <si>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</si>
  <si>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</si>
  <si>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</si>
  <si>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</si>
  <si>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</si>
  <si>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</si>
  <si>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</si>
  <si>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</si>
  <si>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</si>
  <si>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</si>
  <si>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</si>
  <si>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</si>
  <si>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</si>
  <si>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</si>
  <si>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</si>
  <si>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t>
  </si>
  <si>
    <t>прочее</t>
  </si>
  <si>
    <t xml:space="preserve">Департамент Смоленской области по энергетике, энергоэффективности, тарифной политике
</t>
  </si>
  <si>
    <t>Администрация муниципального образования "Шумячский район" Смоленской области</t>
  </si>
  <si>
    <t>01.01.2020</t>
  </si>
  <si>
    <t>31.12.2026</t>
  </si>
  <si>
    <t>Об утверждении инвестиционной программы в сфере теплоснабжения ООО «Смоленскрегионтеплоэнерго» пос. Шумячи на 2020-2026 гг.</t>
  </si>
  <si>
    <t>постановление</t>
  </si>
  <si>
    <t>28.10.2019</t>
  </si>
  <si>
    <t>О внесении изменений в постановление Департамента Смоленской области по энергетике, энергоэффективности, тарифной политике от 28.10.2019 № 100</t>
  </si>
  <si>
    <t>ip_5</t>
  </si>
  <si>
    <t>Добавить реквизиты</t>
  </si>
  <si>
    <t>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округа Гагаринский на 2016-2027 годы</t>
  </si>
  <si>
    <t>Департамент Смоленской области по энергетике, энергоэффективности, тарифной политике</t>
  </si>
  <si>
    <t>Администрация муниципального образования"Гагаринский район" Смоленской области</t>
  </si>
  <si>
    <t>01.01.2016</t>
  </si>
  <si>
    <t>31.12.2027</t>
  </si>
  <si>
    <t>Об утверждении инвестиционных программ в сфере теплоснабжения ООО «Смоленскрегионтеплоэнерго» на 2016-2027 гг.</t>
  </si>
  <si>
    <t>347</t>
  </si>
  <si>
    <t>30.10.2015</t>
  </si>
  <si>
    <t>О внесении изменений в постановление Департамента Смоленской области по энергетике, энергоэффективности, тарифной политике от 30.10.2015 № 347</t>
  </si>
  <si>
    <t>ip_5111</t>
  </si>
  <si>
    <t>Инвестиционная программа № 29 от 12.03.2025 ООО "СМОЛЕНСКРЕГИОНТЕПЛОЭНЕРГО" в сфере теплоснабжения по строительству газовой котельной, на территории д Кощино, Смоленский муниципальный округ, Смоленский муниципальный округ на 2025-2034 годы</t>
  </si>
  <si>
    <t>Министерство жилищно-коммунального хозяйства, энергетики и тарифной политики Смоленской области</t>
  </si>
  <si>
    <t>Кощинский территориальный комитет управления по развитию территорий Администрации муниципального образования "Смоленский муниципальный округ" Смоленской области</t>
  </si>
  <si>
    <t>12.03.2025</t>
  </si>
  <si>
    <t>31.12.2034</t>
  </si>
  <si>
    <t>Об утверждении инвестиционной программы в сфере теплоснабжения обществу с ограниченной ответственностью «Смоленскрегионтеплоэнерго» (дер. Кощино Смоленской области) на 2025-2034 годы</t>
  </si>
  <si>
    <t>29</t>
  </si>
  <si>
    <t>от 13.12.2024 г. № 98/01-с</t>
  </si>
  <si>
    <t>ip_51111</t>
  </si>
  <si>
    <t>Инвестиционная программа № 30 от 12.03.2025 ООО "СМОЛЕНСКРЕГИОНТЕПЛОЭНЕРГО" в сфере теплоснабжения по строительству газовой котельной, на территории с Понизовье, Руднянский муниципальный округ, Руднянский муниципальный округ на 2025-2034 годы</t>
  </si>
  <si>
    <t>Понизовский территориальный комитет управления по развитию территорий Администрации муниципального образования "Руднянский муниципальный округ"Смоленской области</t>
  </si>
  <si>
    <t>Об утверждении инвестиционной программы в сфере теплоснабжения обществу с ограниченной ответственностью «Смоленскрегионтеплоэнерго» (с. Понизовье Смоленской области) на 2025-2034 годы</t>
  </si>
  <si>
    <t>30</t>
  </si>
  <si>
    <t xml:space="preserve">О внесении изменений в постановление министерства
жилищно-коммунального хозяйства, энергетики и тарифной 
политики смоленской области от 12.03.2025 n 30 </t>
  </si>
  <si>
    <t>от 13.12.2024 г. № 97/01-с</t>
  </si>
  <si>
    <t>ip_511111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</si>
  <si>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</si>
  <si>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Муниципальное образование "Ярцевский район" Смоленской области</t>
  </si>
  <si>
    <t>01.01.2025</t>
  </si>
  <si>
    <t>Об утверждении инвестиционной программы в сфере теплоснабжения ООО «Смоленскрегионтеплоэнерго» (г.Ярцево) на 2025-2027 гг.</t>
  </si>
  <si>
    <t>33</t>
  </si>
  <si>
    <t>31.05.2024</t>
  </si>
  <si>
    <t>О внесении изменений в постановление Департамента Смоленской области по энергетике, энергоэффективности, тарифной политике от 31.05.2024 №33</t>
  </si>
  <si>
    <t>ip_5111111</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</si>
  <si>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</si>
  <si>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Муниципальное образование "Починковский район" Смоленской области</t>
  </si>
  <si>
    <t>01.01.2022</t>
  </si>
  <si>
    <t>31.12.2025</t>
  </si>
  <si>
    <t>Об утверждении инвестиционной программы в сфере теплоснабжения ООО «Смоленскрегионтеплоэнерго»  г.Починок на 2022-2025 г.г.</t>
  </si>
  <si>
    <t>48</t>
  </si>
  <si>
    <t>24.05.2021</t>
  </si>
  <si>
    <t>О внесении изменений в постановление Департамента Смоленской области по энергетике, энергоэффективности, тарифной политике от 24.05.2021 № 48</t>
  </si>
  <si>
    <t>ip_51111111</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</si>
  <si>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</si>
  <si>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Администрация муниципального образования "Сычевский район" Смоленской области</t>
  </si>
  <si>
    <t>01.01.2024</t>
  </si>
  <si>
    <t>Об утверждении инвестиционной программы в сфере теплоснабжения ООО «Смоленскрегионтеплоэнерго» (г.Сычевка) на 2024-2026 гг.</t>
  </si>
  <si>
    <t>62</t>
  </si>
  <si>
    <t>27.10.2023</t>
  </si>
  <si>
    <t>О внесении изменений в постановление Департамента Смоленской области по энергетике, энергоэффективности, тарифной политике от 27.10.2023 №62</t>
  </si>
  <si>
    <t>ip_511111111</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</si>
  <si>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</si>
  <si>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Муниципальное образование "Холм-Жирковский район" Смоленской области</t>
  </si>
  <si>
    <t>18.03.2021</t>
  </si>
  <si>
    <t>31.12.2035</t>
  </si>
  <si>
    <t>Об утверждении инвестиционной программы в сфере теплоснабжения ООО «Смоленскрегионтеплоэнерго»  п.г.т. Холм-Жирковский на 2021-2035 г.г.</t>
  </si>
  <si>
    <t>27</t>
  </si>
  <si>
    <t>О внесении изменений в постановление Департамента Смоленской области по энергетике, энергоэффективности, тарифной политике от 18.03.2021 № 27</t>
  </si>
  <si>
    <t>от 15.12.2020 г. № 132/04-с</t>
  </si>
  <si>
    <t>ip_5111111111</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</si>
  <si>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</si>
  <si>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Администрация муниципального образования "Ершичский район" Смоленской области</t>
  </si>
  <si>
    <t>01.01.2023</t>
  </si>
  <si>
    <t>Об утверждении инвестиционной программы в сфере теплоснабжения ООО «Смоленскрегионтеплоэнерго» (Ершичский район, с. Ершичи) на 2023-2025 гг.</t>
  </si>
  <si>
    <t>21</t>
  </si>
  <si>
    <t>13.05.2022</t>
  </si>
  <si>
    <t>О внесении изменений в постановление Департамента Смоленской области по энергетике, энергоэффективности, тарифной политике от 13.05.2022 № 21</t>
  </si>
  <si>
    <t>ip_51111111111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</si>
  <si>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</si>
  <si>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</si>
  <si>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</si>
  <si>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</si>
  <si>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</si>
  <si>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</si>
  <si>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</si>
  <si>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</si>
  <si>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</si>
  <si>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</si>
  <si>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</si>
  <si>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</si>
  <si>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</si>
  <si>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</si>
  <si>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</si>
  <si>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</si>
  <si>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</si>
  <si>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</si>
  <si>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</si>
  <si>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</si>
  <si>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</si>
  <si>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</si>
  <si>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</si>
  <si>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</si>
  <si>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</si>
  <si>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</si>
  <si>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</si>
  <si>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</si>
  <si>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</si>
  <si>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</si>
  <si>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Реконструкция  производственного объекта: Котельная №1, по адресу п.Шумячи</t>
  </si>
  <si>
    <t>Ноябрь</t>
  </si>
  <si>
    <t>2021</t>
  </si>
  <si>
    <t>Котельная №1</t>
  </si>
  <si>
    <t>ТИ с сетями</t>
  </si>
  <si>
    <t>пгт Шумячи</t>
  </si>
  <si>
    <t>66556000051</t>
  </si>
  <si>
    <t>ул. Заводская</t>
  </si>
  <si>
    <t>б/н</t>
  </si>
  <si>
    <t xml:space="preserve">  Прибыль направляемая на инвестиции</t>
  </si>
  <si>
    <t>Добавить источник финансирования</t>
  </si>
  <si>
    <t>Добавить объект инфраструктуры</t>
  </si>
  <si>
    <t>Реконструкция  производственного объекта: Котельная №2, по адресу п.Шумячи ул. Садовая</t>
  </si>
  <si>
    <t>Декабрь</t>
  </si>
  <si>
    <t>2023</t>
  </si>
  <si>
    <t>Котельная №2</t>
  </si>
  <si>
    <t>ул. Садовая</t>
  </si>
  <si>
    <t>Добавить мероприятие</t>
  </si>
  <si>
    <t>"Реконструкция  производственного объекта: Котельная №2, по адресу п.Шумячи ул. Садовая"</t>
  </si>
  <si>
    <t xml:space="preserve">      Амортизационные отчисления с выделением результатов переоценки основных средств и нематериальных активов</t>
  </si>
  <si>
    <t>Строительство газовой блочно-модульной котельной в п. Шумячи (взамен котельной №3 в п. Шумячи по ул. Санаторная школа)</t>
  </si>
  <si>
    <t>2026</t>
  </si>
  <si>
    <t>Котельная №3</t>
  </si>
  <si>
    <t>ТИ</t>
  </si>
  <si>
    <t>ул. Санаторная школа</t>
  </si>
  <si>
    <t>Строительство газовой блочномодульной котельной №1 (г. Гагарин, ул. Советская, в р-не ЦТП-11)</t>
  </si>
  <si>
    <t>2019</t>
  </si>
  <si>
    <t>Котельная №9</t>
  </si>
  <si>
    <t>г Гагарин</t>
  </si>
  <si>
    <t>66508000001</t>
  </si>
  <si>
    <t>ул. Советская</t>
  </si>
  <si>
    <t>д. 7</t>
  </si>
  <si>
    <t>Строительство газовой блочномодульной котельной №2 (г. Гагарин, ул. Красноармейская, в р-не ЦТП-18)</t>
  </si>
  <si>
    <t>Котельная №7</t>
  </si>
  <si>
    <t>ул. Красноармейская</t>
  </si>
  <si>
    <t>юго-восточнее ж.д. №56А</t>
  </si>
  <si>
    <t>Строительство газовой блочномодульной котельной №3 (г. Гагарин, ул. Красноармейская, в р-не ЦТП-12)</t>
  </si>
  <si>
    <t>Котельная №8</t>
  </si>
  <si>
    <t>на пересечении ул. Ленина и ул. Красноармейская</t>
  </si>
  <si>
    <t xml:space="preserve">  Кредиты</t>
  </si>
  <si>
    <t xml:space="preserve">Тепловые сети от котельной № 1, г. Гагарин, ул. Промышленный проезд </t>
  </si>
  <si>
    <t>2017</t>
  </si>
  <si>
    <t>Котельная №1 Районная</t>
  </si>
  <si>
    <t>проезд. Промышленный</t>
  </si>
  <si>
    <t>д.1</t>
  </si>
  <si>
    <t>Тепловые сети от котельной № 1, г. Гагарин, ул. Промышленный проезд (пер Пионерский, ул. Солнцева)</t>
  </si>
  <si>
    <t>котельная № 1, г. Гагарин, ул. Промышленный проезд (автоматика безопасности)</t>
  </si>
  <si>
    <t>котельная № 1, г. Гагарин, ул. Промышленный проезд (ГРУ)</t>
  </si>
  <si>
    <t>2009</t>
  </si>
  <si>
    <t>Тепловые сети от котельной № 1, г. Гагарин, ул. Промышленный проезд (от котельной до ТК-11)</t>
  </si>
  <si>
    <t>2024</t>
  </si>
  <si>
    <t>Февраль</t>
  </si>
  <si>
    <t>Замена оборудования в котельной №1 г.Гагарин, ул. Промышленный проезд</t>
  </si>
  <si>
    <t>2025</t>
  </si>
  <si>
    <t>Строительство газовой котельной</t>
  </si>
  <si>
    <t>Котельная д. Кощино</t>
  </si>
  <si>
    <t>д Кощино</t>
  </si>
  <si>
    <t>66544000269</t>
  </si>
  <si>
    <t>д. Кощино</t>
  </si>
  <si>
    <t xml:space="preserve">  Бюджет муниципального образования</t>
  </si>
  <si>
    <t>Котельная с. Понизовье, ул. Чибисова</t>
  </si>
  <si>
    <t>с Понизовье</t>
  </si>
  <si>
    <t>66538000311</t>
  </si>
  <si>
    <t>ул. им. Чибисова К.Н.</t>
  </si>
  <si>
    <t>22А</t>
  </si>
  <si>
    <t>Строительство газовой блочно-модульной котельной г. Ярцево (взамен котельной №4  по ул.1-я Рабочая, д.28-б)</t>
  </si>
  <si>
    <t>Котельная №4</t>
  </si>
  <si>
    <t>г Ярцево</t>
  </si>
  <si>
    <t>66558000001</t>
  </si>
  <si>
    <t>ул. 1-я Рабочая</t>
  </si>
  <si>
    <t>д. 28-б</t>
  </si>
  <si>
    <t>Котельная №12, по адресу г. Починок ул. Юбилейная, д.10 Б</t>
  </si>
  <si>
    <t>Октябрь</t>
  </si>
  <si>
    <t>Котельная №12</t>
  </si>
  <si>
    <t>Починковский муниципальный район</t>
  </si>
  <si>
    <t>Починковское</t>
  </si>
  <si>
    <t>66633101</t>
  </si>
  <si>
    <t>г Починок</t>
  </si>
  <si>
    <t>66633101001</t>
  </si>
  <si>
    <t>ул. Юбилейная</t>
  </si>
  <si>
    <t>д. 10Б</t>
  </si>
  <si>
    <t>Техническое перевооружение котельной №2, по адресу г. Сычевка, ГДРСУ</t>
  </si>
  <si>
    <t>Котельная №2 ГДРСУ</t>
  </si>
  <si>
    <t>г Сычевка</t>
  </si>
  <si>
    <t>66546000001</t>
  </si>
  <si>
    <t>г. Сычевка</t>
  </si>
  <si>
    <t>ГДРСУ</t>
  </si>
  <si>
    <t>Замена тепловой изоляции на наружных трубопроводах</t>
  </si>
  <si>
    <t>2035</t>
  </si>
  <si>
    <t>пгт Холм-Жирковский</t>
  </si>
  <si>
    <t>66554000051</t>
  </si>
  <si>
    <t>ул. Кирова</t>
  </si>
  <si>
    <t>Техническое перевооружение котельной №2 по адресу Смоленская область, с. Ершичи</t>
  </si>
  <si>
    <t>Ершичский муниципальный район</t>
  </si>
  <si>
    <t>Ершичское</t>
  </si>
  <si>
    <t>66621433</t>
  </si>
  <si>
    <t>с Ершичи</t>
  </si>
  <si>
    <t>66621433101</t>
  </si>
  <si>
    <t>ул. Низинская</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</si>
  <si>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</si>
  <si>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</si>
  <si>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</si>
  <si>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</si>
  <si>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</si>
  <si>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</si>
  <si>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</si>
  <si>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</si>
  <si>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</si>
  <si>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</si>
  <si>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</si>
  <si>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</si>
  <si>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</si>
  <si>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</si>
  <si>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</si>
  <si>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</si>
  <si>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</si>
  <si>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</si>
  <si>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</si>
  <si>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</si>
  <si>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</si>
  <si>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</si>
  <si>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</si>
  <si>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</si>
  <si>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</si>
  <si>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</si>
  <si>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</si>
  <si>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</si>
  <si>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</si>
  <si>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</si>
  <si>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</si>
  <si>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</si>
  <si>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</si>
  <si>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</si>
  <si>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</si>
  <si>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</si>
  <si>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</si>
  <si>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</si>
  <si>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</si>
  <si>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</si>
  <si>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</si>
  <si>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</si>
  <si>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</si>
  <si>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</si>
  <si>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</si>
  <si>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</si>
  <si>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</si>
  <si>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</si>
  <si>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</si>
  <si>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</si>
  <si>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</si>
  <si>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</si>
  <si>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</si>
  <si>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</si>
  <si>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</si>
  <si>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</si>
  <si>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</si>
  <si>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</si>
  <si>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</si>
  <si>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</si>
  <si>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</si>
  <si>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</si>
  <si>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</si>
  <si>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</si>
  <si>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</si>
  <si>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</si>
  <si>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</si>
  <si>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</si>
  <si>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</si>
  <si>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</si>
  <si>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</si>
  <si>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</si>
  <si>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</si>
  <si>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</si>
  <si>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</si>
  <si>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</si>
  <si>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</si>
  <si>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</si>
  <si>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</si>
  <si>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</si>
  <si>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</si>
  <si>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</si>
  <si>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</si>
  <si>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</si>
  <si>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</si>
  <si>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</si>
  <si>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</si>
  <si>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</si>
  <si>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</si>
  <si>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</si>
  <si>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</si>
  <si>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</si>
  <si>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</si>
  <si>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</si>
  <si>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</si>
  <si>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</si>
  <si>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</si>
  <si>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</si>
  <si>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</si>
  <si>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</si>
  <si>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</si>
  <si>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</si>
  <si>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</si>
  <si>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</si>
  <si>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</si>
  <si>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</si>
  <si>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</si>
  <si>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</si>
  <si>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</si>
  <si>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</si>
  <si>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</si>
  <si>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</si>
  <si>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</si>
  <si>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</si>
  <si>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</si>
  <si>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</si>
  <si>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</si>
  <si>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</si>
  <si>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</si>
  <si>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</si>
  <si>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</si>
  <si>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</si>
  <si>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</si>
  <si>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</si>
  <si>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</si>
  <si>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</si>
  <si>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</si>
  <si>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</si>
  <si>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</si>
  <si>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</si>
  <si>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</si>
  <si>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</si>
  <si>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</si>
  <si>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</si>
  <si>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</si>
  <si>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</si>
  <si>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</si>
  <si>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</si>
  <si>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</si>
  <si>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</si>
  <si>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</si>
  <si>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</si>
  <si>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</si>
  <si>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</si>
  <si>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</si>
  <si>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</si>
  <si>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</si>
  <si>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</si>
  <si>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</si>
  <si>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</si>
  <si>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</si>
  <si>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</si>
  <si>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</si>
  <si>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</si>
  <si>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</si>
  <si>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</si>
  <si>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</si>
  <si>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</si>
  <si>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</si>
  <si>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</si>
  <si>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</si>
  <si>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</si>
  <si>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</si>
  <si>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</si>
  <si>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</si>
  <si>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</si>
  <si>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</si>
  <si>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</si>
  <si>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</si>
  <si>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</si>
  <si>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</si>
  <si>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</si>
  <si>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</si>
  <si>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</si>
  <si>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</si>
  <si>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</si>
  <si>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</si>
  <si>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</si>
  <si>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</si>
  <si>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</si>
  <si>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</si>
  <si>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</si>
  <si>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</si>
  <si>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</si>
  <si>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</si>
  <si>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</si>
  <si>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</si>
  <si>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</si>
  <si>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</si>
  <si>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</si>
  <si>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</si>
  <si>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</si>
  <si>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</si>
  <si>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</si>
  <si>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</si>
  <si>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</si>
  <si>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</si>
  <si>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</si>
  <si>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</si>
  <si>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</si>
  <si>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</si>
  <si>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</si>
  <si>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</si>
  <si>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</si>
  <si>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</si>
  <si>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</si>
  <si>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</si>
  <si>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</si>
  <si>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</si>
  <si>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</si>
  <si>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</si>
  <si>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</si>
  <si>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</si>
  <si>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</si>
  <si>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</si>
  <si>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</si>
  <si>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</si>
  <si>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</si>
  <si>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</si>
  <si>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</si>
  <si>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</si>
  <si>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</si>
  <si>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</si>
  <si>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</si>
  <si>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</si>
  <si>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</si>
  <si>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</si>
  <si>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</si>
  <si>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</si>
  <si>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</si>
  <si>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</si>
  <si>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</si>
  <si>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</si>
  <si>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</si>
  <si>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</si>
  <si>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</si>
  <si>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</si>
  <si>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</si>
  <si>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</si>
  <si>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</si>
  <si>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</si>
  <si>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</si>
  <si>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</si>
  <si>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</si>
  <si>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</si>
  <si>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</si>
  <si>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</si>
  <si>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</si>
  <si>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</si>
  <si>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</si>
  <si>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</si>
  <si>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</si>
  <si>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</si>
  <si>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</si>
  <si>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</si>
  <si>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</si>
  <si>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</si>
  <si>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</si>
  <si>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</si>
  <si>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</si>
  <si>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</si>
  <si>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</si>
  <si>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</si>
  <si>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</si>
  <si>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</si>
  <si>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</si>
  <si>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</si>
  <si>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</si>
  <si>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</si>
  <si>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</si>
  <si>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</si>
  <si>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</si>
  <si>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</si>
  <si>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</si>
  <si>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</si>
  <si>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</si>
  <si>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</si>
  <si>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</si>
  <si>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</si>
  <si>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</si>
  <si>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</si>
  <si>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</si>
  <si>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</si>
  <si>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</si>
  <si>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</si>
  <si>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</si>
  <si>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</si>
  <si>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</si>
  <si>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</si>
  <si>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</si>
  <si>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</si>
  <si>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</si>
  <si>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</si>
  <si>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</si>
  <si>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</si>
  <si>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</si>
  <si>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</si>
  <si>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</si>
  <si>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</si>
  <si>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</si>
  <si>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</si>
  <si>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</si>
  <si>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</si>
  <si>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</si>
  <si>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</si>
  <si>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</si>
  <si>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</si>
  <si>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</si>
  <si>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</si>
  <si>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</si>
  <si>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</si>
  <si>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</si>
  <si>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</si>
  <si>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</si>
  <si>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</si>
  <si>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</si>
  <si>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</si>
  <si>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</si>
  <si>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</si>
  <si>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</si>
  <si>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</si>
  <si>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</si>
  <si>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</si>
  <si>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</si>
  <si>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</si>
  <si>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</si>
  <si>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</si>
  <si>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</si>
  <si>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</si>
  <si>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</si>
  <si>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</si>
  <si>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</si>
  <si>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</si>
  <si>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</si>
  <si>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</si>
  <si>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</si>
  <si>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</si>
  <si>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</si>
  <si>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</si>
  <si>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</si>
  <si>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</si>
  <si>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</si>
  <si>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</si>
  <si>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</si>
  <si>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</si>
  <si>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</si>
  <si>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</si>
  <si>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</si>
  <si>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</si>
  <si>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</si>
  <si>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</si>
  <si>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</si>
  <si>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</si>
  <si>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</si>
  <si>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</si>
  <si>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</si>
  <si>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</si>
  <si>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</si>
  <si>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</si>
  <si>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</si>
  <si>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</si>
  <si>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</si>
  <si>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</si>
  <si>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</si>
  <si>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</si>
  <si>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</si>
  <si>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</si>
  <si>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</si>
  <si>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</si>
  <si>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</si>
  <si>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</si>
  <si>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</si>
  <si>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</si>
  <si>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</si>
  <si>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</si>
  <si>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</si>
  <si>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</si>
  <si>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</si>
  <si>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</si>
  <si>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</si>
  <si>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</si>
  <si>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</si>
  <si>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</si>
  <si>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</si>
  <si>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</si>
  <si>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</si>
  <si>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</si>
  <si>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</si>
  <si>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</si>
  <si>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</si>
  <si>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</si>
  <si>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</si>
  <si>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</si>
  <si>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</si>
  <si>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</si>
  <si>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</si>
  <si>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</si>
  <si>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</si>
  <si>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</si>
  <si>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</si>
  <si>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</si>
  <si>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</si>
  <si>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</si>
  <si>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</si>
  <si>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</si>
  <si>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</si>
  <si>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</si>
  <si>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</si>
  <si>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</si>
  <si>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</si>
  <si>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</si>
  <si>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</si>
  <si>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</si>
  <si>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</si>
  <si>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</si>
  <si>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</si>
  <si>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</si>
  <si>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</si>
  <si>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</si>
  <si>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</si>
  <si>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</si>
  <si>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</si>
  <si>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</si>
  <si>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</si>
  <si>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</si>
  <si>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</si>
  <si>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</si>
  <si>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</si>
  <si>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</si>
  <si>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</si>
  <si>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</si>
  <si>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</si>
  <si>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</si>
  <si>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</si>
  <si>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</si>
  <si>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</si>
  <si>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</si>
  <si>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</si>
  <si>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</si>
  <si>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</si>
  <si>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</si>
  <si>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</si>
  <si>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</si>
  <si>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</si>
  <si>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</si>
  <si>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</si>
  <si>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</si>
  <si>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</si>
  <si>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</si>
  <si>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</si>
  <si>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</si>
  <si>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</si>
  <si>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</si>
  <si>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</si>
  <si>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</si>
  <si>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</si>
  <si>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</si>
  <si>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</si>
  <si>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</si>
  <si>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</si>
  <si>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</si>
  <si>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</si>
  <si>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</si>
  <si>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</si>
  <si>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</si>
  <si>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</si>
  <si>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</si>
  <si>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</si>
  <si>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</si>
  <si>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</si>
  <si>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</si>
  <si>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</si>
  <si>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</si>
  <si>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</si>
  <si>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</si>
  <si>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</si>
  <si>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</si>
  <si>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</si>
  <si>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</si>
  <si>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</si>
  <si>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</si>
  <si>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</si>
  <si>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</si>
  <si>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</si>
  <si>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</si>
  <si>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</si>
  <si>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</si>
  <si>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</si>
  <si>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</si>
  <si>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</si>
  <si>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</si>
  <si>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</si>
  <si>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</si>
  <si>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</si>
  <si>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</si>
  <si>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</si>
  <si>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</si>
  <si>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</si>
  <si>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</si>
  <si>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</si>
  <si>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</si>
  <si>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</si>
  <si>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</si>
  <si>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</si>
  <si>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</si>
  <si>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</si>
  <si>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</si>
  <si>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</si>
  <si>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</si>
  <si>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</si>
  <si>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</si>
  <si>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</si>
  <si>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</si>
  <si>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</si>
  <si>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</si>
  <si>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</si>
  <si>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</si>
  <si>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</si>
  <si>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</si>
  <si>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</si>
  <si>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</si>
  <si>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</si>
  <si>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</si>
  <si>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</si>
  <si>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</si>
  <si>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</si>
  <si>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</si>
  <si>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</si>
  <si>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</si>
  <si>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</si>
  <si>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</si>
  <si>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</si>
  <si>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</si>
  <si>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</si>
  <si>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</si>
  <si>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</si>
  <si>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</si>
  <si>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</si>
  <si>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</si>
  <si>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</si>
  <si>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</si>
  <si>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</si>
  <si>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</si>
  <si>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</si>
  <si>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</si>
  <si>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</si>
  <si>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</si>
  <si>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</si>
  <si>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</si>
  <si>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</si>
  <si>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</si>
  <si>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</si>
  <si>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</si>
  <si>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</si>
  <si>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</si>
  <si>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</si>
  <si>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</si>
  <si>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</si>
  <si>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</si>
  <si>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</si>
  <si>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</si>
  <si>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</si>
  <si>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</si>
  <si>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</si>
  <si>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</si>
  <si>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</si>
  <si>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</si>
  <si>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</si>
  <si>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</si>
  <si>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</si>
  <si>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</si>
  <si>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</si>
  <si>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</si>
  <si>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</si>
  <si>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</si>
  <si>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</si>
  <si>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</si>
  <si>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</si>
  <si>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</si>
  <si>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</si>
  <si>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</si>
  <si>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</si>
  <si>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</si>
  <si>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</si>
  <si>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</si>
  <si>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</si>
  <si>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</si>
  <si>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</si>
  <si>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</si>
  <si>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</si>
  <si>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</si>
  <si>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</si>
  <si>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</si>
  <si>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</si>
  <si>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</si>
  <si>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</si>
  <si>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</si>
  <si>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</si>
  <si>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</si>
  <si>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</si>
  <si>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</si>
  <si>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</si>
  <si>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</si>
  <si>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</si>
  <si>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</si>
  <si>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</si>
  <si>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</si>
  <si>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</si>
  <si>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</si>
  <si>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</si>
  <si>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</si>
  <si>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</si>
  <si>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</si>
  <si>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</si>
  <si>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</si>
  <si>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</si>
  <si>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</si>
  <si>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</si>
  <si>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</si>
  <si>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</si>
  <si>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</si>
  <si>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</si>
  <si>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</si>
  <si>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</si>
  <si>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</si>
  <si>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</si>
  <si>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</si>
  <si>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</si>
  <si>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</si>
  <si>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</si>
  <si>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</si>
  <si>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</si>
  <si>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</si>
  <si>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</si>
  <si>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</si>
  <si>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</si>
  <si>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</si>
  <si>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</si>
  <si>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</si>
  <si>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</si>
  <si>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</si>
  <si>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</si>
  <si>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</si>
  <si>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</si>
  <si>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</si>
  <si>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</si>
  <si>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</si>
  <si>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</si>
  <si>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</si>
  <si>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</si>
  <si>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</si>
  <si>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</si>
  <si>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</si>
  <si>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</si>
  <si>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</si>
  <si>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</si>
  <si>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</si>
  <si>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</si>
  <si>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</si>
  <si>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511111111111</t>
  </si>
  <si>
    <t>56</t>
  </si>
  <si>
    <t>Республика Коми</t>
  </si>
  <si>
    <t>начинать только с 30, остальное по умолчанию</t>
  </si>
  <si>
    <t>57</t>
  </si>
  <si>
    <t>PT_DIAMETERS_LIST</t>
  </si>
  <si>
    <t>Республика Крым</t>
  </si>
  <si>
    <t>VDET_ID</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</si>
  <si>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</si>
  <si>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</si>
  <si>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</si>
  <si>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</si>
  <si>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</si>
  <si>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</si>
  <si>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</si>
  <si>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</si>
  <si>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</si>
  <si>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</si>
  <si>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</si>
  <si>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</si>
  <si>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</si>
  <si>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</si>
  <si>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</si>
  <si>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</si>
  <si>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</si>
  <si>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</si>
  <si>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</si>
  <si>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</si>
  <si>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</si>
  <si>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</si>
  <si>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</si>
  <si>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</si>
  <si>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</si>
  <si>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</si>
  <si>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</si>
  <si>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</si>
  <si>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</si>
  <si>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</si>
  <si>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</si>
  <si>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</si>
  <si>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</si>
  <si>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</si>
  <si>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</si>
  <si>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</si>
  <si>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</si>
  <si>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</si>
  <si>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</si>
  <si>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</si>
  <si>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</si>
  <si>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</si>
  <si>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</si>
  <si>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</si>
  <si>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</si>
  <si>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</si>
  <si>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</si>
  <si>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</si>
  <si>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</si>
  <si>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</si>
  <si>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</si>
  <si>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</si>
  <si>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</si>
  <si>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</si>
  <si>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</si>
  <si>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</si>
  <si>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</si>
  <si>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</si>
  <si>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</si>
  <si>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</si>
  <si>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</si>
  <si>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</si>
  <si>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</si>
  <si>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</si>
  <si>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</si>
  <si>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</si>
  <si>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</si>
  <si>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</si>
  <si>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</si>
  <si>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</si>
  <si>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</si>
  <si>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</si>
  <si>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</si>
  <si>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</si>
  <si>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</si>
  <si>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</si>
  <si>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</si>
  <si>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</si>
  <si>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</si>
  <si>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</si>
  <si>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</si>
  <si>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</si>
  <si>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</si>
  <si>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</si>
  <si>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</si>
  <si>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</si>
  <si>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</si>
  <si>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</si>
  <si>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</si>
  <si>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</si>
  <si>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</si>
  <si>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</si>
  <si>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</si>
  <si>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</si>
  <si>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</si>
  <si>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</si>
  <si>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</si>
  <si>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</si>
  <si>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</si>
  <si>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</si>
  <si>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</si>
  <si>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</si>
  <si>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</si>
  <si>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</si>
  <si>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</si>
  <si>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</si>
  <si>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</si>
  <si>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</si>
  <si>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</si>
  <si>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</si>
  <si>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</si>
  <si>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</si>
  <si>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</si>
  <si>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</si>
  <si>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</si>
  <si>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</si>
  <si>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</si>
  <si>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</si>
  <si>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</si>
  <si>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</si>
  <si>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</si>
  <si>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</si>
  <si>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</si>
  <si>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</si>
  <si>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</si>
  <si>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</si>
  <si>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</si>
  <si>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</si>
  <si>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</si>
  <si>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</si>
  <si>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</si>
  <si>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</si>
  <si>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</si>
  <si>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</si>
  <si>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</si>
  <si>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</si>
  <si>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</si>
  <si>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</si>
  <si>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</si>
  <si>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</si>
  <si>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</si>
  <si>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</si>
  <si>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</si>
  <si>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</si>
  <si>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</si>
  <si>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</si>
  <si>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</si>
  <si>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</si>
  <si>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</si>
  <si>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</si>
  <si>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</si>
  <si>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</si>
  <si>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</si>
  <si>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</si>
  <si>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</si>
  <si>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</si>
  <si>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</si>
  <si>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</si>
  <si>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</si>
  <si>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</si>
  <si>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</si>
  <si>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</si>
  <si>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</si>
  <si>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</si>
  <si>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</si>
  <si>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</si>
  <si>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</si>
  <si>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</si>
  <si>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</si>
  <si>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</si>
  <si>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</si>
  <si>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</si>
  <si>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</si>
  <si>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</si>
  <si>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</si>
  <si>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</si>
  <si>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</si>
  <si>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</si>
  <si>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</si>
  <si>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</si>
  <si>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</si>
  <si>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</si>
  <si>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</si>
  <si>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</si>
  <si>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</si>
  <si>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</si>
  <si>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</si>
  <si>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</si>
  <si>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</si>
  <si>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</si>
  <si>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</si>
  <si>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</si>
  <si>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</si>
  <si>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</si>
  <si>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</si>
  <si>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</si>
  <si>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</si>
  <si>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</si>
  <si>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</si>
  <si>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</si>
  <si>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</si>
  <si>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</si>
  <si>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</si>
  <si>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</si>
  <si>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</si>
  <si>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</si>
  <si>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</si>
  <si>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</si>
  <si>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</si>
  <si>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</si>
  <si>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</si>
  <si>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</si>
  <si>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</si>
  <si>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</si>
  <si>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</si>
  <si>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</si>
  <si>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</si>
  <si>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</si>
  <si>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</si>
  <si>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</si>
  <si>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</si>
  <si>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</si>
  <si>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</si>
  <si>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</si>
  <si>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</si>
  <si>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</si>
  <si>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</si>
  <si>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</si>
  <si>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</si>
  <si>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</si>
  <si>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</si>
  <si>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</si>
  <si>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</si>
  <si>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</si>
  <si>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</si>
  <si>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</si>
  <si>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</si>
  <si>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</si>
  <si>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</si>
  <si>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</si>
  <si>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</si>
  <si>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</si>
  <si>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</si>
  <si>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</si>
  <si>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</si>
  <si>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</si>
  <si>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</si>
  <si>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</si>
  <si>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</si>
  <si>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</si>
  <si>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</si>
  <si>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</si>
  <si>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</si>
  <si>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</si>
  <si>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</si>
  <si>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</si>
  <si>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</si>
  <si>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</si>
  <si>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</si>
  <si>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</si>
  <si>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</si>
  <si>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</si>
  <si>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</si>
  <si>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</si>
  <si>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</si>
  <si>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</si>
  <si>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</si>
  <si>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</si>
  <si>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</si>
  <si>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</si>
  <si>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</si>
  <si>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</si>
  <si>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</si>
  <si>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</si>
  <si>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</si>
  <si>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</si>
  <si>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</si>
  <si>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</si>
  <si>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</si>
  <si>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</si>
  <si>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</si>
  <si>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</si>
  <si>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</si>
  <si>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</si>
  <si>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</si>
  <si>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</si>
  <si>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</si>
  <si>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</si>
  <si>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</si>
  <si>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</si>
  <si>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</si>
  <si>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</si>
  <si>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</si>
  <si>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</si>
  <si>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</si>
  <si>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</si>
  <si>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</si>
  <si>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</si>
  <si>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</si>
  <si>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</si>
  <si>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</si>
  <si>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</si>
  <si>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</si>
  <si>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</si>
  <si>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</si>
  <si>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</si>
  <si>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</si>
  <si>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</si>
  <si>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</si>
  <si>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</si>
  <si>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</si>
  <si>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</si>
  <si>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</si>
  <si>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</si>
  <si>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</si>
  <si>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</si>
  <si>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</si>
  <si>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</si>
  <si>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</si>
  <si>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</si>
  <si>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</si>
  <si>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</si>
  <si>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</si>
  <si>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</si>
  <si>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</si>
  <si>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</si>
  <si>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</si>
  <si>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</si>
  <si>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</si>
  <si>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</si>
  <si>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</si>
  <si>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</si>
  <si>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</si>
  <si>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</si>
  <si>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</si>
  <si>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</si>
  <si>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</si>
  <si>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</si>
  <si>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</si>
  <si>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</si>
  <si>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</si>
  <si>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</si>
  <si>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</si>
  <si>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</si>
  <si>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</si>
  <si>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</si>
  <si>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</si>
  <si>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</si>
  <si>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</si>
  <si>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</si>
  <si>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</si>
  <si>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</si>
  <si>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</si>
  <si>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</si>
  <si>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</si>
  <si>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</si>
  <si>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</si>
  <si>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</si>
  <si>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</si>
  <si>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</si>
  <si>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</si>
  <si>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</si>
  <si>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</si>
  <si>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</si>
  <si>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</si>
  <si>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</si>
  <si>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</si>
  <si>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</si>
  <si>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</si>
  <si>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</si>
  <si>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</si>
  <si>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</si>
  <si>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</si>
  <si>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</si>
  <si>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</si>
  <si>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</si>
  <si>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</si>
  <si>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</si>
  <si>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</si>
  <si>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</si>
  <si>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</si>
  <si>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</si>
  <si>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</si>
  <si>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</si>
  <si>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</si>
  <si>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</si>
  <si>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</si>
  <si>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</si>
  <si>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</si>
  <si>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</si>
  <si>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</si>
  <si>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</si>
  <si>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</si>
  <si>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</si>
  <si>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</si>
  <si>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</si>
  <si>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</si>
  <si>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</si>
  <si>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</si>
  <si>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</si>
  <si>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</si>
  <si>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</si>
  <si>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</si>
  <si>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</si>
  <si>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</si>
  <si>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</si>
  <si>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</si>
  <si>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</si>
  <si>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</si>
  <si>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</si>
  <si>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</si>
  <si>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</si>
  <si>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</si>
  <si>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</si>
  <si>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</si>
  <si>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</si>
  <si>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</si>
  <si>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</si>
  <si>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</si>
  <si>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</si>
  <si>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</si>
  <si>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</si>
  <si>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</si>
  <si>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</si>
  <si>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</si>
  <si>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</si>
  <si>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</si>
  <si>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</si>
  <si>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</si>
  <si>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</si>
  <si>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</si>
  <si>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</si>
  <si>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</si>
  <si>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</si>
  <si>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</si>
  <si>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</si>
  <si>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</si>
  <si>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</si>
  <si>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</si>
  <si>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</si>
  <si>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</si>
  <si>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</si>
  <si>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</si>
  <si>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</si>
  <si>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</si>
  <si>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</si>
  <si>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</si>
  <si>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</si>
  <si>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</si>
  <si>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</si>
  <si>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</si>
  <si>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</si>
  <si>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</si>
  <si>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</si>
  <si>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</si>
  <si>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</si>
  <si>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</si>
  <si>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</si>
  <si>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</si>
  <si>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</si>
  <si>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</si>
  <si>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</si>
  <si>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</si>
  <si>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</si>
  <si>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</si>
  <si>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</si>
  <si>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</si>
  <si>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</si>
  <si>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</si>
  <si>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</si>
  <si>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</si>
  <si>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</si>
  <si>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</si>
  <si>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</si>
  <si>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</si>
  <si>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</si>
  <si>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</si>
  <si>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</si>
  <si>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</si>
  <si>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</si>
  <si>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</si>
  <si>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</si>
  <si>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</si>
  <si>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</si>
  <si>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</si>
  <si>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</si>
  <si>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</si>
  <si>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</si>
  <si>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</si>
  <si>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</si>
  <si>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</si>
  <si>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</si>
  <si>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</si>
  <si>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</si>
  <si>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</si>
  <si>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</si>
  <si>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</si>
  <si>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</si>
  <si>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</si>
  <si>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</si>
  <si>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</si>
  <si>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</si>
  <si>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</si>
  <si>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</si>
  <si>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</si>
  <si>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</si>
  <si>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</si>
  <si>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</si>
  <si>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</si>
  <si>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</si>
  <si>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</si>
  <si>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</si>
  <si>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</si>
  <si>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</si>
  <si>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</si>
  <si>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</si>
  <si>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</si>
  <si>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</si>
  <si>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</si>
  <si>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</si>
  <si>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</si>
  <si>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</si>
  <si>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</si>
  <si>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</si>
  <si>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</si>
  <si>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</si>
  <si>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</si>
  <si>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</si>
  <si>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</si>
  <si>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</si>
  <si>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</si>
  <si>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</si>
  <si>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</si>
  <si>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</si>
  <si>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</si>
  <si>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</si>
  <si>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</si>
  <si>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31912953</t>
  </si>
  <si>
    <t>АНО "САНАТОРИЙ "КРАСНЫЙ БОР"</t>
  </si>
  <si>
    <t>6732140014</t>
  </si>
  <si>
    <t>673201001</t>
  </si>
  <si>
    <t>09-02-2017 00:00:00</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</si>
  <si>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</si>
  <si>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</si>
  <si>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</si>
  <si>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</si>
  <si>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</si>
  <si>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</si>
  <si>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</si>
  <si>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</si>
  <si>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</si>
  <si>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</si>
  <si>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</si>
  <si>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</si>
  <si>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</si>
  <si>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</si>
  <si>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</si>
  <si>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</si>
  <si>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</si>
  <si>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</si>
  <si>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</si>
  <si>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</si>
  <si>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</si>
  <si>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</si>
  <si>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</si>
  <si>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</si>
  <si>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</si>
  <si>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</si>
  <si>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</si>
  <si>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</si>
  <si>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</si>
  <si>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</si>
  <si>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</si>
  <si>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</si>
  <si>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</si>
  <si>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</si>
  <si>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</si>
  <si>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</si>
  <si>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</si>
  <si>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</si>
  <si>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</si>
  <si>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</si>
  <si>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</si>
  <si>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</si>
  <si>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</si>
  <si>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</si>
  <si>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</si>
  <si>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</si>
  <si>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</si>
  <si>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</si>
  <si>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</si>
  <si>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</si>
  <si>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</si>
  <si>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</si>
  <si>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</si>
  <si>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</si>
  <si>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</si>
  <si>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</si>
  <si>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</si>
  <si>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</si>
  <si>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</si>
  <si>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</si>
  <si>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</si>
  <si>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</si>
  <si>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</si>
  <si>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</si>
  <si>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</si>
  <si>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</si>
  <si>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</si>
  <si>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</si>
  <si>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</si>
  <si>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</si>
  <si>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</si>
  <si>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</si>
  <si>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</si>
  <si>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</si>
  <si>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</si>
  <si>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</si>
  <si>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</si>
  <si>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</si>
  <si>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</si>
  <si>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</si>
  <si>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</si>
  <si>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</si>
  <si>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</si>
  <si>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</si>
  <si>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</si>
  <si>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</si>
  <si>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</si>
  <si>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</si>
  <si>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</si>
  <si>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</si>
  <si>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</si>
  <si>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</si>
  <si>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</si>
  <si>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</si>
  <si>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</si>
  <si>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</si>
  <si>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</si>
  <si>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</si>
  <si>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</si>
  <si>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</si>
  <si>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</si>
  <si>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</si>
  <si>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</si>
  <si>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</si>
  <si>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</si>
  <si>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</si>
  <si>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</si>
  <si>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</si>
  <si>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</si>
  <si>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</si>
  <si>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</si>
  <si>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</si>
  <si>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</si>
  <si>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</si>
  <si>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</si>
  <si>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</si>
  <si>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</si>
  <si>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</si>
  <si>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</si>
  <si>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</si>
  <si>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</si>
  <si>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</si>
  <si>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</si>
  <si>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</si>
  <si>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</si>
  <si>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</si>
  <si>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</si>
  <si>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</si>
  <si>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</si>
  <si>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</si>
  <si>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</si>
  <si>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</si>
  <si>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</si>
  <si>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</si>
  <si>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</si>
  <si>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01-01-2021 00:00:00</t>
  </si>
  <si>
    <t>26359796</t>
  </si>
  <si>
    <t>МУП "Коммунальник"</t>
  </si>
  <si>
    <t>6701005400</t>
  </si>
  <si>
    <t>28-10-2025 00:00:00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</si>
  <si>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</si>
  <si>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</si>
  <si>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</si>
  <si>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</si>
  <si>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</si>
  <si>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</si>
  <si>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</si>
  <si>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</si>
  <si>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</si>
  <si>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</si>
  <si>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</si>
  <si>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</si>
  <si>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</si>
  <si>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</si>
  <si>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</si>
  <si>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</si>
  <si>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</si>
  <si>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</si>
  <si>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</si>
  <si>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</si>
  <si>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</si>
  <si>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</si>
  <si>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</si>
  <si>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</si>
  <si>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 Администрации муниципального образования "Монастырщинский муниципальный округ" Смоленской области</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</si>
  <si>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</si>
  <si>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</si>
  <si>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</si>
  <si>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</si>
  <si>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</si>
  <si>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</si>
  <si>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</si>
  <si>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</si>
  <si>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</si>
  <si>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</si>
  <si>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</si>
  <si>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</si>
  <si>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</si>
  <si>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</si>
  <si>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</si>
  <si>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</si>
  <si>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 Кардымовского района</t>
  </si>
  <si>
    <t>6727028610</t>
  </si>
  <si>
    <t>01-07-2017 00:00:00</t>
  </si>
  <si>
    <t>31474407</t>
  </si>
  <si>
    <t>МУП "Талашкино"</t>
  </si>
  <si>
    <t>6714051347</t>
  </si>
  <si>
    <t>30869683</t>
  </si>
  <si>
    <t>МУП "Теплоснаб"</t>
  </si>
  <si>
    <t>6732118629</t>
  </si>
  <si>
    <t>01-11-2016 00:00:00</t>
  </si>
  <si>
    <t>03-10-2025 00:00:00</t>
  </si>
  <si>
    <t>26446403</t>
  </si>
  <si>
    <t>МУП "Управление коммунального хозяйства"</t>
  </si>
  <si>
    <t>6705004125</t>
  </si>
  <si>
    <t>670501001</t>
  </si>
  <si>
    <t>26375085</t>
  </si>
  <si>
    <t>МУП "Шумячский комресурс"</t>
  </si>
  <si>
    <t>6720000277</t>
  </si>
  <si>
    <t>26375048</t>
  </si>
  <si>
    <t>МУП "Янтарь"</t>
  </si>
  <si>
    <t>6703004472</t>
  </si>
  <si>
    <t>23-12-2025 00:00:00</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</si>
  <si>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</si>
  <si>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</si>
  <si>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</si>
  <si>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</si>
  <si>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</si>
  <si>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</si>
  <si>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</si>
  <si>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</si>
  <si>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</si>
  <si>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</si>
  <si>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</si>
  <si>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</si>
  <si>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</si>
  <si>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</si>
  <si>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</si>
  <si>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</si>
  <si>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</si>
  <si>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</si>
  <si>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</si>
  <si>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</si>
  <si>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</si>
  <si>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</si>
  <si>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</si>
  <si>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</si>
  <si>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</si>
  <si>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</si>
  <si>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</si>
  <si>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</si>
  <si>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</si>
  <si>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</si>
  <si>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</si>
  <si>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</si>
  <si>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</si>
  <si>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</si>
  <si>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</si>
  <si>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</si>
  <si>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</si>
  <si>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</si>
  <si>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</si>
  <si>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</si>
  <si>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</si>
  <si>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</si>
  <si>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</si>
  <si>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</si>
  <si>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</si>
  <si>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</si>
  <si>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</si>
  <si>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</si>
  <si>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</si>
  <si>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</si>
  <si>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</si>
  <si>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</si>
  <si>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</si>
  <si>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</si>
  <si>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</si>
  <si>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</si>
  <si>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</si>
  <si>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</si>
  <si>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</si>
  <si>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</si>
  <si>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</si>
  <si>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</si>
  <si>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</si>
  <si>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</si>
  <si>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</si>
  <si>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</si>
  <si>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</si>
  <si>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</si>
  <si>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</si>
  <si>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</si>
  <si>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</si>
  <si>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</si>
  <si>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</si>
  <si>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</si>
  <si>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</si>
  <si>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</si>
  <si>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</si>
  <si>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</si>
  <si>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</si>
  <si>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</si>
  <si>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</si>
  <si>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</si>
  <si>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</si>
  <si>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</si>
  <si>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</si>
  <si>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</si>
  <si>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</si>
  <si>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</si>
  <si>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</si>
  <si>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</si>
  <si>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</si>
  <si>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</si>
  <si>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</si>
  <si>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</si>
  <si>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</si>
  <si>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</si>
  <si>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</si>
  <si>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</si>
  <si>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</si>
  <si>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</si>
  <si>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</si>
  <si>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</si>
  <si>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</si>
  <si>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</si>
  <si>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</si>
  <si>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</si>
  <si>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</si>
  <si>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</si>
  <si>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</si>
  <si>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</si>
  <si>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</si>
  <si>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</si>
  <si>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</si>
  <si>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</si>
  <si>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</si>
  <si>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</si>
  <si>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</si>
  <si>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</si>
  <si>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</si>
  <si>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</si>
  <si>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</si>
  <si>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</si>
  <si>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</si>
  <si>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</si>
  <si>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</si>
  <si>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</si>
  <si>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</si>
  <si>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</si>
  <si>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</si>
  <si>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</si>
  <si>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</si>
  <si>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</si>
  <si>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</si>
  <si>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</si>
  <si>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</si>
  <si>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</si>
  <si>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</si>
  <si>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</si>
  <si>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</si>
  <si>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</si>
  <si>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</si>
  <si>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</si>
  <si>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</si>
  <si>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</si>
  <si>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</si>
  <si>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</si>
  <si>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</si>
  <si>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</si>
  <si>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</si>
  <si>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</si>
  <si>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</si>
  <si>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</si>
  <si>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</si>
  <si>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</si>
  <si>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</si>
  <si>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</si>
  <si>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</si>
  <si>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</si>
  <si>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</si>
  <si>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</si>
  <si>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</si>
  <si>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</si>
  <si>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</si>
  <si>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</si>
  <si>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</si>
  <si>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</si>
  <si>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</si>
  <si>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</si>
  <si>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</si>
  <si>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</si>
  <si>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</si>
  <si>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</si>
  <si>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</si>
  <si>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</si>
  <si>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</si>
  <si>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</si>
  <si>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</si>
  <si>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</si>
  <si>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</si>
  <si>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</si>
  <si>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</si>
  <si>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</si>
  <si>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</si>
  <si>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</si>
  <si>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</si>
  <si>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</si>
  <si>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</si>
  <si>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</si>
  <si>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</si>
  <si>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</si>
  <si>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</si>
  <si>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</si>
  <si>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</si>
  <si>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</si>
  <si>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</si>
  <si>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</si>
  <si>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</si>
  <si>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</si>
  <si>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</si>
  <si>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</si>
  <si>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</si>
  <si>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</si>
  <si>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</si>
  <si>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</si>
  <si>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</si>
  <si>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</si>
  <si>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</si>
  <si>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</si>
  <si>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</si>
  <si>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</si>
  <si>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</si>
  <si>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</si>
  <si>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</si>
  <si>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</si>
  <si>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</si>
  <si>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</si>
  <si>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</si>
  <si>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</si>
  <si>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</si>
  <si>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</si>
  <si>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</si>
  <si>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</si>
  <si>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</si>
  <si>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</si>
  <si>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</si>
  <si>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</si>
  <si>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</si>
  <si>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</si>
  <si>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</si>
  <si>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</si>
  <si>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</si>
  <si>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</si>
  <si>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</si>
  <si>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</si>
  <si>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</si>
  <si>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</si>
  <si>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</si>
  <si>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</si>
  <si>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</si>
  <si>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</si>
  <si>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</si>
  <si>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</si>
  <si>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</si>
  <si>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</si>
  <si>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</si>
  <si>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</si>
  <si>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</si>
  <si>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</si>
  <si>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</si>
  <si>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</si>
  <si>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</si>
  <si>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</si>
  <si>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</si>
  <si>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</si>
  <si>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</si>
  <si>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</si>
  <si>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</si>
  <si>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</si>
  <si>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</si>
  <si>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</si>
  <si>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</si>
  <si>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</si>
  <si>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</si>
  <si>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</si>
  <si>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</si>
  <si>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</si>
  <si>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</si>
  <si>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</si>
  <si>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</si>
  <si>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</si>
  <si>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</si>
  <si>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</si>
  <si>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</si>
  <si>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</si>
  <si>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</si>
  <si>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</si>
  <si>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</si>
  <si>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</si>
  <si>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</si>
  <si>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</si>
  <si>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</si>
  <si>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</si>
  <si>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</si>
  <si>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</si>
  <si>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</si>
  <si>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</si>
  <si>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</si>
  <si>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</si>
  <si>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</si>
  <si>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</si>
  <si>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26445955</t>
  </si>
  <si>
    <t>Филиал АО "Концерн Росэнергоатом" "Смоленская атомная станция"</t>
  </si>
  <si>
    <t>7721632827</t>
  </si>
  <si>
    <t>672443001</t>
  </si>
  <si>
    <t>26447259</t>
  </si>
  <si>
    <t>Филиал АО "РИР Энерго" - "Смоленская генерация"</t>
  </si>
  <si>
    <t>6829012680</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</si>
  <si>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</si>
  <si>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</si>
  <si>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</si>
  <si>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</si>
  <si>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</si>
  <si>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</si>
  <si>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</si>
  <si>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</si>
  <si>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</si>
  <si>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</si>
  <si>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</si>
  <si>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</si>
  <si>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</si>
  <si>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</si>
  <si>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</si>
  <si>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</si>
  <si>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</si>
  <si>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</si>
  <si>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</si>
  <si>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</si>
  <si>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</si>
  <si>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</si>
  <si>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</si>
  <si>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</si>
  <si>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</si>
  <si>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</si>
  <si>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</si>
  <si>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</si>
  <si>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</si>
  <si>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</si>
  <si>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</si>
  <si>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</si>
  <si>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</si>
  <si>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</si>
  <si>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</si>
  <si>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</si>
  <si>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</si>
  <si>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</si>
  <si>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</si>
  <si>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</si>
  <si>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</si>
  <si>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</si>
  <si>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</si>
  <si>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</si>
  <si>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</si>
  <si>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</si>
  <si>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</si>
  <si>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</si>
  <si>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</si>
  <si>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</si>
  <si>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</si>
  <si>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</si>
  <si>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</si>
  <si>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</si>
  <si>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</si>
  <si>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</si>
  <si>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</si>
  <si>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</si>
  <si>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</si>
  <si>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31832934</t>
  </si>
  <si>
    <t>МУП "Единая водоснабжающая организация"</t>
  </si>
  <si>
    <t>6700026245</t>
  </si>
  <si>
    <t>31607740</t>
  </si>
  <si>
    <t>МУП "ЖКХ с. Новый"</t>
  </si>
  <si>
    <t>6722037811</t>
  </si>
  <si>
    <t>31486510</t>
  </si>
  <si>
    <t>МУП "ЖКХ-Красный"</t>
  </si>
  <si>
    <t>6714049588</t>
  </si>
  <si>
    <t>26375052</t>
  </si>
  <si>
    <t>МУП "Жилищник"</t>
  </si>
  <si>
    <t>6706005731</t>
  </si>
  <si>
    <t>670601001</t>
  </si>
  <si>
    <t>18-03-2025 00:00:00</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</si>
  <si>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</si>
  <si>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</si>
  <si>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</si>
  <si>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</si>
  <si>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</si>
  <si>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</si>
  <si>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</si>
  <si>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</si>
  <si>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</si>
  <si>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</si>
  <si>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</si>
  <si>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</si>
  <si>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</si>
  <si>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</si>
  <si>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29-12-2025 00:00:00</t>
  </si>
  <si>
    <t>26652102</t>
  </si>
  <si>
    <t>6710004554</t>
  </si>
  <si>
    <t>28038347</t>
  </si>
  <si>
    <t>МУП "КомфорТ"</t>
  </si>
  <si>
    <t>6727017978</t>
  </si>
  <si>
    <t>27-06-2025 00:00:00</t>
  </si>
  <si>
    <t>31670598</t>
  </si>
  <si>
    <t>МУП "Любовское"</t>
  </si>
  <si>
    <t>6725037143</t>
  </si>
  <si>
    <t>03-06-2025 00:00:00</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</si>
  <si>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</si>
  <si>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</si>
  <si>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</si>
  <si>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</si>
  <si>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</si>
  <si>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</si>
  <si>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</si>
  <si>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</si>
  <si>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</si>
  <si>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</si>
  <si>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</si>
  <si>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</si>
  <si>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</si>
  <si>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</si>
  <si>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</si>
  <si>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</si>
  <si>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</si>
  <si>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</si>
  <si>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</si>
  <si>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</si>
  <si>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</si>
  <si>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</si>
  <si>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</si>
  <si>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</si>
  <si>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</si>
  <si>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</si>
  <si>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</si>
  <si>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</si>
  <si>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</si>
  <si>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</si>
  <si>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</si>
  <si>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</si>
  <si>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</si>
  <si>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</si>
  <si>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</si>
  <si>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</si>
  <si>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</si>
  <si>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</si>
  <si>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</si>
  <si>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25-07-2025 00:00:00</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</si>
  <si>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</si>
  <si>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</si>
  <si>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</si>
  <si>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</si>
  <si>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</si>
  <si>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</si>
  <si>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</si>
  <si>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</si>
  <si>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</si>
  <si>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</si>
  <si>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</si>
  <si>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</si>
  <si>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</si>
  <si>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</si>
  <si>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</si>
  <si>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</si>
  <si>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</si>
  <si>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</si>
  <si>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</si>
  <si>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</si>
  <si>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</si>
  <si>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</si>
  <si>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</si>
  <si>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27-02-2026 00:00:00</t>
  </si>
  <si>
    <t>26638751</t>
  </si>
  <si>
    <t>ООО "Горизонт"</t>
  </si>
  <si>
    <t>6712009036</t>
  </si>
  <si>
    <t>04-02-2026 00:00:00</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</si>
  <si>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</si>
  <si>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</si>
  <si>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</si>
  <si>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</si>
  <si>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</si>
  <si>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</si>
  <si>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</si>
  <si>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</si>
  <si>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</si>
  <si>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</si>
  <si>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</si>
  <si>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</si>
  <si>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</si>
  <si>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</si>
  <si>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</si>
  <si>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</si>
  <si>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</si>
  <si>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</si>
  <si>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</si>
  <si>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</si>
  <si>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</si>
  <si>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</si>
  <si>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</si>
  <si>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</si>
  <si>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</si>
  <si>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</si>
  <si>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</si>
  <si>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</si>
  <si>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</si>
  <si>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</si>
  <si>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</si>
  <si>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</si>
  <si>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</si>
  <si>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</si>
  <si>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</si>
  <si>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</si>
  <si>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</si>
  <si>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</si>
  <si>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</si>
  <si>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</si>
  <si>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</si>
  <si>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</si>
  <si>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</si>
  <si>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</si>
  <si>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</si>
  <si>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</si>
  <si>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</si>
  <si>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</si>
  <si>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</si>
  <si>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</si>
  <si>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</si>
  <si>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</si>
  <si>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</si>
  <si>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05-03-2026 00:00:00</t>
  </si>
  <si>
    <t>30882200</t>
  </si>
  <si>
    <t>ООО "Электро"</t>
  </si>
  <si>
    <t>6714045777</t>
  </si>
  <si>
    <t>20-04-2016 00:00:00</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</si>
  <si>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</si>
  <si>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</si>
  <si>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</si>
  <si>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</si>
  <si>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</si>
  <si>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</si>
  <si>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</si>
  <si>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</si>
  <si>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</si>
  <si>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</si>
  <si>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</si>
  <si>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</si>
  <si>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</si>
  <si>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</si>
  <si>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</si>
  <si>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</si>
  <si>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</si>
  <si>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</si>
  <si>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</si>
  <si>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</si>
  <si>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</si>
  <si>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</si>
  <si>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</si>
  <si>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</si>
  <si>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</si>
  <si>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</si>
  <si>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</si>
  <si>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</si>
  <si>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</si>
  <si>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</si>
  <si>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</si>
  <si>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</si>
  <si>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</si>
  <si>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</si>
  <si>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</si>
  <si>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</si>
  <si>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</si>
  <si>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</si>
  <si>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</si>
  <si>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</si>
  <si>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</si>
  <si>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</si>
  <si>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</si>
  <si>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</si>
  <si>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</si>
  <si>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</si>
  <si>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</si>
  <si>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</si>
  <si>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</si>
  <si>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</si>
  <si>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</si>
  <si>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</si>
  <si>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</si>
  <si>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</si>
  <si>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</si>
  <si>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</si>
  <si>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28063738</t>
  </si>
  <si>
    <t>АО "Спецавтохозяйство"</t>
  </si>
  <si>
    <t>6731069440</t>
  </si>
  <si>
    <t>30982055</t>
  </si>
  <si>
    <t>ОГУП "Экология"</t>
  </si>
  <si>
    <t>6731073414</t>
  </si>
  <si>
    <t>26382751</t>
  </si>
  <si>
    <t>ООО "Гранит"</t>
  </si>
  <si>
    <t>6726010916</t>
  </si>
  <si>
    <t>02-07-2025 00:00:00</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</si>
  <si>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</si>
  <si>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</si>
  <si>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</si>
  <si>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</si>
  <si>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</si>
  <si>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</si>
  <si>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</si>
  <si>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</si>
  <si>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</si>
  <si>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</si>
  <si>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</si>
  <si>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</si>
  <si>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</si>
  <si>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</si>
  <si>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</si>
  <si>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</si>
  <si>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</si>
  <si>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</si>
  <si>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</si>
  <si>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</si>
  <si>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</si>
  <si>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</si>
  <si>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</si>
  <si>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</si>
  <si>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</si>
  <si>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</si>
  <si>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</si>
  <si>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</si>
  <si>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</si>
  <si>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</si>
  <si>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</si>
  <si>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</si>
  <si>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</si>
  <si>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</si>
  <si>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</si>
  <si>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</si>
  <si>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</si>
  <si>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</si>
  <si>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</si>
  <si>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</si>
  <si>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</si>
  <si>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</si>
  <si>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</si>
  <si>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</si>
  <si>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</si>
  <si>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</si>
  <si>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</si>
  <si>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</si>
  <si>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</si>
  <si>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</si>
  <si>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</si>
  <si>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</si>
  <si>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</si>
  <si>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Гагаринский муниципальный район</t>
  </si>
  <si>
    <t>66608000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</si>
  <si>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</si>
  <si>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</si>
  <si>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</si>
  <si>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</si>
  <si>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</si>
  <si>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</si>
  <si>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</si>
  <si>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</si>
  <si>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</si>
  <si>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</si>
  <si>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</si>
  <si>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</si>
  <si>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</si>
  <si>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</si>
  <si>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</si>
  <si>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</si>
  <si>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</si>
  <si>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</si>
  <si>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</si>
  <si>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</si>
  <si>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</si>
  <si>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</si>
  <si>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</si>
  <si>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</si>
  <si>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</si>
  <si>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</si>
  <si>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</si>
  <si>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</si>
  <si>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</si>
  <si>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</si>
  <si>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</si>
  <si>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</si>
  <si>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</si>
  <si>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</si>
  <si>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</si>
  <si>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</si>
  <si>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</si>
  <si>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</si>
  <si>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</si>
  <si>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</si>
  <si>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</si>
  <si>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</si>
  <si>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</si>
  <si>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</si>
  <si>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</si>
  <si>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</si>
  <si>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</si>
  <si>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</si>
  <si>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</si>
  <si>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</si>
  <si>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</si>
  <si>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</si>
  <si>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</si>
  <si>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</si>
  <si>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</si>
  <si>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</si>
  <si>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</si>
  <si>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</si>
  <si>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</si>
  <si>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</si>
  <si>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</si>
  <si>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</si>
  <si>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</si>
  <si>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</si>
  <si>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</si>
  <si>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</si>
  <si>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</si>
  <si>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</si>
  <si>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</si>
  <si>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</si>
  <si>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</si>
  <si>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</si>
  <si>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</si>
  <si>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</si>
  <si>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66621000</t>
  </si>
  <si>
    <t>Воргинское</t>
  </si>
  <si>
    <t>66621414</t>
  </si>
  <si>
    <t>60</t>
  </si>
  <si>
    <t>61</t>
  </si>
  <si>
    <t>Кузьмичское</t>
  </si>
  <si>
    <t>66621444</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</si>
  <si>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</si>
  <si>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</si>
  <si>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</si>
  <si>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</si>
  <si>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</si>
  <si>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</si>
  <si>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</si>
  <si>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</si>
  <si>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</si>
  <si>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</si>
  <si>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</si>
  <si>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</si>
  <si>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</si>
  <si>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</si>
  <si>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</si>
  <si>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</si>
  <si>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</si>
  <si>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</si>
  <si>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</si>
  <si>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</si>
  <si>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</si>
  <si>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</si>
  <si>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</si>
  <si>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</si>
  <si>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</si>
  <si>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</si>
  <si>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</si>
  <si>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</si>
  <si>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</si>
  <si>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</si>
  <si>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</si>
  <si>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</si>
  <si>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</si>
  <si>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</si>
  <si>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</si>
  <si>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</si>
  <si>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</si>
  <si>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</si>
  <si>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</si>
  <si>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</si>
  <si>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</si>
  <si>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</si>
  <si>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</si>
  <si>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</si>
  <si>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</si>
  <si>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</si>
  <si>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</si>
  <si>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</si>
  <si>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</si>
  <si>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</si>
  <si>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</si>
  <si>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</si>
  <si>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</si>
  <si>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</si>
  <si>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</si>
  <si>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</si>
  <si>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</si>
  <si>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</si>
  <si>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</si>
  <si>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</si>
  <si>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</si>
  <si>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</si>
  <si>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</si>
  <si>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</si>
  <si>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</si>
  <si>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</si>
  <si>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</si>
  <si>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</si>
  <si>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</si>
  <si>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</si>
  <si>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</si>
  <si>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</si>
  <si>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</si>
  <si>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</si>
  <si>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</si>
  <si>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</si>
  <si>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66633000</t>
  </si>
  <si>
    <t>Ленинское</t>
  </si>
  <si>
    <t>66633445</t>
  </si>
  <si>
    <t>93</t>
  </si>
  <si>
    <t>Мурыгинское</t>
  </si>
  <si>
    <t>66633450</t>
  </si>
  <si>
    <t>94</t>
  </si>
  <si>
    <t>95</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</si>
  <si>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</si>
  <si>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</si>
  <si>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</si>
  <si>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</si>
  <si>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</si>
  <si>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</si>
  <si>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</si>
  <si>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</si>
  <si>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</si>
  <si>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</si>
  <si>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</si>
  <si>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</si>
  <si>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</si>
  <si>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</si>
  <si>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</si>
  <si>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</si>
  <si>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</si>
  <si>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</si>
  <si>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</si>
  <si>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</si>
  <si>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</si>
  <si>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</si>
  <si>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</si>
  <si>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</si>
  <si>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</si>
  <si>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</si>
  <si>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</si>
  <si>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</si>
  <si>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</si>
  <si>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</si>
  <si>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</si>
  <si>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</si>
  <si>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</si>
  <si>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</si>
  <si>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</si>
  <si>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</si>
  <si>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</si>
  <si>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</si>
  <si>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</si>
  <si>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</si>
  <si>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</si>
  <si>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</si>
  <si>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111</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</si>
  <si>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</si>
  <si>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</si>
  <si>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</si>
  <si>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</si>
  <si>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</si>
  <si>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</si>
  <si>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</si>
  <si>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</si>
  <si>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</si>
  <si>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</si>
  <si>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</si>
  <si>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</si>
  <si>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</si>
  <si>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</si>
  <si>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</si>
  <si>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</si>
  <si>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</si>
  <si>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</si>
  <si>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</si>
  <si>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</si>
  <si>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</si>
  <si>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Сафоновский муниципальный район</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</si>
  <si>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</si>
  <si>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</si>
  <si>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</si>
  <si>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</si>
  <si>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</si>
  <si>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</si>
  <si>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</si>
  <si>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</si>
  <si>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</si>
  <si>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</si>
  <si>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</si>
  <si>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</si>
  <si>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</si>
  <si>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</si>
  <si>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</si>
  <si>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</si>
  <si>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</si>
  <si>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</si>
  <si>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</si>
  <si>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</si>
  <si>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</si>
  <si>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</si>
  <si>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</si>
  <si>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</si>
  <si>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</si>
  <si>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</si>
  <si>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</si>
  <si>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</si>
  <si>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</si>
  <si>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</si>
  <si>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</si>
  <si>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</si>
  <si>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</si>
  <si>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</si>
  <si>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Сафоновский</t>
  </si>
  <si>
    <t>66641101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</si>
  <si>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</si>
  <si>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</si>
  <si>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</si>
  <si>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</si>
  <si>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</si>
  <si>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</si>
  <si>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</si>
  <si>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</si>
  <si>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</si>
  <si>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</si>
  <si>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</si>
  <si>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</si>
  <si>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</si>
  <si>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</si>
  <si>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</si>
  <si>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</si>
  <si>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</si>
  <si>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</si>
  <si>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</si>
  <si>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</si>
  <si>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</si>
  <si>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</si>
  <si>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</si>
  <si>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</si>
  <si>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</si>
  <si>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</si>
  <si>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</si>
  <si>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</si>
  <si>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</si>
  <si>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</si>
  <si>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</si>
  <si>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</si>
  <si>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</si>
  <si>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</si>
  <si>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</si>
  <si>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</si>
  <si>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</si>
  <si>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</si>
  <si>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</si>
  <si>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</si>
  <si>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</si>
  <si>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</si>
  <si>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</si>
  <si>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</si>
  <si>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</si>
  <si>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</si>
  <si>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</si>
  <si>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</si>
  <si>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</si>
  <si>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</si>
  <si>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</si>
  <si>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</si>
  <si>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</si>
  <si>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</si>
  <si>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</si>
  <si>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</si>
  <si>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</si>
  <si>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</si>
  <si>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</si>
  <si>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</si>
  <si>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</si>
  <si>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</si>
  <si>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</si>
  <si>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</si>
  <si>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</si>
  <si>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Сычевский муниципальный район</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</si>
  <si>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</si>
  <si>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</si>
  <si>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</si>
  <si>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</si>
  <si>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</si>
  <si>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</si>
  <si>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</si>
  <si>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</si>
  <si>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</si>
  <si>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</si>
  <si>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</si>
  <si>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</si>
  <si>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</si>
  <si>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Сычевское</t>
  </si>
  <si>
    <t>66646101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</si>
  <si>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</si>
  <si>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</si>
  <si>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</si>
  <si>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</si>
  <si>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</si>
  <si>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</si>
  <si>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</si>
  <si>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</si>
  <si>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</si>
  <si>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</si>
  <si>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</si>
  <si>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</si>
  <si>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</si>
  <si>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</si>
  <si>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</si>
  <si>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</si>
  <si>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</si>
  <si>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</si>
  <si>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</si>
  <si>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</si>
  <si>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</si>
  <si>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</si>
  <si>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</si>
  <si>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</si>
  <si>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</si>
  <si>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</si>
  <si>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</si>
  <si>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</si>
  <si>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</si>
  <si>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</si>
  <si>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</si>
  <si>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</si>
  <si>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</si>
  <si>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</si>
  <si>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</si>
  <si>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</si>
  <si>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</si>
  <si>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</si>
  <si>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</si>
  <si>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</si>
  <si>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</si>
  <si>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</si>
  <si>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</si>
  <si>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</si>
  <si>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</si>
  <si>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</si>
  <si>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</si>
  <si>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</si>
  <si>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</si>
  <si>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</si>
  <si>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</si>
  <si>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</si>
  <si>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</si>
  <si>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</si>
  <si>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</si>
  <si>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</si>
  <si>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</si>
  <si>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</si>
  <si>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Холм-Жирковский муниципальный район</t>
  </si>
  <si>
    <t>66654000</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</si>
  <si>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</si>
  <si>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</si>
  <si>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</si>
  <si>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</si>
  <si>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</si>
  <si>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</si>
  <si>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</si>
  <si>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</si>
  <si>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</si>
  <si>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</si>
  <si>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</si>
  <si>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</si>
  <si>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</si>
  <si>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</si>
  <si>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</si>
  <si>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189</t>
  </si>
  <si>
    <t>Холм-Жирковское</t>
  </si>
  <si>
    <t>66654151</t>
  </si>
  <si>
    <t>190</t>
  </si>
  <si>
    <t>Шумячский муниципальный район</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</si>
  <si>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</si>
  <si>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</si>
  <si>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</si>
  <si>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</si>
  <si>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</si>
  <si>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</si>
  <si>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</si>
  <si>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</si>
  <si>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</si>
  <si>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</si>
  <si>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</si>
  <si>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</si>
  <si>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</si>
  <si>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</si>
  <si>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</si>
  <si>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</si>
  <si>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</si>
  <si>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</si>
  <si>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</si>
  <si>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</si>
  <si>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</si>
  <si>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</si>
  <si>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</si>
  <si>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Шумячское</t>
  </si>
  <si>
    <t>66656151</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</si>
  <si>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</si>
  <si>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</si>
  <si>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</si>
  <si>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</si>
  <si>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</si>
  <si>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</si>
  <si>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</si>
  <si>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</si>
  <si>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</si>
  <si>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</si>
  <si>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</si>
  <si>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</si>
  <si>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</si>
  <si>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</si>
  <si>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</si>
  <si>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</si>
  <si>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</si>
  <si>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</si>
  <si>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</si>
  <si>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</si>
  <si>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</si>
  <si>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</si>
  <si>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</si>
  <si>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</si>
  <si>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</si>
  <si>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</si>
  <si>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</si>
  <si>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</si>
  <si>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</si>
  <si>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</si>
  <si>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</si>
  <si>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7433057936</t>
  </si>
  <si>
    <t>Инвестиционная программа № 191 от 30.10.2025 МУП "УПРАВЛЕНИЕ КОММУНАЛЬНОГО ХОЗЯЙСТВА" в сфере теплоснабжения по реконструкции и модернизации объектов, на территории муниципального округа Духовщинский на 2026-2028 годы</t>
  </si>
  <si>
    <t>01.01.2026</t>
  </si>
  <si>
    <t>31.12.2028</t>
  </si>
  <si>
    <t>Инвестиционная программа № 192 от 30.10.2025 МУП "МКС" АДМИНИСТРАЦИИ МУНИЦИПАЛЬНОГО ОБРАЗОВАНИЯ "МОНАСТЫРЩИНСКИЙ МУНИЦИПАЛЬНЫЙ ОКРУГ" СМОЛЕНСКОЙ ОБЛАСТИ в сфере теплоснабжения по реконструкции и модернизации объектов, на территории муниципального округа Монастырщинский на 2026-2028 годы</t>
  </si>
  <si>
    <t>Инвестиционная программа № 193 от 30.10.2025 МУП "КАТЫНЬ" в сфере теплоснабжения по реконструкции и модернизации объектов, на территории муниципального округа Смоленский на 2026-2028 годы</t>
  </si>
  <si>
    <t>Инвестиционная программа № 194 от 30.10.2025 МУП "ПКС" в сфере теплоснабжения по реконструкции и модернизации объектов, на территории муниципального округа Смоленский на 2026-2028 годы</t>
  </si>
  <si>
    <t>Инвестиционная программа № 195 от 30.10.2025 МУП "ТАЛАШКИНО" в сфере теплоснабжения по реконструкции и модернизации объектов, на территории муниципального округа Смоленский на 2026-2028 годы</t>
  </si>
  <si>
    <t>Инвестиционная программа № 196 от 30.10.2025 МУП "РУДНЯТЕПЛОЭНЕРГО" в сфере теплоснабжения по реконструкции и модернизации объектов, на территории муниципального округа Руднянский на 2026-2027 годы</t>
  </si>
  <si>
    <t>Инвестиционная программа № 196 от 30.10.2025 МУП "РУДНЯТЕПЛОЭНЕРГО" в сфере теплоснабжения по реконструкции и модернизации объектов, на территории муниципального округа Руднянский на 2026-2028 годы</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</si>
  <si>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</si>
  <si>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8183044923</t>
  </si>
  <si>
    <t>7070586275</t>
  </si>
  <si>
    <t>Инвестиционная программа № 22 от 12.03.2026 ООО "СМОЛЕНСКРЕГИОНТЕПЛОЭНЕРГО" в сфере теплоснабжения по реконструкции котельных, на территории муниципального округа Шумячский на 2026-2028 годы</t>
  </si>
  <si>
    <t>9093342301</t>
  </si>
  <si>
    <t>12.03.2026</t>
  </si>
  <si>
    <t>Об утверждении инвестиционной программы в сфере теплоснабжения обществу с ограниченной ответственностью «Смоленскрегионтеплоэнерго» на 2026-2028 годы, реализуемой на территории муниципального образования «Шумячский муниципальный округ» Смоленской области (в рамках концессионного соглашения)</t>
  </si>
  <si>
    <t>8567183218</t>
  </si>
  <si>
    <t>8567183217</t>
  </si>
  <si>
    <t>8183044922</t>
  </si>
  <si>
    <t>8805184888</t>
  </si>
  <si>
    <t>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Гагаринский на 2016-2026 годы</t>
  </si>
  <si>
    <t>6820167552</t>
  </si>
  <si>
    <t>Об утверждении инвестиционных программ в сфере теплоснабжения ООО «Смоленскрегионтеплоэнерго» на 2016-2026 гг.</t>
  </si>
  <si>
    <t>8147024598</t>
  </si>
  <si>
    <t>7529952336</t>
  </si>
  <si>
    <t>Инвестиционная программа № 64 от 13.05.2025 ДЕСНОГОРСКИЙ ФИЛИАЛ ООО "АТОМТЕПЛОЭЛЕКТРОСЕТЬ" в сфере теплоснабжения по реконструкции существующих объектов тепловых сетей, на территории городского округа Десногорск на 2026-2028 годы</t>
  </si>
  <si>
    <t>Инвестиционная программа № 73 от 26.05.2025 МБУ "УПРАВЛЕНИЕ ДКХ ГАГАРИНСКОГО РАЙОНА" в сфере теплоснабжения по реконструкции и модернизации объектов, на территории муниципального округа Гагаринский на 2026-2028 годы</t>
  </si>
  <si>
    <t>Инвестиционная программа № 73 от 26.05.2025 МБУ "УПРАВЛЕНИЕ ДКХ ГАГАРИНСКОГО РАЙОНА" в сфере теплоснабжения по реконструкции и модернизации существующих объектов системы центрального теплоснабжения (за исключением тепловых сетей), на территории муниципального округа Гагаринский на 2026-2028 годы</t>
  </si>
  <si>
    <t>Инвестиционная программа № 80 от 09.06.2025 ООО "ПРОМКОНСЕРВЫ" в сфере теплоснабжения по реконструкции и модернизации существующих объектов оборудования, на территории муниципального округа Руднянский на 2026-2028 годы</t>
  </si>
  <si>
    <t>Инвестиционная программа № 81 от 10.06.2025 МУП "ТЭР" КАРДЫМОВСКОГО РАЙОНА в сфере теплоснабжения по реконструкции и модернизации объектов, на территории муниципального округа Кардымовский на 2026-2028 годы</t>
  </si>
  <si>
    <t>5912709258</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</si>
  <si>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</si>
  <si>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</si>
  <si>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</si>
  <si>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</si>
  <si>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</si>
  <si>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</si>
  <si>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</si>
  <si>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</si>
  <si>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</si>
  <si>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</si>
  <si>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</si>
  <si>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</si>
  <si>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</si>
  <si>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</si>
  <si>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</si>
  <si>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</si>
  <si>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</si>
  <si>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</si>
  <si>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</si>
  <si>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</si>
  <si>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</si>
  <si>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</si>
  <si>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</si>
  <si>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</si>
  <si>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</si>
  <si>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</si>
  <si>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</si>
  <si>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</si>
  <si>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</si>
  <si>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</si>
  <si>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</si>
  <si>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</si>
  <si>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 Вязьма</t>
  </si>
  <si>
    <t>66505000001</t>
  </si>
  <si>
    <t>ул. Кронштадтская</t>
  </si>
  <si>
    <t>д. 21</t>
  </si>
  <si>
    <t>частная собственность</t>
  </si>
  <si>
    <t>собственное имущество</t>
  </si>
  <si>
    <t>эксплуатируется</t>
  </si>
  <si>
    <t>свидетельство</t>
  </si>
  <si>
    <t>собственность</t>
  </si>
  <si>
    <t>67-АА № 178641</t>
  </si>
  <si>
    <t>10.09.2004</t>
  </si>
  <si>
    <t>12.03</t>
  </si>
  <si>
    <t>[Газ природный]</t>
  </si>
  <si>
    <t>Котельная №1 транзитные сети</t>
  </si>
  <si>
    <t>сеть</t>
  </si>
  <si>
    <t>11.71</t>
  </si>
  <si>
    <t>д.6</t>
  </si>
  <si>
    <t>67-АВ №117014</t>
  </si>
  <si>
    <t>06.08.2014</t>
  </si>
  <si>
    <t>10.32</t>
  </si>
  <si>
    <t>6.65</t>
  </si>
  <si>
    <t>Котельная №2 транзитные сети</t>
  </si>
  <si>
    <t>ул. Кронштадская</t>
  </si>
  <si>
    <t>Котельная №21 транзитные сети</t>
  </si>
  <si>
    <t>ул. Гоголя</t>
  </si>
  <si>
    <t>д.21</t>
  </si>
  <si>
    <t>67-АВ №065261</t>
  </si>
  <si>
    <t>12.02.2014</t>
  </si>
  <si>
    <t>3.275</t>
  </si>
  <si>
    <t>Котельная №22</t>
  </si>
  <si>
    <t>ул. Сычевское шоссе</t>
  </si>
  <si>
    <t>муниципальное имущество</t>
  </si>
  <si>
    <t>без торгов - исключение по статье 17.1 Федерального закона от 26.07.2006 N 135-ФЗ "О защите конкуренции"</t>
  </si>
  <si>
    <t>договор</t>
  </si>
  <si>
    <t>аренда</t>
  </si>
  <si>
    <t>№63</t>
  </si>
  <si>
    <t>23.11.2011</t>
  </si>
  <si>
    <t>.33</t>
  </si>
  <si>
    <t>.265</t>
  </si>
  <si>
    <t>.27</t>
  </si>
  <si>
    <t>Котельная №23</t>
  </si>
  <si>
    <t>ул. Молодежная</t>
  </si>
  <si>
    <t>д.2</t>
  </si>
  <si>
    <t>67-АВ №065493</t>
  </si>
  <si>
    <t>13.02.2014</t>
  </si>
  <si>
    <t>7.232</t>
  </si>
  <si>
    <t>Котельная №23 магистральные сети</t>
  </si>
  <si>
    <t>Котельная №23 транзитные сети</t>
  </si>
  <si>
    <t>Котельная №24</t>
  </si>
  <si>
    <t>ул. Московская</t>
  </si>
  <si>
    <t>д.62</t>
  </si>
  <si>
    <t>Выписка из ЕГРП от 17.10.16 г. №67-67/001-67/001/101/2016-9036/2</t>
  </si>
  <si>
    <t>17.10.2016</t>
  </si>
  <si>
    <t>20.64</t>
  </si>
  <si>
    <t>16.15</t>
  </si>
  <si>
    <t>Котельная №24 магистральные сети</t>
  </si>
  <si>
    <t>Котельная №24 транзитные сети</t>
  </si>
  <si>
    <t>д. 62</t>
  </si>
  <si>
    <t>ул. Софьи Перовской</t>
  </si>
  <si>
    <t>д. 6</t>
  </si>
  <si>
    <t>67-АА №178404</t>
  </si>
  <si>
    <t>07.09.2014</t>
  </si>
  <si>
    <t>Котельная №3 транзитные сети</t>
  </si>
  <si>
    <t>8.15</t>
  </si>
  <si>
    <t>ул. Комсомольская</t>
  </si>
  <si>
    <t>67-АА №178364</t>
  </si>
  <si>
    <t>27.07.2004</t>
  </si>
  <si>
    <t>Котельная №4 транзитные сети</t>
  </si>
  <si>
    <t>Котельная №6</t>
  </si>
  <si>
    <t>ул. Ленина</t>
  </si>
  <si>
    <t>д. 75</t>
  </si>
  <si>
    <t>67-АБ №656200</t>
  </si>
  <si>
    <t>24.01.2011</t>
  </si>
  <si>
    <t>.57</t>
  </si>
  <si>
    <t>ул. Строителей</t>
  </si>
  <si>
    <t>д. 17</t>
  </si>
  <si>
    <t>торги (проведены до 10 сентября 2012 года)</t>
  </si>
  <si>
    <t>№63 от</t>
  </si>
  <si>
    <t>25.44</t>
  </si>
  <si>
    <t>Котельная №7 магистральные сети</t>
  </si>
  <si>
    <t>Котельная №7 транзитные сети</t>
  </si>
  <si>
    <t>ул. Маяковского</t>
  </si>
  <si>
    <t>40.5</t>
  </si>
  <si>
    <t>16.07</t>
  </si>
  <si>
    <t>Котельная №8 магистральные сети</t>
  </si>
  <si>
    <t>Котельная №8 транзитные сети</t>
  </si>
  <si>
    <t>ул. Плетниковка</t>
  </si>
  <si>
    <t>2.66</t>
  </si>
  <si>
    <t>Котельная №9 транзитные сети</t>
  </si>
  <si>
    <t>котельная №16</t>
  </si>
  <si>
    <t>ул. Докучаева</t>
  </si>
  <si>
    <t>09.01.2014</t>
  </si>
  <si>
    <t>.3</t>
  </si>
  <si>
    <t>.22</t>
  </si>
  <si>
    <t>котельная №21</t>
  </si>
  <si>
    <t>д Относово</t>
  </si>
  <si>
    <t>66505000309</t>
  </si>
  <si>
    <t>д. Относово</t>
  </si>
  <si>
    <t>01.12.2014</t>
  </si>
  <si>
    <t>.321</t>
  </si>
  <si>
    <t>котельная №13</t>
  </si>
  <si>
    <t>д. Новое Село</t>
  </si>
  <si>
    <t>торги (проведены до 1 сентября 2010 года)</t>
  </si>
  <si>
    <t>№1</t>
  </si>
  <si>
    <t>26.02.2010</t>
  </si>
  <si>
    <t>.874</t>
  </si>
  <si>
    <t>Котельная №11</t>
  </si>
  <si>
    <t>с Андрейково</t>
  </si>
  <si>
    <t>66505000414</t>
  </si>
  <si>
    <t>с. Андрейково</t>
  </si>
  <si>
    <t>№2</t>
  </si>
  <si>
    <t>08.11.2010</t>
  </si>
  <si>
    <t>2.376</t>
  </si>
  <si>
    <t>Котельная №11 транзитные сети</t>
  </si>
  <si>
    <t>Котельная №25</t>
  </si>
  <si>
    <t>с Вязьма-Брянская</t>
  </si>
  <si>
    <t>66505000418</t>
  </si>
  <si>
    <t>30.10.2025</t>
  </si>
  <si>
    <t>6.879</t>
  </si>
  <si>
    <t>Котельная №5 транзитные сети</t>
  </si>
  <si>
    <t>с Ново-Никольское</t>
  </si>
  <si>
    <t>66505000420</t>
  </si>
  <si>
    <t>с. Ново-Никольское</t>
  </si>
  <si>
    <t>67-АА № 178580</t>
  </si>
  <si>
    <t>14.09.2004</t>
  </si>
  <si>
    <t>2.17</t>
  </si>
  <si>
    <t>1.21</t>
  </si>
  <si>
    <t>котельная №5</t>
  </si>
  <si>
    <t>1.211</t>
  </si>
  <si>
    <t>Котельная №19</t>
  </si>
  <si>
    <t>с Семлево</t>
  </si>
  <si>
    <t>66505000423</t>
  </si>
  <si>
    <t>с. Семлево</t>
  </si>
  <si>
    <t>27.09.2010</t>
  </si>
  <si>
    <t>[Уголь длиннопламенный]</t>
  </si>
  <si>
    <t>Котельная №14</t>
  </si>
  <si>
    <t>ст Семлево</t>
  </si>
  <si>
    <t>66505000431</t>
  </si>
  <si>
    <t>ст. Семлево</t>
  </si>
  <si>
    <t>16.01.2017</t>
  </si>
  <si>
    <t>1.29</t>
  </si>
  <si>
    <t>Котельная №14 транзитные сети</t>
  </si>
  <si>
    <t>66605404211</t>
  </si>
  <si>
    <t>66605404101</t>
  </si>
  <si>
    <t>66605101001</t>
  </si>
  <si>
    <t>д Новое Село</t>
  </si>
  <si>
    <t>66605456101</t>
  </si>
  <si>
    <t>66605472101</t>
  </si>
  <si>
    <t>66605472271</t>
  </si>
  <si>
    <t>66605476201</t>
  </si>
  <si>
    <t>67-АБ №542961</t>
  </si>
  <si>
    <t>10.06.2010</t>
  </si>
  <si>
    <t>42.5</t>
  </si>
  <si>
    <t>31.38</t>
  </si>
  <si>
    <t>[Газ природный] :: [Мазут]</t>
  </si>
  <si>
    <t>Котельная №1 Районная - магистральные сети</t>
  </si>
  <si>
    <t>32.2</t>
  </si>
  <si>
    <t>Котельная №1 Районная - транзитные сети</t>
  </si>
  <si>
    <t>Котельная №2 - транзитные сети</t>
  </si>
  <si>
    <t>ул. Бахтина</t>
  </si>
  <si>
    <t>д. 11Б</t>
  </si>
  <si>
    <t>67-АВ №039280</t>
  </si>
  <si>
    <t>04.02.2014</t>
  </si>
  <si>
    <t>10.4</t>
  </si>
  <si>
    <t>6.9</t>
  </si>
  <si>
    <t>Котельная №2 БМК-1</t>
  </si>
  <si>
    <t>Котельная №3 БМК-2</t>
  </si>
  <si>
    <t>д. 5А</t>
  </si>
  <si>
    <t>67-АВ №039604</t>
  </si>
  <si>
    <t>17.02.2014</t>
  </si>
  <si>
    <t>2.776</t>
  </si>
  <si>
    <t>Котельная №3 БМК-2 магистральные сети</t>
  </si>
  <si>
    <t>Котельная №5 -транзитные сети</t>
  </si>
  <si>
    <t>ул. Мира</t>
  </si>
  <si>
    <t>д. 2А</t>
  </si>
  <si>
    <t>67-АВ №039605</t>
  </si>
  <si>
    <t>1.197</t>
  </si>
  <si>
    <t>Котельная №5 БМК-3</t>
  </si>
  <si>
    <t>ул. Пушная</t>
  </si>
  <si>
    <t>№б/н</t>
  </si>
  <si>
    <t>01.10.2014</t>
  </si>
  <si>
    <t>.5</t>
  </si>
  <si>
    <t>.19</t>
  </si>
  <si>
    <t>выписка из ЕГРН</t>
  </si>
  <si>
    <t>5.486</t>
  </si>
  <si>
    <t>20.11.2019</t>
  </si>
  <si>
    <t>1.939</t>
  </si>
  <si>
    <t>1.94</t>
  </si>
  <si>
    <t>25.11.2019</t>
  </si>
  <si>
    <t>5.615</t>
  </si>
  <si>
    <t>Котельная №10</t>
  </si>
  <si>
    <t>с Карманово</t>
  </si>
  <si>
    <t>66508000349</t>
  </si>
  <si>
    <t>ул. Набережная</t>
  </si>
  <si>
    <t>д. 18 стр. 3</t>
  </si>
  <si>
    <t>1-2022</t>
  </si>
  <si>
    <t>01.02.2022</t>
  </si>
  <si>
    <t>.13</t>
  </si>
  <si>
    <t>.11</t>
  </si>
  <si>
    <t>пер. Заводской</t>
  </si>
  <si>
    <t>д. 4 стр.2</t>
  </si>
  <si>
    <t>№7</t>
  </si>
  <si>
    <t>31.08.2009</t>
  </si>
  <si>
    <t>21.7</t>
  </si>
  <si>
    <t>3.276</t>
  </si>
  <si>
    <t>Котельная №4 - транзитные сети</t>
  </si>
  <si>
    <t>с. Карманово</t>
  </si>
  <si>
    <t>Котельная №4 магистральные сети</t>
  </si>
  <si>
    <t>66608101001</t>
  </si>
  <si>
    <t>66608424101</t>
  </si>
  <si>
    <t>г Смоленск</t>
  </si>
  <si>
    <t>66701000001</t>
  </si>
  <si>
    <t>ул. Вокзальная</t>
  </si>
  <si>
    <t>город Смоленск</t>
  </si>
  <si>
    <t>приказ</t>
  </si>
  <si>
    <t>307/1</t>
  </si>
  <si>
    <t>06.12.2024</t>
  </si>
  <si>
    <t>.2128</t>
  </si>
  <si>
    <t>г Дорогобуж</t>
  </si>
  <si>
    <t>66514000001</t>
  </si>
  <si>
    <t>ул. Карла Маркса</t>
  </si>
  <si>
    <t>01.09.2025</t>
  </si>
  <si>
    <t>.051</t>
  </si>
  <si>
    <t>.1123</t>
  </si>
  <si>
    <t>[Электроэнергия]</t>
  </si>
  <si>
    <t>мкр. ДОС</t>
  </si>
  <si>
    <t>.797</t>
  </si>
  <si>
    <t>ул. Коммунистическая</t>
  </si>
  <si>
    <t>.43</t>
  </si>
  <si>
    <t>ул. Павлова</t>
  </si>
  <si>
    <t>.421</t>
  </si>
  <si>
    <t>ул. Лермонтова</t>
  </si>
  <si>
    <t>.2</t>
  </si>
  <si>
    <t>.07</t>
  </si>
  <si>
    <t>ул. Кутузова</t>
  </si>
  <si>
    <t>6.8</t>
  </si>
  <si>
    <t>.93</t>
  </si>
  <si>
    <t>д Ново-Михайловское</t>
  </si>
  <si>
    <t>66514000175</t>
  </si>
  <si>
    <t>67:06:0030203:800-67/056/2020-1</t>
  </si>
  <si>
    <t>15.12.2020</t>
  </si>
  <si>
    <t>22.4</t>
  </si>
  <si>
    <t>16.44</t>
  </si>
  <si>
    <t>д Озерище</t>
  </si>
  <si>
    <t>66514000177</t>
  </si>
  <si>
    <t>.162</t>
  </si>
  <si>
    <t>д Усвятье</t>
  </si>
  <si>
    <t>66514000207</t>
  </si>
  <si>
    <t>.223</t>
  </si>
  <si>
    <t>пгт Верхнеднепровский</t>
  </si>
  <si>
    <t>66514000052</t>
  </si>
  <si>
    <t>КУВИ-001/2024-294219764</t>
  </si>
  <si>
    <t>04.12.2024</t>
  </si>
  <si>
    <t>43.4</t>
  </si>
  <si>
    <t>35.28</t>
  </si>
  <si>
    <t>с Алексино</t>
  </si>
  <si>
    <t>66514000222</t>
  </si>
  <si>
    <t>.29</t>
  </si>
  <si>
    <t>66614440101</t>
  </si>
  <si>
    <t>г Духовщина</t>
  </si>
  <si>
    <t>66516000001</t>
  </si>
  <si>
    <t>ул. Карла Либкнехта</t>
  </si>
  <si>
    <t>д. 51 Б</t>
  </si>
  <si>
    <t>67-АА-№178336</t>
  </si>
  <si>
    <t>07.09.2004</t>
  </si>
  <si>
    <t>4.8</t>
  </si>
  <si>
    <t>1.47</t>
  </si>
  <si>
    <t>ул. Смоленская</t>
  </si>
  <si>
    <t>67-АА  №178381</t>
  </si>
  <si>
    <t>.69</t>
  </si>
  <si>
    <t>.39</t>
  </si>
  <si>
    <t>д. 13 А</t>
  </si>
  <si>
    <t>67-АА №178405</t>
  </si>
  <si>
    <t>1.67</t>
  </si>
  <si>
    <t>Котельная №3 - транзитные сети</t>
  </si>
  <si>
    <t>66616101001</t>
  </si>
  <si>
    <t>г Ельня</t>
  </si>
  <si>
    <t>66519000001</t>
  </si>
  <si>
    <t>ул. Смоленский большак</t>
  </si>
  <si>
    <t>67-АА №178350</t>
  </si>
  <si>
    <t>1.02</t>
  </si>
  <si>
    <t>.528</t>
  </si>
  <si>
    <t>пер. Глинки</t>
  </si>
  <si>
    <t>67-АА №178365</t>
  </si>
  <si>
    <t>6.4</t>
  </si>
  <si>
    <t>4.28</t>
  </si>
  <si>
    <t>пер. Пролетарский</t>
  </si>
  <si>
    <t>67-АА №178351</t>
  </si>
  <si>
    <t>.62</t>
  </si>
  <si>
    <t>ул. Дорогобужский большак</t>
  </si>
  <si>
    <t>18А</t>
  </si>
  <si>
    <t>25.08.2025</t>
  </si>
  <si>
    <t>.071</t>
  </si>
  <si>
    <t>Котельная ФОК</t>
  </si>
  <si>
    <t>262</t>
  </si>
  <si>
    <t>18.04.2025</t>
  </si>
  <si>
    <t>.232</t>
  </si>
  <si>
    <t>66619101001</t>
  </si>
  <si>
    <t>с Ворга</t>
  </si>
  <si>
    <t>66521000178</t>
  </si>
  <si>
    <t>ул. Дзержинского</t>
  </si>
  <si>
    <t>67-АА №178616</t>
  </si>
  <si>
    <t>05.06.2008</t>
  </si>
  <si>
    <t>.9</t>
  </si>
  <si>
    <t>.18</t>
  </si>
  <si>
    <t>66521000101</t>
  </si>
  <si>
    <t>ул. Луговая</t>
  </si>
  <si>
    <t>67-АА №178617</t>
  </si>
  <si>
    <t>.458</t>
  </si>
  <si>
    <t>.716</t>
  </si>
  <si>
    <t>66621414101</t>
  </si>
  <si>
    <t>д Гусино</t>
  </si>
  <si>
    <t>66524000137</t>
  </si>
  <si>
    <t>ул. Октябрьская</t>
  </si>
  <si>
    <t>29В</t>
  </si>
  <si>
    <t>1,2</t>
  </si>
  <si>
    <t>01.10.2025</t>
  </si>
  <si>
    <t>2.85</t>
  </si>
  <si>
    <t>4В</t>
  </si>
  <si>
    <t>1.49</t>
  </si>
  <si>
    <t>пгт Красный</t>
  </si>
  <si>
    <t>66524000051</t>
  </si>
  <si>
    <t>д. 2</t>
  </si>
  <si>
    <t>67-АА № 178642</t>
  </si>
  <si>
    <t>1.64</t>
  </si>
  <si>
    <t>д. 25-а</t>
  </si>
  <si>
    <t>67-АА № 178643</t>
  </si>
  <si>
    <t>.872</t>
  </si>
  <si>
    <t>28.04.2025</t>
  </si>
  <si>
    <t>.192</t>
  </si>
  <si>
    <t>66624151051</t>
  </si>
  <si>
    <t>п Турковского Торфопредприятия</t>
  </si>
  <si>
    <t>66527000301</t>
  </si>
  <si>
    <t>разрешение на ввод объекта в эксплуатацию</t>
  </si>
  <si>
    <t>Р060-00109-77/03139143</t>
  </si>
  <si>
    <t>08.09.2025</t>
  </si>
  <si>
    <t>.1</t>
  </si>
  <si>
    <t>.082</t>
  </si>
  <si>
    <t>Р060-00109-77/03139949</t>
  </si>
  <si>
    <t>.193</t>
  </si>
  <si>
    <t>Р060-00109-77/03140388</t>
  </si>
  <si>
    <t>.23</t>
  </si>
  <si>
    <t>Котельная №1 п. Новодугино</t>
  </si>
  <si>
    <t>с Новодугино</t>
  </si>
  <si>
    <t>66530000101</t>
  </si>
  <si>
    <t>ул. Чкалова</t>
  </si>
  <si>
    <t>67-АБ №685854</t>
  </si>
  <si>
    <t>07.07.2011</t>
  </si>
  <si>
    <t>1.42</t>
  </si>
  <si>
    <t>66630435101</t>
  </si>
  <si>
    <t>66533000001</t>
  </si>
  <si>
    <t>ул. Твардовского</t>
  </si>
  <si>
    <t>д. 5</t>
  </si>
  <si>
    <t>67-АА №178535</t>
  </si>
  <si>
    <t>3.186</t>
  </si>
  <si>
    <t>ул. Полевая</t>
  </si>
  <si>
    <t>№67:14:0320132:173-67/064/2024-1</t>
  </si>
  <si>
    <t>31.10.2024</t>
  </si>
  <si>
    <t>4.05</t>
  </si>
  <si>
    <t>.7</t>
  </si>
  <si>
    <t>Котельная №16
ПУ-29</t>
  </si>
  <si>
    <t>д. 23</t>
  </si>
  <si>
    <t>24.09.2021</t>
  </si>
  <si>
    <t>.45</t>
  </si>
  <si>
    <t>нп. 1-й Микрорайон</t>
  </si>
  <si>
    <t>67-АА №178598</t>
  </si>
  <si>
    <t>2.202</t>
  </si>
  <si>
    <t>№67-RU67514101-82-2016</t>
  </si>
  <si>
    <t>22.09.2016</t>
  </si>
  <si>
    <t>2.24</t>
  </si>
  <si>
    <t>1.45</t>
  </si>
  <si>
    <t>д Бояды / бывшее сельское поселение Прудковское</t>
  </si>
  <si>
    <t>66533000132</t>
  </si>
  <si>
    <t>д. Бояды (Прудковское с/пос)</t>
  </si>
  <si>
    <t>67-АА №181414</t>
  </si>
  <si>
    <t>28.09.2004</t>
  </si>
  <si>
    <t>.882</t>
  </si>
  <si>
    <t>Котельная, д. Даньково</t>
  </si>
  <si>
    <t>д Даньково</t>
  </si>
  <si>
    <t>66533000154</t>
  </si>
  <si>
    <t>д. Даньково</t>
  </si>
  <si>
    <t>16.09.2022</t>
  </si>
  <si>
    <t>1.08</t>
  </si>
  <si>
    <t>.51</t>
  </si>
  <si>
    <t>Котельная №15</t>
  </si>
  <si>
    <t>д Денисово</t>
  </si>
  <si>
    <t>66533000156</t>
  </si>
  <si>
    <t>д. Денисово</t>
  </si>
  <si>
    <t>67-АБ №576170</t>
  </si>
  <si>
    <t>24.08.2010</t>
  </si>
  <si>
    <t>1.24</t>
  </si>
  <si>
    <t>д Лосня</t>
  </si>
  <si>
    <t>66533000207</t>
  </si>
  <si>
    <t>д. Лосня</t>
  </si>
  <si>
    <t>67-АБ №636703</t>
  </si>
  <si>
    <t>22.12.2010</t>
  </si>
  <si>
    <t>Котельная, д.Пересна</t>
  </si>
  <si>
    <t>д Пересна</t>
  </si>
  <si>
    <t>66533000245</t>
  </si>
  <si>
    <t>1.72</t>
  </si>
  <si>
    <t>д Плоское</t>
  </si>
  <si>
    <t>66533000251</t>
  </si>
  <si>
    <t>28.07.2025</t>
  </si>
  <si>
    <t>1.512</t>
  </si>
  <si>
    <t>1.51</t>
  </si>
  <si>
    <t>д Прудки</t>
  </si>
  <si>
    <t>66533000261</t>
  </si>
  <si>
    <t>д. Прудки</t>
  </si>
  <si>
    <t>67-АА №178579</t>
  </si>
  <si>
    <t>.234</t>
  </si>
  <si>
    <t>п Стодолище</t>
  </si>
  <si>
    <t>66533000326</t>
  </si>
  <si>
    <t>1-й Советский переулок</t>
  </si>
  <si>
    <t>23.07.2025</t>
  </si>
  <si>
    <t>1.93</t>
  </si>
  <si>
    <t>66633450115</t>
  </si>
  <si>
    <t>66633450211</t>
  </si>
  <si>
    <t>66633450152</t>
  </si>
  <si>
    <t>№6</t>
  </si>
  <si>
    <t>20.09.2011</t>
  </si>
  <si>
    <t>д Бояды</t>
  </si>
  <si>
    <t>66633465111</t>
  </si>
  <si>
    <t>66633465101</t>
  </si>
  <si>
    <t>66633495181</t>
  </si>
  <si>
    <t>г Рославль</t>
  </si>
  <si>
    <t>66536000001</t>
  </si>
  <si>
    <t>ул. Республиканская</t>
  </si>
  <si>
    <t>67-АБ №657890</t>
  </si>
  <si>
    <t>11.01.2011</t>
  </si>
  <si>
    <t>9.9</t>
  </si>
  <si>
    <t>5.727</t>
  </si>
  <si>
    <t>пл. Горького</t>
  </si>
  <si>
    <t>67-АБ №247135</t>
  </si>
  <si>
    <t>24.12.2007</t>
  </si>
  <si>
    <t>.115</t>
  </si>
  <si>
    <t>ул. Свердлова</t>
  </si>
  <si>
    <t>67-АБ №247019</t>
  </si>
  <si>
    <t>20.12.2007</t>
  </si>
  <si>
    <t>1.903</t>
  </si>
  <si>
    <t>ул. Загородная</t>
  </si>
  <si>
    <t>67-АБ №247020</t>
  </si>
  <si>
    <t>ул. Пайтерова</t>
  </si>
  <si>
    <t>67-АБ №247012</t>
  </si>
  <si>
    <t>1.536</t>
  </si>
  <si>
    <t>Котельная №17</t>
  </si>
  <si>
    <t>д. 53</t>
  </si>
  <si>
    <t>07.02.2012</t>
  </si>
  <si>
    <t>.253</t>
  </si>
  <si>
    <t>ул. Урицкого</t>
  </si>
  <si>
    <t>67-АБ №247643</t>
  </si>
  <si>
    <t>29.01.2008</t>
  </si>
  <si>
    <t>2.63</t>
  </si>
  <si>
    <t>ул. Товарная</t>
  </si>
  <si>
    <t>67-АБ №289636</t>
  </si>
  <si>
    <t>21.05.2008</t>
  </si>
  <si>
    <t>2.273</t>
  </si>
  <si>
    <t>Котельная №30</t>
  </si>
  <si>
    <t>ул. Чехова</t>
  </si>
  <si>
    <t>07.10.2011</t>
  </si>
  <si>
    <t>1.46</t>
  </si>
  <si>
    <t>Котельная №31</t>
  </si>
  <si>
    <t>г. Рославль</t>
  </si>
  <si>
    <t>ЦРБ</t>
  </si>
  <si>
    <t>№ 207-АБ</t>
  </si>
  <si>
    <t>23.12.2013</t>
  </si>
  <si>
    <t>1.723</t>
  </si>
  <si>
    <t>1.725</t>
  </si>
  <si>
    <t>Котельная №32</t>
  </si>
  <si>
    <t>ул. Мичурина</t>
  </si>
  <si>
    <t>д.196</t>
  </si>
  <si>
    <t>ВТР-СРТЭ-1</t>
  </si>
  <si>
    <t>30.12.2016</t>
  </si>
  <si>
    <t>400</t>
  </si>
  <si>
    <t>69.806</t>
  </si>
  <si>
    <t>55.63</t>
  </si>
  <si>
    <t>Котельная №32 магистральные сети</t>
  </si>
  <si>
    <t>Котельная №32 транзитные сети</t>
  </si>
  <si>
    <t>д. 196</t>
  </si>
  <si>
    <t>ул. Пушкина</t>
  </si>
  <si>
    <t>67-АБ №247131</t>
  </si>
  <si>
    <t>1.03</t>
  </si>
  <si>
    <t>кв-л. 163-й</t>
  </si>
  <si>
    <t>67-АВ №106460</t>
  </si>
  <si>
    <t>16.07.2014</t>
  </si>
  <si>
    <t>6.37</t>
  </si>
  <si>
    <t>пер. 1-й Братский</t>
  </si>
  <si>
    <t>67-АБ №247013</t>
  </si>
  <si>
    <t>.26</t>
  </si>
  <si>
    <t>Котельная №6 транзитные сети</t>
  </si>
  <si>
    <t>ул. Красина</t>
  </si>
  <si>
    <t>67-АБ №247128</t>
  </si>
  <si>
    <t>7.4</t>
  </si>
  <si>
    <t>2.76</t>
  </si>
  <si>
    <t>6-ая школа</t>
  </si>
  <si>
    <t>67-АБ №247129</t>
  </si>
  <si>
    <t>.276</t>
  </si>
  <si>
    <t>Тепловые сети "ВРЗ"</t>
  </si>
  <si>
    <t>№4</t>
  </si>
  <si>
    <t>31.12.2015</t>
  </si>
  <si>
    <t>5.53</t>
  </si>
  <si>
    <t>Тепловые сети "ВРЗ" -транзитные сети</t>
  </si>
  <si>
    <t>Тепловые сети "ВРЗ" магистральные</t>
  </si>
  <si>
    <t>Тепловые сети "Локомотивное Депо"</t>
  </si>
  <si>
    <t>Тепловые сети "Смоленсктепло"</t>
  </si>
  <si>
    <t>Тепловые сети "Смоленсктепло" магистральные</t>
  </si>
  <si>
    <t>Тепловые сети "Смоленсктепло" транзитные сети</t>
  </si>
  <si>
    <t>67-АБ №247644</t>
  </si>
  <si>
    <t>29.12.2008</t>
  </si>
  <si>
    <t>.187</t>
  </si>
  <si>
    <t>д Астапковичи</t>
  </si>
  <si>
    <t>66536000108</t>
  </si>
  <si>
    <t>д. Астапковичи</t>
  </si>
  <si>
    <t>30.03.2015</t>
  </si>
  <si>
    <t>.135</t>
  </si>
  <si>
    <t>Котельная №26</t>
  </si>
  <si>
    <t>д Грязенять</t>
  </si>
  <si>
    <t>66536000165</t>
  </si>
  <si>
    <t>д. Грязенять</t>
  </si>
  <si>
    <t>№ 209-АБ</t>
  </si>
  <si>
    <t>.34</t>
  </si>
  <si>
    <t>д Козловка / бывший Остерский сельский округ</t>
  </si>
  <si>
    <t>66536000209</t>
  </si>
  <si>
    <t>ул. Гагарина</t>
  </si>
  <si>
    <t>67-АВ №069089</t>
  </si>
  <si>
    <t>24.01.2014</t>
  </si>
  <si>
    <t>.973</t>
  </si>
  <si>
    <t>Котельная №20</t>
  </si>
  <si>
    <t>д. Козловка (Остерское с/пос)</t>
  </si>
  <si>
    <t>1.618</t>
  </si>
  <si>
    <t>Котельная №20 транзитные сети</t>
  </si>
  <si>
    <t>д Лесники</t>
  </si>
  <si>
    <t>66536000241</t>
  </si>
  <si>
    <t>д. Лесники</t>
  </si>
  <si>
    <t>.116</t>
  </si>
  <si>
    <t>д Липовка / бывшее сельское поселение Липовское</t>
  </si>
  <si>
    <t>66536000244</t>
  </si>
  <si>
    <t>д. Липовка</t>
  </si>
  <si>
    <t>.123</t>
  </si>
  <si>
    <t>Котельная №27</t>
  </si>
  <si>
    <t>д Малые Кириллы</t>
  </si>
  <si>
    <t>66536000258</t>
  </si>
  <si>
    <t>ул. Головлева</t>
  </si>
  <si>
    <t>.112</t>
  </si>
  <si>
    <t>д Никольское</t>
  </si>
  <si>
    <t>66536000277</t>
  </si>
  <si>
    <t>д. Никольское</t>
  </si>
  <si>
    <t>67-АБ №247127</t>
  </si>
  <si>
    <t>.403</t>
  </si>
  <si>
    <t>Котельная №29</t>
  </si>
  <si>
    <t>д Перенка</t>
  </si>
  <si>
    <t>66536000303</t>
  </si>
  <si>
    <t>д. Перенка</t>
  </si>
  <si>
    <t>.601</t>
  </si>
  <si>
    <t>Котельная №28</t>
  </si>
  <si>
    <t>д Пригорье</t>
  </si>
  <si>
    <t>66536000315</t>
  </si>
  <si>
    <t>д. Пригорье</t>
  </si>
  <si>
    <t>.21</t>
  </si>
  <si>
    <t>с Екимовичи</t>
  </si>
  <si>
    <t>66536000400</t>
  </si>
  <si>
    <t>с. Екимовичи</t>
  </si>
  <si>
    <t>.161</t>
  </si>
  <si>
    <t>08.07.2015</t>
  </si>
  <si>
    <t>котельная №18</t>
  </si>
  <si>
    <t>с Остер</t>
  </si>
  <si>
    <t>66536000401</t>
  </si>
  <si>
    <t>67-АБ №247132</t>
  </si>
  <si>
    <t>.792</t>
  </si>
  <si>
    <t>с. Остер</t>
  </si>
  <si>
    <t>1.169</t>
  </si>
  <si>
    <t>66636408101</t>
  </si>
  <si>
    <t>66636408147</t>
  </si>
  <si>
    <t>66636408149</t>
  </si>
  <si>
    <t>66636430101</t>
  </si>
  <si>
    <t>66636442101</t>
  </si>
  <si>
    <t>66636460118</t>
  </si>
  <si>
    <t>д Липовка</t>
  </si>
  <si>
    <t>66636460101</t>
  </si>
  <si>
    <t>д Козловка</t>
  </si>
  <si>
    <t>66636470111</t>
  </si>
  <si>
    <t>66636470101</t>
  </si>
  <si>
    <t>66636472101</t>
  </si>
  <si>
    <t>66636476171</t>
  </si>
  <si>
    <t>66636101001</t>
  </si>
  <si>
    <t>ул. Чибисова К. Н.</t>
  </si>
  <si>
    <t>22а</t>
  </si>
  <si>
    <t>концессионное соглашение</t>
  </si>
  <si>
    <t>соглашение</t>
  </si>
  <si>
    <t>97/01-С</t>
  </si>
  <si>
    <t>13.12.2024</t>
  </si>
  <si>
    <t>.51770453</t>
  </si>
  <si>
    <t>97/-01с</t>
  </si>
  <si>
    <t>Котельная с. Понизовье, ул.Комсомольская</t>
  </si>
  <si>
    <t>2А</t>
  </si>
  <si>
    <t>г Сафоново</t>
  </si>
  <si>
    <t>66541000001</t>
  </si>
  <si>
    <t>№7-к</t>
  </si>
  <si>
    <t>28.01.2009</t>
  </si>
  <si>
    <t>.527</t>
  </si>
  <si>
    <t>ул. Районная подстанция</t>
  </si>
  <si>
    <t>.17</t>
  </si>
  <si>
    <t>.12</t>
  </si>
  <si>
    <t>ул. Химиков</t>
  </si>
  <si>
    <t>№ 15/11-к</t>
  </si>
  <si>
    <t>26.05.2010</t>
  </si>
  <si>
    <t>25.51</t>
  </si>
  <si>
    <t>Котельная №15 - транзитные сети</t>
  </si>
  <si>
    <t>Котельная №15 магистральные сети</t>
  </si>
  <si>
    <t>Котельная №16 -транзитные сети</t>
  </si>
  <si>
    <t>д. 78</t>
  </si>
  <si>
    <t>№ 13-к</t>
  </si>
  <si>
    <t>01.12.2010</t>
  </si>
  <si>
    <t>32.5</t>
  </si>
  <si>
    <t>Котельная №16 магистральные сети</t>
  </si>
  <si>
    <t>ул. Ковалева</t>
  </si>
  <si>
    <t>№ 15-к</t>
  </si>
  <si>
    <t>15.11.2009</t>
  </si>
  <si>
    <t>.735</t>
  </si>
  <si>
    <t>67-АБ №445567</t>
  </si>
  <si>
    <t>03.09.2009</t>
  </si>
  <si>
    <t>.477</t>
  </si>
  <si>
    <t>67-АБ №438889</t>
  </si>
  <si>
    <t>06.08.2009</t>
  </si>
  <si>
    <t>.385</t>
  </si>
  <si>
    <t>ул. Красногвардейская</t>
  </si>
  <si>
    <t>6.207</t>
  </si>
  <si>
    <t>ул. Вахрушева</t>
  </si>
  <si>
    <t>№0052040/01-АБ</t>
  </si>
  <si>
    <t>5.6</t>
  </si>
  <si>
    <t>№0052040/02-АБ</t>
  </si>
  <si>
    <t>1.22</t>
  </si>
  <si>
    <t>мкр. Завода ГМП</t>
  </si>
  <si>
    <t>7.3</t>
  </si>
  <si>
    <t>3.89</t>
  </si>
  <si>
    <t>Котельная №8 - транзитные сети</t>
  </si>
  <si>
    <t>2.37</t>
  </si>
  <si>
    <t>.15</t>
  </si>
  <si>
    <t>ул. Первомайская</t>
  </si>
  <si>
    <t>д.18</t>
  </si>
  <si>
    <t>27.03.2019</t>
  </si>
  <si>
    <t>7.7</t>
  </si>
  <si>
    <t>5.09</t>
  </si>
  <si>
    <t>д. 18</t>
  </si>
  <si>
    <t>д. 33</t>
  </si>
  <si>
    <t>1.84</t>
  </si>
  <si>
    <t>.91</t>
  </si>
  <si>
    <t>д Клинка</t>
  </si>
  <si>
    <t>66541000190</t>
  </si>
  <si>
    <t>Школа-интернат</t>
  </si>
  <si>
    <t>67-АБ №410704</t>
  </si>
  <si>
    <t>30.06.2009</t>
  </si>
  <si>
    <t>1.26</t>
  </si>
  <si>
    <t>с Издешково</t>
  </si>
  <si>
    <t>66541000323</t>
  </si>
  <si>
    <t>ул. Чернышевского</t>
  </si>
  <si>
    <t>14.10.2021</t>
  </si>
  <si>
    <t>3.81</t>
  </si>
  <si>
    <t>66641415118</t>
  </si>
  <si>
    <t>66641457101</t>
  </si>
  <si>
    <t>66641101001</t>
  </si>
  <si>
    <t>д Богородицкое</t>
  </si>
  <si>
    <t>66544000132</t>
  </si>
  <si>
    <t>ул. Пригородная</t>
  </si>
  <si>
    <t>№23</t>
  </si>
  <si>
    <t>25.09.2019</t>
  </si>
  <si>
    <t>2.79</t>
  </si>
  <si>
    <t>2.131</t>
  </si>
  <si>
    <t>98/01-0</t>
  </si>
  <si>
    <t>16.6</t>
  </si>
  <si>
    <t>3.58</t>
  </si>
  <si>
    <t>Котельная (ТК Соколья Гора)</t>
  </si>
  <si>
    <t>д Митино</t>
  </si>
  <si>
    <t>66544000310</t>
  </si>
  <si>
    <t>17.09.2024</t>
  </si>
  <si>
    <t>.036</t>
  </si>
  <si>
    <t>.04</t>
  </si>
  <si>
    <t>д Сметанино</t>
  </si>
  <si>
    <t>66544000419</t>
  </si>
  <si>
    <t>д. Сметанино</t>
  </si>
  <si>
    <t>№25</t>
  </si>
  <si>
    <t>27.09.2019</t>
  </si>
  <si>
    <t>2.57</t>
  </si>
  <si>
    <t>1.924</t>
  </si>
  <si>
    <t>с Талашкино</t>
  </si>
  <si>
    <t>66544000517</t>
  </si>
  <si>
    <t>с. Талашкино</t>
  </si>
  <si>
    <t>№31</t>
  </si>
  <si>
    <t>3.53</t>
  </si>
  <si>
    <t>2.605</t>
  </si>
  <si>
    <t>66644439101</t>
  </si>
  <si>
    <t>66644439136</t>
  </si>
  <si>
    <t>66644484101</t>
  </si>
  <si>
    <t>66644492101</t>
  </si>
  <si>
    <t>Котельная №1 Роддом</t>
  </si>
  <si>
    <t>67-АА №178298</t>
  </si>
  <si>
    <t>3.41</t>
  </si>
  <si>
    <t>Котельная №1 Роддом транзитные сети</t>
  </si>
  <si>
    <t>67-АА №700166</t>
  </si>
  <si>
    <t>1.763</t>
  </si>
  <si>
    <t>Котельная №3 Школа</t>
  </si>
  <si>
    <t>ул. Алексеевского</t>
  </si>
  <si>
    <t>д. б/н</t>
  </si>
  <si>
    <t>Отсутствует</t>
  </si>
  <si>
    <t>06.10.2014</t>
  </si>
  <si>
    <t>66646101001</t>
  </si>
  <si>
    <t>д Корзово</t>
  </si>
  <si>
    <t>66552000158</t>
  </si>
  <si>
    <t>02/25</t>
  </si>
  <si>
    <t>.40255</t>
  </si>
  <si>
    <t>пгт Хиславичи</t>
  </si>
  <si>
    <t>66552000051</t>
  </si>
  <si>
    <t>ул. Берестнева</t>
  </si>
  <si>
    <t>21а</t>
  </si>
  <si>
    <t>1.13</t>
  </si>
  <si>
    <t>пгт. Холм-Жирковский</t>
  </si>
  <si>
    <t>67-АБ №151795</t>
  </si>
  <si>
    <t>17.11.2006</t>
  </si>
  <si>
    <t>4.43</t>
  </si>
  <si>
    <t>3.083</t>
  </si>
  <si>
    <t>Котельная №1-транзитные сети</t>
  </si>
  <si>
    <t>132/04-С</t>
  </si>
  <si>
    <t>2.58</t>
  </si>
  <si>
    <t>.344</t>
  </si>
  <si>
    <t>Котельная №4 ст. Игоревская</t>
  </si>
  <si>
    <t>ст Игоревская</t>
  </si>
  <si>
    <t>66554000276</t>
  </si>
  <si>
    <t>ул. Южная</t>
  </si>
  <si>
    <t>д.15</t>
  </si>
  <si>
    <t>https://portal.eias.ru/Portal/DownloadPage.aspx?type=12&amp;guid=63b2bc2d-f615-4dbc-8882-588525643588</t>
  </si>
  <si>
    <t>10.08.2022</t>
  </si>
  <si>
    <t>1.52</t>
  </si>
  <si>
    <t>66654425101</t>
  </si>
  <si>
    <t>66654151051</t>
  </si>
  <si>
    <t>д Надейковичи</t>
  </si>
  <si>
    <t>66556000170</t>
  </si>
  <si>
    <t>Р060-00109-77/03738592</t>
  </si>
  <si>
    <t>13.11.2025</t>
  </si>
  <si>
    <t>.0889</t>
  </si>
  <si>
    <t>д Студенец</t>
  </si>
  <si>
    <t>66556000217</t>
  </si>
  <si>
    <t>Р060-00109-77/03735788</t>
  </si>
  <si>
    <t>12.11.2025</t>
  </si>
  <si>
    <t>67-АБ №247609</t>
  </si>
  <si>
    <t>28.01.2008</t>
  </si>
  <si>
    <t>1.38</t>
  </si>
  <si>
    <t>67-АБ №247314</t>
  </si>
  <si>
    <t>10.01.2008</t>
  </si>
  <si>
    <t>.49</t>
  </si>
  <si>
    <t>67-АБ №247315</t>
  </si>
  <si>
    <t>.486</t>
  </si>
  <si>
    <t>.4</t>
  </si>
  <si>
    <t>.277</t>
  </si>
  <si>
    <t>ул. Сельхозтехника</t>
  </si>
  <si>
    <t>.506</t>
  </si>
  <si>
    <t>ул. Пионерская</t>
  </si>
  <si>
    <t>.466</t>
  </si>
  <si>
    <t>ул. Базарная</t>
  </si>
  <si>
    <t>.3244</t>
  </si>
  <si>
    <t>.298</t>
  </si>
  <si>
    <t>.261</t>
  </si>
  <si>
    <t>с Первомайский</t>
  </si>
  <si>
    <t>66556000237</t>
  </si>
  <si>
    <t>1.702</t>
  </si>
  <si>
    <t>ул. Никольская</t>
  </si>
  <si>
    <t>.843</t>
  </si>
  <si>
    <t>66656151051</t>
  </si>
  <si>
    <t>.28</t>
  </si>
  <si>
    <t>Котельная №1 Восточный промузел</t>
  </si>
  <si>
    <t>г. Ярцево</t>
  </si>
  <si>
    <t>Восточный промоузел</t>
  </si>
  <si>
    <t>№22</t>
  </si>
  <si>
    <t>03.07.2012</t>
  </si>
  <si>
    <t>419.5</t>
  </si>
  <si>
    <t>86.1</t>
  </si>
  <si>
    <t>Котельная №1 Восточный промузел транзитные сети</t>
  </si>
  <si>
    <t>64.21</t>
  </si>
  <si>
    <t>Котельная №1 Восточный промузел-магистральные сети</t>
  </si>
  <si>
    <t>ул. Дачная</t>
  </si>
  <si>
    <t>д. 24</t>
  </si>
  <si>
    <t>67-АБ №625456</t>
  </si>
  <si>
    <t>22.04.2010</t>
  </si>
  <si>
    <t>1.09</t>
  </si>
  <si>
    <t>ул. Маршала Жукова</t>
  </si>
  <si>
    <t>д. 1-а</t>
  </si>
  <si>
    <t>.71</t>
  </si>
  <si>
    <t>Котельная №12 транзитные сети</t>
  </si>
  <si>
    <t>Котельная №14 ЛМПС</t>
  </si>
  <si>
    <t>ул. ЛММС</t>
  </si>
  <si>
    <t>№05/15</t>
  </si>
  <si>
    <t>18.03.2015</t>
  </si>
  <si>
    <t>.557</t>
  </si>
  <si>
    <t>ул. Победы</t>
  </si>
  <si>
    <t>3.44</t>
  </si>
  <si>
    <t>1.334</t>
  </si>
  <si>
    <t>67-АБ №171347</t>
  </si>
  <si>
    <t>24.04.2007</t>
  </si>
  <si>
    <t>5.15</t>
  </si>
  <si>
    <t>ул. Школьная</t>
  </si>
  <si>
    <t>д. 9-б</t>
  </si>
  <si>
    <t>67-АБ №625459</t>
  </si>
  <si>
    <t>11.86</t>
  </si>
  <si>
    <t>67-АБ №625457</t>
  </si>
  <si>
    <t>Котельная №7 п. Пронькино</t>
  </si>
  <si>
    <t>п. Пронькино</t>
  </si>
  <si>
    <t>документов нет вообще</t>
  </si>
  <si>
    <t>01.04.2003</t>
  </si>
  <si>
    <t>.32</t>
  </si>
  <si>
    <t>ул. Краснооктябрьская</t>
  </si>
  <si>
    <t>67-АБ №171367</t>
  </si>
  <si>
    <t>25.04.2007</t>
  </si>
  <si>
    <t>4.01</t>
  </si>
  <si>
    <t>5.29</t>
  </si>
  <si>
    <t>ул. Заозерная</t>
  </si>
  <si>
    <t>№02/17</t>
  </si>
  <si>
    <t>31.01.2017</t>
  </si>
  <si>
    <t>.68</t>
  </si>
  <si>
    <t>.54</t>
  </si>
  <si>
    <t>ул. Макаренко</t>
  </si>
  <si>
    <t>д. 3-б</t>
  </si>
  <si>
    <t>67-АБ №625458</t>
  </si>
  <si>
    <t>д Михейково</t>
  </si>
  <si>
    <t>66558000165</t>
  </si>
  <si>
    <t>д. Михейково</t>
  </si>
  <si>
    <t>30.12.2014</t>
  </si>
  <si>
    <t>1.05</t>
  </si>
  <si>
    <t>д Суетово</t>
  </si>
  <si>
    <t>66558000196</t>
  </si>
  <si>
    <t>д. Суетово</t>
  </si>
  <si>
    <t>1.25</t>
  </si>
  <si>
    <t>66658435101</t>
  </si>
  <si>
    <t>66658480101</t>
  </si>
  <si>
    <t>66658101001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</si>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</sst>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0">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FFC000"/>
      </patternFill>
    </fill>
    <fill>
      <patternFill patternType="solid">
        <fgColor rgb="FFEAEBEE"/>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theme="0" tint="-0.249977111117893"/>
      </left>
      <right style="thin">
        <color rgb="FFC0C0C0"/>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4" fillId="0" borderId="0" applyFill="0" applyBorder="0">
      <alignment vertical="top"/>
    </xf>
    <xf numFmtId="0" fontId="11" fillId="0" borderId="0" applyFill="0" applyBorder="0"/>
    <xf numFmtId="0" fontId="12" fillId="0" borderId="0" applyFill="0" applyBorder="0">
      <alignment vertical="top"/>
    </xf>
  </cellStyleXfs>
  <cellXfs count="4029">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7"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8"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9"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99"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0"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1"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2" fillId="0" borderId="3" xfId="0" applyNumberFormat="1" applyFont="1" applyBorder="1" applyAlignment="1">
      <alignment horizontal="center" vertical="center" wrapText="1"/>
    </xf>
    <xf numFmtId="49" fontId="102"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8" borderId="0" xfId="0" applyNumberFormat="1" applyFont="1" applyFill="1" applyAlignment="1">
      <alignment vertical="center" wrapText="1"/>
    </xf>
    <xf numFmtId="1" fontId="5" fillId="12" borderId="53"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49" fontId="9" fillId="9"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49" fontId="5" fillId="8" borderId="8" xfId="0" applyNumberFormat="1" applyFont="1" applyFill="1" applyBorder="1" applyAlignment="1">
      <alignment horizontal="left" vertical="center" wrapText="1"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168" fontId="0" fillId="12" borderId="2" xfId="0" applyNumberFormat="1" applyFont="1" applyFill="1" applyBorder="1" applyAlignment="1" applyProtection="1">
      <alignment horizontal="left" vertical="center" wrapText="1" indent="1"/>
      <protection locked="0"/>
    </xf>
    <xf numFmtId="0" fontId="11" fillId="0" borderId="0" xfId="0" applyNumberFormat="1" applyFont="1" applyAlignment="1"/>
    <xf numFmtId="49" fontId="5" fillId="8" borderId="8" xfId="0" applyNumberFormat="1" applyFont="1" applyFill="1" applyBorder="1" applyAlignment="1">
      <alignment horizontal="left" vertical="center" wrapText="1"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5" xfId="0" applyNumberFormat="1" applyFont="1" applyBorder="1" applyAlignment="1">
      <alignment horizontal="center" vertical="center" wrapText="1"/>
    </xf>
    <xf numFmtId="0" fontId="5" fillId="0" borderId="55" xfId="0" applyNumberFormat="1" applyFont="1" applyBorder="1" applyAlignment="1">
      <alignment horizontal="center" vertical="center" wrapText="1"/>
    </xf>
    <xf numFmtId="49" fontId="17" fillId="0" borderId="56" xfId="0" applyNumberFormat="1" applyFont="1" applyBorder="1" applyAlignment="1">
      <alignment horizontal="center" vertical="center" wrapText="1"/>
    </xf>
    <xf numFmtId="49" fontId="17" fillId="0" borderId="57"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5" fillId="12" borderId="4"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29"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0" borderId="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0" fillId="0" borderId="27" xfId="0" applyNumberFormat="1" applyFont="1" applyBorder="1">
      <alignment vertical="top"/>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99"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left" vertical="center" wrapText="1"/>
    </xf>
    <xf numFmtId="49" fontId="5" fillId="7" borderId="3" xfId="0" applyNumberFormat="1" applyFont="1" applyFill="1" applyBorder="1" applyAlignment="1">
      <alignment horizontal="left" vertical="center" wrapText="1"/>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1"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1"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1" fontId="5" fillId="12" borderId="53" xfId="0" applyNumberFormat="1" applyFont="1" applyFill="1" applyBorder="1" applyAlignment="1" applyProtection="1">
      <alignment vertical="center" wrapText="1"/>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4"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0"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3"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lan@srte.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hyperlink" Target="https://portal.eias.ru/Portal/DownloadPage.aspx?type=12&amp;guid=f0f42c8e-e288-454a-9b1c-9f80bc301c52" TargetMode="Externa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2" Type="http://schemas.openxmlformats.org/officeDocument/2006/relationships/hyperlink" Target="../../../../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J$19" TargetMode="External"/><Relationship Id="rId1" Type="http://schemas.openxmlformats.org/officeDocument/2006/relationships/hyperlink" Target="https://portal.eias.ru/Portal/DownloadPage.aspx?type=12&amp;guid=b8235fcb-0f6e-4950-9530-2d87544d8296"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C1" sqref="C1"/>
    </sheetView>
  </sheetViews>
  <sheetFormatPr defaultColWidth="9.140625" defaultRowHeight="11.25" customHeight="1"/>
  <cols>
    <col min="1" max="1" width="10.7109375" style="715" hidden="1" customWidth="1"/>
    <col min="2" max="2" width="10.7109375" style="666" hidden="1" customWidth="1"/>
    <col min="3" max="3" width="3" style="464" customWidth="1"/>
    <col min="4" max="4" width="1" style="1557" customWidth="1"/>
    <col min="5" max="6" width="55" style="1557" customWidth="1"/>
    <col min="7" max="7" width="1" style="1985" customWidth="1"/>
    <col min="8" max="8" width="18" style="1557" hidden="1" customWidth="1"/>
    <col min="9" max="9" width="59" style="465" customWidth="1"/>
    <col min="10" max="10" width="52.140625" style="1288" hidden="1" customWidth="1"/>
    <col min="11" max="11" width="8" style="1557" customWidth="1"/>
    <col min="12" max="12" width="77" style="1557" customWidth="1"/>
    <col min="13" max="16" width="8" style="1557" customWidth="1"/>
    <col min="17" max="17" width="12" style="1557" hidden="1" customWidth="1"/>
  </cols>
  <sheetData>
    <row r="1" spans="1:17" s="556" customFormat="1" ht="3" customHeight="1">
      <c r="A1" s="711"/>
      <c r="B1" s="176"/>
      <c r="F1" s="177" t="s">
        <v>0</v>
      </c>
      <c r="G1" s="345"/>
      <c r="H1" s="10"/>
      <c r="I1" s="345"/>
      <c r="J1" s="799"/>
      <c r="Q1" s="177" t="s">
        <v>1</v>
      </c>
    </row>
    <row r="2" spans="1:17" s="1554" customFormat="1" ht="14.25" customHeight="1">
      <c r="A2" s="711"/>
      <c r="B2" s="37"/>
      <c r="E2" s="1633" t="e">
        <f>code</f>
        <v>#REF!</v>
      </c>
      <c r="F2" s="204"/>
      <c r="G2" s="180"/>
      <c r="H2" s="180"/>
      <c r="I2" s="180"/>
      <c r="J2" s="800"/>
      <c r="K2" s="180"/>
      <c r="Q2" s="10">
        <v>14</v>
      </c>
    </row>
    <row r="3" spans="1:17" ht="14.65" customHeight="1">
      <c r="E3" s="181" t="e">
        <f>version</f>
        <v>#REF!</v>
      </c>
      <c r="F3" s="204"/>
      <c r="G3" s="699"/>
      <c r="H3" s="699"/>
      <c r="I3" s="699"/>
      <c r="J3" s="801"/>
      <c r="K3" s="27"/>
      <c r="Q3" s="13">
        <v>14</v>
      </c>
    </row>
    <row r="4" spans="1:17" s="1534" customFormat="1" ht="6.4" customHeight="1">
      <c r="A4" s="712"/>
      <c r="B4" s="167"/>
      <c r="C4" s="168"/>
      <c r="D4" s="169"/>
      <c r="E4" s="178"/>
      <c r="F4" s="179"/>
      <c r="G4" s="700"/>
      <c r="H4" s="343"/>
      <c r="I4" s="345"/>
      <c r="J4" s="802"/>
      <c r="Q4" s="171">
        <v>6</v>
      </c>
    </row>
    <row r="5" spans="1:17" ht="39.75" customHeight="1">
      <c r="D5" s="14"/>
      <c r="E5" s="358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3589"/>
      <c r="G5" s="701"/>
      <c r="J5" s="803"/>
      <c r="Q5" s="13">
        <v>38</v>
      </c>
    </row>
    <row r="6" spans="1:17" s="1534" customFormat="1" ht="6.4" customHeight="1">
      <c r="A6" s="712"/>
      <c r="B6" s="167"/>
      <c r="C6" s="168"/>
      <c r="D6" s="169"/>
      <c r="E6" s="172"/>
      <c r="F6" s="173"/>
      <c r="G6" s="701"/>
      <c r="H6" s="343"/>
      <c r="I6" s="345"/>
      <c r="J6" s="802"/>
      <c r="Q6" s="171">
        <v>6</v>
      </c>
    </row>
    <row r="7" spans="1:17" ht="21" customHeight="1">
      <c r="D7" s="14"/>
      <c r="E7" s="325" t="s">
        <v>2</v>
      </c>
      <c r="F7" s="150" t="s">
        <v>3</v>
      </c>
      <c r="G7" s="701"/>
      <c r="Q7" s="13">
        <v>20</v>
      </c>
    </row>
    <row r="8" spans="1:17" s="1534" customFormat="1" ht="6.4" customHeight="1">
      <c r="A8" s="713"/>
      <c r="B8" s="167"/>
      <c r="C8" s="168"/>
      <c r="D8" s="174"/>
      <c r="E8" s="172"/>
      <c r="F8" s="175"/>
      <c r="G8" s="16"/>
      <c r="H8" s="343"/>
      <c r="I8" s="345"/>
      <c r="J8" s="805"/>
      <c r="Q8" s="171">
        <v>6</v>
      </c>
    </row>
    <row r="9" spans="1:17" s="1557" customFormat="1" ht="19.5" hidden="1" customHeight="1">
      <c r="A9" s="712"/>
      <c r="B9" s="37"/>
      <c r="C9" s="342"/>
      <c r="D9" s="344"/>
      <c r="E9" s="1087" t="s">
        <v>4</v>
      </c>
      <c r="F9" s="1810"/>
      <c r="G9" s="701"/>
      <c r="I9" s="1789" t="str">
        <f>IF(TITLE_STRUCTURE_INFO_ROIV="","","раскрывается "&amp;INDEX(ROIV_INFO_COMMENT,MATCH(TITLE_STRUCTURE_INFO_ROIV,ROIV_INFO_LIST,0)))</f>
        <v/>
      </c>
      <c r="J9" s="804"/>
      <c r="Q9" s="343">
        <v>0</v>
      </c>
    </row>
    <row r="10" spans="1:17" s="1534" customFormat="1" ht="24" hidden="1" customHeight="1">
      <c r="A10" s="713"/>
      <c r="B10" s="360"/>
      <c r="C10" s="361"/>
      <c r="D10" s="174"/>
      <c r="E10" s="1087" t="s">
        <v>5</v>
      </c>
      <c r="F10" s="1952" t="s">
        <v>6</v>
      </c>
      <c r="G10" s="16"/>
      <c r="H10" s="343"/>
      <c r="I10" s="345"/>
      <c r="J10" s="805"/>
      <c r="Q10" s="364">
        <v>24</v>
      </c>
    </row>
    <row r="11" spans="1:17" ht="22.5" hidden="1" customHeight="1">
      <c r="A11" s="3591" t="s">
        <v>7</v>
      </c>
      <c r="D11" s="14"/>
      <c r="E11" s="1087" t="s">
        <v>8</v>
      </c>
      <c r="F11" s="1625" t="s">
        <v>9</v>
      </c>
      <c r="G11" s="16"/>
      <c r="H11" s="702" t="s">
        <v>10</v>
      </c>
      <c r="J11" s="804" t="s">
        <v>11</v>
      </c>
      <c r="Q11" s="13">
        <v>0</v>
      </c>
    </row>
    <row r="12" spans="1:17" ht="22.5" hidden="1" customHeight="1">
      <c r="A12" s="3591"/>
      <c r="D12" s="14"/>
      <c r="E12" s="1087" t="s">
        <v>12</v>
      </c>
      <c r="F12" s="1625"/>
      <c r="G12" s="12"/>
      <c r="J12" s="804" t="s">
        <v>13</v>
      </c>
      <c r="Q12" s="13">
        <v>0</v>
      </c>
    </row>
    <row r="13" spans="1:17" s="1557" customFormat="1" ht="22.5" hidden="1" customHeight="1">
      <c r="A13" s="716" t="s">
        <v>14</v>
      </c>
      <c r="B13" s="37"/>
      <c r="C13" s="342"/>
      <c r="D13" s="344"/>
      <c r="E13" s="1667" t="s">
        <v>15</v>
      </c>
      <c r="F13" s="1625" t="s">
        <v>9</v>
      </c>
      <c r="G13" s="16"/>
      <c r="H13" s="699"/>
      <c r="I13" s="345"/>
      <c r="J13" s="1668" t="s">
        <v>16</v>
      </c>
      <c r="Q13" s="343">
        <v>0</v>
      </c>
    </row>
    <row r="14" spans="1:17" s="1557" customFormat="1" ht="27" customHeight="1">
      <c r="A14" s="716" t="s">
        <v>17</v>
      </c>
      <c r="B14" s="37"/>
      <c r="C14" s="342"/>
      <c r="D14" s="344"/>
      <c r="E14" s="1087" t="s">
        <v>18</v>
      </c>
      <c r="F14" s="1660">
        <v>2025</v>
      </c>
      <c r="G14" s="16"/>
      <c r="H14" s="699"/>
      <c r="I14" s="345"/>
      <c r="J14" s="804" t="s">
        <v>19</v>
      </c>
      <c r="Q14" s="343">
        <v>0</v>
      </c>
    </row>
    <row r="15" spans="1:17" s="1557" customFormat="1" ht="19.5" hidden="1" customHeight="1">
      <c r="A15" s="716" t="s">
        <v>20</v>
      </c>
      <c r="B15" s="37"/>
      <c r="C15" s="342"/>
      <c r="D15" s="344"/>
      <c r="E15" s="1087" t="s">
        <v>21</v>
      </c>
      <c r="F15" s="1660"/>
      <c r="G15" s="16"/>
      <c r="H15" s="699"/>
      <c r="I15" s="345"/>
      <c r="J15" s="804" t="s">
        <v>22</v>
      </c>
      <c r="Q15" s="343">
        <v>0</v>
      </c>
    </row>
    <row r="16" spans="1:17" s="1557" customFormat="1" ht="19.5" hidden="1" customHeight="1">
      <c r="A16" s="712"/>
      <c r="B16" s="37"/>
      <c r="C16" s="342"/>
      <c r="D16" s="344"/>
      <c r="E16" s="1087" t="s">
        <v>23</v>
      </c>
      <c r="F16" s="1132"/>
      <c r="G16" s="391"/>
      <c r="H16" s="702" t="s">
        <v>10</v>
      </c>
      <c r="I16" s="345"/>
      <c r="J16" s="804"/>
      <c r="Q16" s="343">
        <v>20</v>
      </c>
    </row>
    <row r="17" spans="1:17" ht="21" customHeight="1">
      <c r="D17" s="14"/>
      <c r="E17" s="325" t="s">
        <v>24</v>
      </c>
      <c r="F17" s="151" t="s">
        <v>25</v>
      </c>
      <c r="G17" s="12"/>
      <c r="H17" s="702" t="s">
        <v>10</v>
      </c>
      <c r="Q17" s="13">
        <v>20</v>
      </c>
    </row>
    <row r="18" spans="1:17" ht="25.5" hidden="1" customHeight="1">
      <c r="D18" s="14"/>
      <c r="E18" s="1667" t="s">
        <v>26</v>
      </c>
      <c r="F18" s="1626"/>
      <c r="G18" s="12"/>
      <c r="I18" s="703"/>
      <c r="J18" s="3590" t="s">
        <v>27</v>
      </c>
      <c r="Q18" s="13">
        <v>0</v>
      </c>
    </row>
    <row r="19" spans="1:17" ht="25.5" hidden="1" customHeight="1">
      <c r="D19" s="14"/>
      <c r="E19" s="108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26"/>
      <c r="G19" s="12"/>
      <c r="I19" s="703"/>
      <c r="J19" s="3590"/>
      <c r="Q19" s="13">
        <v>0</v>
      </c>
    </row>
    <row r="20" spans="1:17" ht="22.5" hidden="1" customHeight="1">
      <c r="D20" s="14"/>
      <c r="E20" s="15"/>
      <c r="F20" s="205" t="str">
        <f>"Первичное "&amp;IF(TEMPLATE_GROUP="P","установление тарифов","предложение по тарифам")</f>
        <v>Первичное предложение по тарифам</v>
      </c>
      <c r="G20" s="12"/>
      <c r="I20" s="328"/>
      <c r="J20" s="803" t="s">
        <v>28</v>
      </c>
      <c r="Q20" s="13">
        <v>0</v>
      </c>
    </row>
    <row r="21" spans="1:17" ht="19.5" hidden="1" customHeight="1">
      <c r="D21" s="14"/>
      <c r="E21" s="325" t="str">
        <f>"Дата "&amp;IF(TEMPLATE_GROUP="P","документа","подачи заявления")&amp;" об утверждении тарифов"</f>
        <v>Дата подачи заявления об утверждении тарифов</v>
      </c>
      <c r="F21" s="1625"/>
      <c r="G21" s="12"/>
      <c r="I21" s="704"/>
      <c r="Q21" s="13">
        <v>0</v>
      </c>
    </row>
    <row r="22" spans="1:17" ht="19.5" hidden="1" customHeight="1">
      <c r="D22" s="14"/>
      <c r="E22" s="325" t="str">
        <f>"Номер "&amp;IF(TEMPLATE_GROUP="P","документа","подачи заявления")&amp;" об утверждении тарифов"</f>
        <v>Номер подачи заявления об утверждении тарифов</v>
      </c>
      <c r="F22" s="151"/>
      <c r="G22" s="12"/>
      <c r="I22" s="704"/>
      <c r="Q22" s="13">
        <v>0</v>
      </c>
    </row>
    <row r="23" spans="1:17" ht="22.5" hidden="1" customHeight="1">
      <c r="D23" s="14"/>
      <c r="E23" s="325" t="s">
        <v>29</v>
      </c>
      <c r="F23" s="151"/>
      <c r="G23" s="12"/>
      <c r="Q23" s="13">
        <v>0</v>
      </c>
    </row>
    <row r="24" spans="1:17" ht="19.5" hidden="1" customHeight="1">
      <c r="D24" s="14"/>
      <c r="E24" s="325" t="s">
        <v>30</v>
      </c>
      <c r="F24" s="151"/>
      <c r="G24" s="12"/>
      <c r="Q24" s="13">
        <v>0</v>
      </c>
    </row>
    <row r="25" spans="1:17" ht="22.5" hidden="1" customHeight="1">
      <c r="D25" s="14"/>
      <c r="E25" s="15"/>
      <c r="F25" s="205" t="str">
        <f>"Изменение "&amp;IF(TEMPLATE_GROUP="P","тарифов","предложения по тарифам")</f>
        <v>Изменение предложения по тарифам</v>
      </c>
      <c r="G25" s="12"/>
      <c r="J25" s="803" t="s">
        <v>31</v>
      </c>
      <c r="Q25" s="13">
        <v>0</v>
      </c>
    </row>
    <row r="26" spans="1:17" ht="19.5" hidden="1" customHeight="1">
      <c r="D26" s="14"/>
      <c r="E26" s="325" t="str">
        <f>"Дата "&amp;IF(TEMPLATE_GROUP="P","принятия решения","подачи заявления")&amp;" об изменении тарифов"</f>
        <v>Дата подачи заявления об изменении тарифов</v>
      </c>
      <c r="F26" s="1626"/>
      <c r="G26" s="12"/>
      <c r="Q26" s="13">
        <v>0</v>
      </c>
    </row>
    <row r="27" spans="1:17" ht="19.5" hidden="1" customHeight="1">
      <c r="D27" s="14"/>
      <c r="E27" s="1087" t="str">
        <f>"Номер "&amp;IF(TEMPLATE_GROUP="P","принятия решения","заявления")&amp;" об изменении тарифов"</f>
        <v>Номер заявления об изменении тарифов</v>
      </c>
      <c r="F27" s="153"/>
      <c r="G27" s="12"/>
      <c r="Q27" s="13">
        <v>0</v>
      </c>
    </row>
    <row r="28" spans="1:17" ht="24.75" hidden="1" customHeight="1">
      <c r="D28" s="14"/>
      <c r="E28" s="325" t="s">
        <v>32</v>
      </c>
      <c r="F28" s="153"/>
      <c r="G28" s="12"/>
      <c r="Q28" s="13">
        <v>0</v>
      </c>
    </row>
    <row r="29" spans="1:17" ht="19.5" hidden="1" customHeight="1">
      <c r="D29" s="14"/>
      <c r="E29" s="325" t="s">
        <v>30</v>
      </c>
      <c r="F29" s="153"/>
      <c r="G29" s="12"/>
      <c r="Q29" s="13">
        <v>0</v>
      </c>
    </row>
    <row r="30" spans="1:17" s="1534" customFormat="1" ht="6.4" customHeight="1">
      <c r="A30" s="713"/>
      <c r="B30" s="167"/>
      <c r="C30" s="168"/>
      <c r="D30" s="174"/>
      <c r="E30" s="172"/>
      <c r="F30" s="175"/>
      <c r="G30" s="16"/>
      <c r="H30" s="343"/>
      <c r="I30" s="345"/>
      <c r="J30" s="802"/>
      <c r="Q30" s="171">
        <v>6</v>
      </c>
    </row>
    <row r="31" spans="1:17" ht="21" customHeight="1">
      <c r="C31" s="17"/>
      <c r="D31" s="18"/>
      <c r="E31" s="325" t="str">
        <f>"Наименование "&amp;IF(TEMPLATE_GROUP="ROIV","органа тарифного регулирования","ЮЛ / ИП")</f>
        <v>Наименование ЮЛ / ИП</v>
      </c>
      <c r="F31" s="152" t="s">
        <v>33</v>
      </c>
      <c r="G31" s="705"/>
      <c r="Q31" s="13">
        <v>20</v>
      </c>
    </row>
    <row r="32" spans="1:17" ht="21" hidden="1" customHeight="1">
      <c r="C32" s="17"/>
      <c r="D32" s="18"/>
      <c r="E32" s="326" t="s">
        <v>34</v>
      </c>
      <c r="F32" s="152"/>
      <c r="G32" s="705"/>
      <c r="Q32" s="13">
        <v>20</v>
      </c>
    </row>
    <row r="33" spans="1:17" ht="21" customHeight="1">
      <c r="C33" s="17"/>
      <c r="D33" s="18"/>
      <c r="E33" s="325" t="s">
        <v>35</v>
      </c>
      <c r="F33" s="152" t="s">
        <v>36</v>
      </c>
      <c r="G33" s="705"/>
      <c r="Q33" s="13">
        <v>20</v>
      </c>
    </row>
    <row r="34" spans="1:17" ht="21" customHeight="1">
      <c r="C34" s="17"/>
      <c r="D34" s="18"/>
      <c r="E34" s="325" t="s">
        <v>37</v>
      </c>
      <c r="F34" s="152" t="s">
        <v>38</v>
      </c>
      <c r="G34" s="705"/>
      <c r="H34" s="19"/>
      <c r="Q34" s="13">
        <v>20</v>
      </c>
    </row>
    <row r="35" spans="1:17" s="1534" customFormat="1" ht="11.45" customHeight="1">
      <c r="A35" s="713"/>
      <c r="B35" s="167"/>
      <c r="C35" s="168"/>
      <c r="D35" s="174"/>
      <c r="E35" s="172"/>
      <c r="F35" s="175"/>
      <c r="G35" s="16"/>
      <c r="H35" s="343"/>
      <c r="I35" s="345"/>
      <c r="J35" s="802"/>
      <c r="Q35" s="171">
        <v>11</v>
      </c>
    </row>
    <row r="36" spans="1:17" ht="19.5" customHeight="1">
      <c r="A36" s="807"/>
      <c r="D36" s="18"/>
      <c r="E36" s="325" t="s">
        <v>39</v>
      </c>
      <c r="F36" s="1132" t="s">
        <v>40</v>
      </c>
      <c r="G36" s="16"/>
      <c r="Q36" s="13">
        <v>0</v>
      </c>
    </row>
    <row r="37" spans="1:17" ht="21" customHeight="1">
      <c r="A37" s="807"/>
      <c r="D37" s="18"/>
      <c r="E37" s="325" t="s">
        <v>41</v>
      </c>
      <c r="F37" s="1132" t="s">
        <v>42</v>
      </c>
      <c r="G37" s="16"/>
      <c r="Q37" s="13">
        <v>20</v>
      </c>
    </row>
    <row r="38" spans="1:17" s="1534" customFormat="1" ht="6.4" customHeight="1">
      <c r="A38" s="713"/>
      <c r="B38" s="167"/>
      <c r="C38" s="168"/>
      <c r="D38" s="169"/>
      <c r="E38" s="170"/>
      <c r="F38" s="979"/>
      <c r="G38" s="12"/>
      <c r="H38" s="343"/>
      <c r="I38" s="345"/>
      <c r="J38" s="804"/>
      <c r="Q38" s="171">
        <v>6</v>
      </c>
    </row>
    <row r="39" spans="1:17" ht="36.75" customHeight="1">
      <c r="A39" s="713"/>
      <c r="D39" s="14"/>
      <c r="E39" s="325" t="s">
        <v>43</v>
      </c>
      <c r="F39" s="644" t="s">
        <v>6</v>
      </c>
      <c r="G39" s="12"/>
      <c r="H39" s="702" t="s">
        <v>10</v>
      </c>
      <c r="Q39" s="13">
        <v>35</v>
      </c>
    </row>
    <row r="40" spans="1:17" s="1534" customFormat="1" ht="6" hidden="1" customHeight="1">
      <c r="A40" s="712"/>
      <c r="B40" s="360"/>
      <c r="C40" s="361"/>
      <c r="D40" s="362"/>
      <c r="E40" s="363"/>
      <c r="F40" s="979"/>
      <c r="G40" s="12"/>
      <c r="H40" s="343"/>
      <c r="I40" s="345"/>
      <c r="J40" s="804"/>
      <c r="Q40" s="364">
        <v>6</v>
      </c>
    </row>
    <row r="41" spans="1:17" s="1557" customFormat="1" ht="26.25" hidden="1" customHeight="1">
      <c r="A41" s="716" t="s">
        <v>14</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6</v>
      </c>
      <c r="G41" s="12"/>
      <c r="I41" s="345"/>
      <c r="J41" s="804"/>
      <c r="Q41" s="343">
        <v>0</v>
      </c>
    </row>
    <row r="42" spans="1:17" s="1534" customFormat="1" ht="6" hidden="1" customHeight="1">
      <c r="A42" s="712"/>
      <c r="B42" s="360"/>
      <c r="C42" s="361"/>
      <c r="D42" s="362"/>
      <c r="E42" s="363"/>
      <c r="F42" s="979"/>
      <c r="G42" s="12"/>
      <c r="H42" s="343"/>
      <c r="I42" s="345"/>
      <c r="J42" s="802"/>
      <c r="Q42" s="364">
        <v>0</v>
      </c>
    </row>
    <row r="43" spans="1:17" s="1557" customFormat="1" ht="27" hidden="1" customHeight="1">
      <c r="A43" s="712"/>
      <c r="B43" s="347"/>
      <c r="C43" s="342"/>
      <c r="D43" s="344"/>
      <c r="E43" s="325" t="s">
        <v>44</v>
      </c>
      <c r="F43" s="644" t="s">
        <v>6</v>
      </c>
      <c r="G43" s="12"/>
      <c r="I43" s="345"/>
      <c r="J43" s="804"/>
      <c r="Q43" s="343">
        <v>0</v>
      </c>
    </row>
    <row r="44" spans="1:17" s="1557" customFormat="1" ht="27" hidden="1" customHeight="1">
      <c r="A44" s="712"/>
      <c r="B44" s="347"/>
      <c r="C44" s="342"/>
      <c r="D44" s="344"/>
      <c r="E44" s="1087" t="s">
        <v>45</v>
      </c>
      <c r="F44" s="1777"/>
      <c r="G44" s="12"/>
      <c r="I44" s="345"/>
      <c r="J44" s="804"/>
      <c r="Q44" s="343">
        <v>0</v>
      </c>
    </row>
    <row r="45" spans="1:17" s="1534" customFormat="1" ht="6" hidden="1" customHeight="1">
      <c r="A45" s="712"/>
      <c r="B45" s="360"/>
      <c r="C45" s="361"/>
      <c r="D45" s="362"/>
      <c r="E45" s="363"/>
      <c r="F45" s="979"/>
      <c r="G45" s="12"/>
      <c r="H45" s="343"/>
      <c r="I45" s="345"/>
      <c r="J45" s="804"/>
      <c r="Q45" s="364">
        <v>0</v>
      </c>
    </row>
    <row r="46" spans="1:17" s="1534" customFormat="1" ht="24.75" hidden="1" customHeight="1">
      <c r="A46" s="712"/>
      <c r="B46" s="360"/>
      <c r="C46" s="361"/>
      <c r="D46" s="362"/>
      <c r="E46" s="1087" t="s">
        <v>46</v>
      </c>
      <c r="F46" s="644" t="s">
        <v>6</v>
      </c>
      <c r="G46" s="12"/>
      <c r="H46" s="343"/>
      <c r="I46" s="345"/>
      <c r="J46" s="804"/>
      <c r="Q46" s="364">
        <v>0</v>
      </c>
    </row>
    <row r="47" spans="1:17" s="1557" customFormat="1" ht="24.75" hidden="1" customHeight="1">
      <c r="A47" s="712"/>
      <c r="B47" s="347"/>
      <c r="C47" s="342"/>
      <c r="D47" s="344"/>
      <c r="E47" s="1087" t="s">
        <v>47</v>
      </c>
      <c r="F47" s="644" t="s">
        <v>6</v>
      </c>
      <c r="G47" s="12"/>
      <c r="I47" s="345"/>
      <c r="J47" s="804"/>
      <c r="Q47" s="343">
        <v>0</v>
      </c>
    </row>
    <row r="48" spans="1:17" s="1534" customFormat="1" ht="6" hidden="1" customHeight="1">
      <c r="A48" s="712"/>
      <c r="B48" s="167"/>
      <c r="C48" s="168"/>
      <c r="D48" s="169"/>
      <c r="E48" s="170"/>
      <c r="F48" s="979"/>
      <c r="G48" s="12"/>
      <c r="H48" s="343"/>
      <c r="I48" s="345"/>
      <c r="J48" s="804"/>
      <c r="Q48" s="171">
        <v>0</v>
      </c>
    </row>
    <row r="49" spans="1:17" ht="29.25" hidden="1" customHeight="1">
      <c r="B49" s="84"/>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c r="G49" s="12"/>
      <c r="Q49" s="13">
        <v>0</v>
      </c>
    </row>
    <row r="50" spans="1:17" s="1534" customFormat="1" ht="6" customHeight="1">
      <c r="A50" s="713"/>
      <c r="B50" s="360"/>
      <c r="C50" s="361"/>
      <c r="D50" s="174"/>
      <c r="E50" s="172"/>
      <c r="F50" s="175"/>
      <c r="G50" s="16"/>
      <c r="H50" s="343"/>
      <c r="I50" s="345"/>
      <c r="J50" s="804"/>
      <c r="Q50" s="364">
        <v>0</v>
      </c>
    </row>
    <row r="51" spans="1:17" s="1557" customFormat="1" ht="28.5" customHeight="1">
      <c r="A51" s="714"/>
      <c r="B51" s="347"/>
      <c r="C51" s="464"/>
      <c r="D51" s="465"/>
      <c r="E51" s="325" t="s">
        <v>48</v>
      </c>
      <c r="F51" s="644" t="s">
        <v>6</v>
      </c>
      <c r="G51" s="466"/>
      <c r="I51" s="468"/>
      <c r="J51" s="806"/>
      <c r="P51" s="469"/>
      <c r="Q51" s="467">
        <v>0</v>
      </c>
    </row>
    <row r="52" spans="1:17" s="1534" customFormat="1" ht="6" customHeight="1">
      <c r="A52" s="713"/>
      <c r="B52" s="360"/>
      <c r="C52" s="361"/>
      <c r="D52" s="174"/>
      <c r="E52" s="172"/>
      <c r="F52" s="175"/>
      <c r="G52" s="16"/>
      <c r="H52" s="343"/>
      <c r="I52" s="345"/>
      <c r="J52" s="802"/>
      <c r="Q52" s="364">
        <v>0</v>
      </c>
    </row>
    <row r="53" spans="1:17" s="1557" customFormat="1" ht="27" customHeight="1">
      <c r="A53" s="714"/>
      <c r="B53" s="347"/>
      <c r="C53" s="464"/>
      <c r="D53" s="465"/>
      <c r="E53" s="325" t="s">
        <v>49</v>
      </c>
      <c r="F53" s="974" t="s">
        <v>50</v>
      </c>
      <c r="G53" s="466"/>
      <c r="I53" s="468"/>
      <c r="J53" s="806"/>
      <c r="P53" s="469"/>
      <c r="Q53" s="467">
        <v>0</v>
      </c>
    </row>
    <row r="54" spans="1:17" s="1557" customFormat="1" ht="27" customHeight="1">
      <c r="A54" s="714"/>
      <c r="B54" s="347"/>
      <c r="C54" s="464"/>
      <c r="D54" s="465"/>
      <c r="E54" s="325" t="s">
        <v>51</v>
      </c>
      <c r="F54" s="3411">
        <v>46111</v>
      </c>
      <c r="G54" s="466"/>
      <c r="I54" s="468"/>
      <c r="J54" s="806"/>
      <c r="P54" s="469"/>
      <c r="Q54" s="467">
        <v>0</v>
      </c>
    </row>
    <row r="55" spans="1:17" s="1534" customFormat="1" ht="6" customHeight="1">
      <c r="A55" s="713"/>
      <c r="B55" s="360"/>
      <c r="C55" s="361"/>
      <c r="D55" s="174"/>
      <c r="E55" s="172"/>
      <c r="F55" s="175"/>
      <c r="G55" s="16"/>
      <c r="H55" s="343"/>
      <c r="I55" s="345"/>
      <c r="J55" s="802"/>
      <c r="Q55" s="364">
        <v>0</v>
      </c>
    </row>
    <row r="56" spans="1:17" s="1557" customFormat="1" ht="25.5" customHeight="1">
      <c r="A56" s="714"/>
      <c r="B56" s="347"/>
      <c r="C56" s="464"/>
      <c r="D56" s="465"/>
      <c r="E56" s="325" t="s">
        <v>52</v>
      </c>
      <c r="F56" s="974" t="s">
        <v>6</v>
      </c>
      <c r="G56" s="466"/>
      <c r="I56" s="468"/>
      <c r="J56" s="806"/>
      <c r="P56" s="469"/>
      <c r="Q56" s="467">
        <v>0</v>
      </c>
    </row>
    <row r="57" spans="1:17" s="1534" customFormat="1" ht="6" customHeight="1">
      <c r="A57" s="713"/>
      <c r="B57" s="360"/>
      <c r="C57" s="361"/>
      <c r="D57" s="174"/>
      <c r="E57" s="172"/>
      <c r="F57" s="175"/>
      <c r="G57" s="16"/>
      <c r="H57" s="343"/>
      <c r="I57" s="345"/>
      <c r="J57" s="802"/>
      <c r="Q57" s="364">
        <v>0</v>
      </c>
    </row>
    <row r="58" spans="1:17" s="1557" customFormat="1" ht="15" customHeight="1">
      <c r="A58" s="714"/>
      <c r="B58" s="347"/>
      <c r="C58" s="464"/>
      <c r="D58" s="465"/>
      <c r="E58" s="325" t="s">
        <v>53</v>
      </c>
      <c r="F58" s="974" t="s">
        <v>50</v>
      </c>
      <c r="G58" s="466"/>
      <c r="I58" s="468"/>
      <c r="J58" s="806"/>
      <c r="P58" s="469"/>
      <c r="Q58" s="467">
        <v>0</v>
      </c>
    </row>
    <row r="59" spans="1:17" s="1557" customFormat="1" ht="75"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1" t="s">
        <v>50</v>
      </c>
      <c r="G59" s="466"/>
      <c r="I59" s="468"/>
      <c r="J59" s="806"/>
      <c r="P59" s="469"/>
      <c r="Q59" s="467">
        <v>0</v>
      </c>
    </row>
    <row r="60" spans="1:17" s="1557" customFormat="1" ht="15" customHeight="1">
      <c r="A60" s="714"/>
      <c r="B60" s="347"/>
      <c r="C60" s="464"/>
      <c r="D60" s="465"/>
      <c r="E60" s="1087" t="s">
        <v>54</v>
      </c>
      <c r="F60" s="1132" t="s">
        <v>55</v>
      </c>
      <c r="G60" s="466"/>
      <c r="I60" s="468"/>
      <c r="J60" s="806"/>
      <c r="P60" s="469"/>
      <c r="Q60" s="467">
        <v>0</v>
      </c>
    </row>
    <row r="61" spans="1:17" s="1534" customFormat="1" ht="6" hidden="1" customHeight="1">
      <c r="A61" s="713"/>
      <c r="B61" s="360"/>
      <c r="C61" s="361"/>
      <c r="D61" s="362"/>
      <c r="E61" s="363"/>
      <c r="F61" s="979"/>
      <c r="G61" s="12"/>
      <c r="H61" s="343"/>
      <c r="I61" s="345"/>
      <c r="J61" s="804"/>
      <c r="Q61" s="364">
        <v>0</v>
      </c>
    </row>
    <row r="62" spans="1:17" s="1557" customFormat="1" ht="33.75" hidden="1" customHeight="1">
      <c r="A62" s="713"/>
      <c r="B62" s="37"/>
      <c r="C62" s="342"/>
      <c r="D62" s="344"/>
      <c r="E62" s="1087" t="s">
        <v>56</v>
      </c>
      <c r="F62" s="1592"/>
      <c r="G62" s="12"/>
      <c r="H62" s="702" t="s">
        <v>10</v>
      </c>
      <c r="I62" s="345"/>
      <c r="J62" s="804"/>
      <c r="Q62" s="343">
        <v>0</v>
      </c>
    </row>
    <row r="63" spans="1:17" s="1534" customFormat="1" ht="6.4" customHeight="1">
      <c r="A63" s="713"/>
      <c r="B63" s="167"/>
      <c r="C63" s="168"/>
      <c r="D63" s="174"/>
      <c r="E63" s="172"/>
      <c r="F63" s="175"/>
      <c r="G63" s="16"/>
      <c r="H63" s="343"/>
      <c r="I63" s="345"/>
      <c r="J63" s="802"/>
      <c r="Q63" s="171">
        <v>6</v>
      </c>
    </row>
    <row r="64" spans="1:17" ht="21" customHeight="1">
      <c r="B64" s="38"/>
      <c r="D64" s="21"/>
      <c r="E64" s="325" t="s">
        <v>57</v>
      </c>
      <c r="F64" s="151" t="s">
        <v>58</v>
      </c>
      <c r="G64" s="16"/>
      <c r="Q64" s="13">
        <v>20</v>
      </c>
    </row>
    <row r="65" spans="1:17" ht="21" customHeight="1">
      <c r="B65" s="38"/>
      <c r="D65" s="21"/>
      <c r="E65" s="325" t="s">
        <v>59</v>
      </c>
      <c r="F65" s="151" t="s">
        <v>60</v>
      </c>
      <c r="G65" s="16"/>
      <c r="Q65" s="13">
        <v>20</v>
      </c>
    </row>
    <row r="66" spans="1:17" ht="36.75" customHeight="1">
      <c r="D66" s="14"/>
      <c r="E66" s="327" t="s">
        <v>61</v>
      </c>
      <c r="F66" s="980"/>
      <c r="G66" s="12"/>
      <c r="Q66" s="13">
        <v>35</v>
      </c>
    </row>
    <row r="67" spans="1:17" ht="21" customHeight="1">
      <c r="D67" s="344"/>
      <c r="E67" s="325" t="s">
        <v>62</v>
      </c>
      <c r="F67" s="206" t="s">
        <v>63</v>
      </c>
      <c r="G67" s="16"/>
      <c r="Q67" s="13">
        <v>20</v>
      </c>
    </row>
    <row r="68" spans="1:17" ht="21" customHeight="1">
      <c r="B68" s="38"/>
      <c r="D68" s="21"/>
      <c r="E68" s="325" t="s">
        <v>64</v>
      </c>
      <c r="F68" s="206" t="s">
        <v>65</v>
      </c>
      <c r="G68" s="16"/>
      <c r="Q68" s="13">
        <v>20</v>
      </c>
    </row>
    <row r="69" spans="1:17" ht="21" customHeight="1">
      <c r="B69" s="38"/>
      <c r="D69" s="21"/>
      <c r="E69" s="325" t="s">
        <v>66</v>
      </c>
      <c r="F69" s="206" t="s">
        <v>67</v>
      </c>
      <c r="G69" s="16"/>
      <c r="Q69" s="13">
        <v>20</v>
      </c>
    </row>
    <row r="70" spans="1:17" ht="21" customHeight="1">
      <c r="D70" s="344"/>
      <c r="E70" s="325" t="s">
        <v>68</v>
      </c>
      <c r="F70" s="2014" t="s">
        <v>69</v>
      </c>
      <c r="G70" s="12"/>
      <c r="Q70" s="13">
        <v>20</v>
      </c>
    </row>
    <row r="71" spans="1:17" ht="21" customHeight="1">
      <c r="D71" s="12"/>
      <c r="F71" s="70"/>
      <c r="G71" s="16"/>
      <c r="Q71" s="13">
        <v>20</v>
      </c>
    </row>
    <row r="72" spans="1:17" ht="21" customHeight="1">
      <c r="B72" s="38"/>
      <c r="D72" s="21"/>
      <c r="E72" s="20"/>
      <c r="F72" s="959" t="s">
        <v>0</v>
      </c>
      <c r="G72" s="16"/>
      <c r="Q72" s="13">
        <v>20</v>
      </c>
    </row>
    <row r="73" spans="1:17" ht="21" customHeight="1">
      <c r="B73" s="38"/>
      <c r="D73" s="21"/>
      <c r="E73" s="20"/>
      <c r="F73" s="71"/>
      <c r="G73" s="16"/>
      <c r="Q73" s="13">
        <v>20</v>
      </c>
    </row>
    <row r="74" spans="1:17" ht="21" customHeight="1">
      <c r="B74" s="38"/>
      <c r="D74" s="21"/>
      <c r="E74" s="25"/>
      <c r="F74" s="71"/>
      <c r="G74" s="16"/>
      <c r="Q74" s="13">
        <v>20</v>
      </c>
    </row>
    <row r="75" spans="1:17" ht="21" customHeight="1">
      <c r="B75" s="38"/>
      <c r="D75" s="21"/>
      <c r="E75" s="20"/>
      <c r="F75" s="71"/>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70</v>
      </c>
      <c r="B79" s="37">
        <v>0</v>
      </c>
      <c r="C79" s="11">
        <v>3</v>
      </c>
      <c r="D79" s="13">
        <v>1</v>
      </c>
      <c r="E79" s="13">
        <v>55</v>
      </c>
      <c r="F79" s="13">
        <v>54</v>
      </c>
      <c r="G79" s="700">
        <v>1</v>
      </c>
      <c r="H79" s="343">
        <v>0</v>
      </c>
      <c r="I79" s="345">
        <v>59</v>
      </c>
      <c r="J79" s="804">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plan@srte.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v>
      </c>
    </row>
    <row r="2" spans="1:45" ht="21" hidden="1" customHeight="1">
      <c r="A2" s="1285"/>
      <c r="B2" s="1285"/>
      <c r="C2" s="1285"/>
      <c r="D2" s="1285"/>
      <c r="E2" s="3737">
        <v>1</v>
      </c>
      <c r="F2" s="1285"/>
      <c r="G2" s="1285"/>
      <c r="H2" s="1285"/>
      <c r="I2" s="1285"/>
      <c r="J2" s="1285"/>
      <c r="K2" s="1285"/>
      <c r="L2" s="1286"/>
      <c r="M2" s="1287"/>
      <c r="N2" s="1287"/>
      <c r="O2" s="1287"/>
      <c r="P2" s="295"/>
      <c r="Q2" s="294"/>
      <c r="R2" s="289"/>
      <c r="S2" s="1231" t="e">
        <f>INDEX(PT_DIFFERENTIATION_NUM_NTAR,MATCH(A2,PT_DIFFERENTIATION_NTAR_ID,0))</f>
        <v>#N/A</v>
      </c>
      <c r="T2" s="233"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434"/>
      <c r="AP2" s="434" t="str">
        <f t="shared" ref="AP2:AP15" si="0">IF(T2="","",T2)</f>
        <v>Наименование тарифа</v>
      </c>
      <c r="AQ2" s="434"/>
      <c r="AR2" s="434"/>
      <c r="AS2" s="1077">
        <v>0</v>
      </c>
    </row>
    <row r="3" spans="1:45" ht="21" hidden="1" customHeight="1">
      <c r="A3" s="1285"/>
      <c r="B3" s="1285"/>
      <c r="C3" s="1285"/>
      <c r="D3" s="1285"/>
      <c r="E3" s="3738"/>
      <c r="F3" s="3737">
        <v>1</v>
      </c>
      <c r="G3" s="1285"/>
      <c r="H3" s="1285"/>
      <c r="I3" s="1285"/>
      <c r="J3" s="1285"/>
      <c r="K3" s="1285"/>
      <c r="L3" s="1286"/>
      <c r="M3" s="1287"/>
      <c r="N3" s="1287"/>
      <c r="O3" s="1287"/>
      <c r="P3" s="1226"/>
      <c r="Q3" s="286"/>
      <c r="R3" s="287"/>
      <c r="S3" s="1231" t="e">
        <f>INDEX(PT_DIFFERENTIATION_NUM_TER,MATCH(B3,PT_DIFFERENTIATION_TER_ID,0))</f>
        <v>#N/A</v>
      </c>
      <c r="T3" s="243"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434"/>
      <c r="AP3" s="434" t="str">
        <f t="shared" si="0"/>
        <v>Территория действия тарифа</v>
      </c>
      <c r="AQ3" s="434"/>
      <c r="AR3" s="434"/>
      <c r="AS3" s="1077">
        <v>0</v>
      </c>
    </row>
    <row r="4" spans="1:45" ht="23.25" hidden="1" customHeight="1">
      <c r="A4" s="1285"/>
      <c r="B4" s="1285"/>
      <c r="C4" s="1285"/>
      <c r="D4" s="1285"/>
      <c r="E4" s="3738"/>
      <c r="F4" s="3738"/>
      <c r="G4" s="3737">
        <v>1</v>
      </c>
      <c r="H4" s="1285"/>
      <c r="I4" s="1285"/>
      <c r="J4" s="1285"/>
      <c r="K4" s="1285"/>
      <c r="L4" s="1286"/>
      <c r="M4" s="1287"/>
      <c r="N4" s="1287"/>
      <c r="O4" s="1287"/>
      <c r="P4" s="288"/>
      <c r="Q4" s="286"/>
      <c r="R4" s="287"/>
      <c r="S4" s="1231" t="e">
        <f>INDEX(PT_DIFFERENTIATION_NUM_CS,MATCH(C4,PT_DIFFERENTIATION_CS_ID,0))</f>
        <v>#N/A</v>
      </c>
      <c r="T4" s="244" t="s">
        <v>444</v>
      </c>
      <c r="U4" s="235"/>
      <c r="V4" s="3723"/>
      <c r="W4" s="3724"/>
      <c r="X4" s="3724"/>
      <c r="Y4" s="3724"/>
      <c r="Z4" s="3724"/>
      <c r="AA4" s="3724"/>
      <c r="AB4" s="3724"/>
      <c r="AC4" s="3725"/>
      <c r="AD4" s="3723" t="e">
        <f>INDEX(PT_DIFFERENTIATION_CS,MATCH(C4,PT_DIFFERENTIATION_CS_ID,0))</f>
        <v>#N/A</v>
      </c>
      <c r="AE4" s="3724"/>
      <c r="AF4" s="3724"/>
      <c r="AG4" s="3724"/>
      <c r="AH4" s="3724"/>
      <c r="AI4" s="3724"/>
      <c r="AJ4" s="3724"/>
      <c r="AK4" s="3724"/>
      <c r="AL4" s="3725"/>
      <c r="AM4" s="1180" t="s">
        <v>445</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3738"/>
      <c r="F5" s="3738"/>
      <c r="G5" s="3738"/>
      <c r="H5" s="3737">
        <v>1</v>
      </c>
      <c r="I5" s="1285"/>
      <c r="J5" s="1285"/>
      <c r="K5" s="1285"/>
      <c r="L5" s="1286"/>
      <c r="M5" s="1287"/>
      <c r="N5" s="1287"/>
      <c r="O5" s="1287"/>
      <c r="P5" s="288"/>
      <c r="Q5" s="286"/>
      <c r="R5" s="287"/>
      <c r="S5" s="1231" t="e">
        <f>INDEX(PT_DIFFERENTIATION_NUM_IST_TE,MATCH(D5,PT_DIFFERENTIATION_IST_TE_ID,0))</f>
        <v>#N/A</v>
      </c>
      <c r="T5" s="245" t="s">
        <v>446</v>
      </c>
      <c r="U5" s="235"/>
      <c r="V5" s="3723"/>
      <c r="W5" s="3724"/>
      <c r="X5" s="3724"/>
      <c r="Y5" s="3724"/>
      <c r="Z5" s="3724"/>
      <c r="AA5" s="3724"/>
      <c r="AB5" s="3724"/>
      <c r="AC5" s="3725"/>
      <c r="AD5" s="3723" t="e">
        <f>INDEX(PT_DIFFERENTIATION_IST_TE,MATCH(D5,PT_DIFFERENTIATION_IST_TE_ID,0))</f>
        <v>#N/A</v>
      </c>
      <c r="AE5" s="3724"/>
      <c r="AF5" s="3724"/>
      <c r="AG5" s="3724"/>
      <c r="AH5" s="3724"/>
      <c r="AI5" s="3724"/>
      <c r="AJ5" s="3724"/>
      <c r="AK5" s="3724"/>
      <c r="AL5" s="3725"/>
      <c r="AM5" s="1180" t="s">
        <v>447</v>
      </c>
      <c r="AO5" s="434"/>
      <c r="AP5" s="434" t="str">
        <f t="shared" si="0"/>
        <v xml:space="preserve">Источник тепловой энергии  </v>
      </c>
      <c r="AQ5" s="434"/>
      <c r="AR5" s="434"/>
      <c r="AS5" s="1077">
        <v>0</v>
      </c>
    </row>
    <row r="6" spans="1:45" ht="47.25" hidden="1" customHeight="1">
      <c r="A6" s="1285"/>
      <c r="B6" s="1285"/>
      <c r="C6" s="1285"/>
      <c r="D6" s="1285"/>
      <c r="E6" s="3738"/>
      <c r="F6" s="3738"/>
      <c r="G6" s="3738"/>
      <c r="H6" s="3738"/>
      <c r="I6" s="3735" t="e">
        <f>S5&amp;".1"</f>
        <v>#N/A</v>
      </c>
      <c r="J6" s="1285"/>
      <c r="K6" s="1285"/>
      <c r="L6" s="1286" t="s">
        <v>448</v>
      </c>
      <c r="M6" s="471"/>
      <c r="P6" s="3736">
        <v>1</v>
      </c>
      <c r="Q6" s="1227"/>
      <c r="R6" s="290"/>
      <c r="S6" s="1231" t="e">
        <f>$I6</f>
        <v>#N/A</v>
      </c>
      <c r="T6" s="220" t="s">
        <v>449</v>
      </c>
      <c r="U6" s="235"/>
      <c r="V6" s="3726"/>
      <c r="W6" s="3727"/>
      <c r="X6" s="3727"/>
      <c r="Y6" s="3727"/>
      <c r="Z6" s="3727"/>
      <c r="AA6" s="3727"/>
      <c r="AB6" s="3727"/>
      <c r="AC6" s="3728"/>
      <c r="AD6" s="3726"/>
      <c r="AE6" s="3727"/>
      <c r="AF6" s="3727"/>
      <c r="AG6" s="3727"/>
      <c r="AH6" s="3727"/>
      <c r="AI6" s="3727"/>
      <c r="AJ6" s="3727"/>
      <c r="AK6" s="3727"/>
      <c r="AL6" s="3728"/>
      <c r="AM6" s="1180" t="s">
        <v>450</v>
      </c>
      <c r="AO6" s="434"/>
      <c r="AP6" s="434" t="str">
        <f t="shared" si="0"/>
        <v>Схема подключения теплопотребляющей установки к коллектору источника тепловой энергии</v>
      </c>
      <c r="AQ6" s="434"/>
      <c r="AR6" s="434"/>
      <c r="AS6" s="1077">
        <v>0</v>
      </c>
    </row>
    <row r="7" spans="1:45" ht="21" hidden="1" customHeight="1">
      <c r="A7" s="1285"/>
      <c r="B7" s="1285"/>
      <c r="C7" s="1285"/>
      <c r="D7" s="1285"/>
      <c r="E7" s="3738"/>
      <c r="F7" s="3738"/>
      <c r="G7" s="3738"/>
      <c r="H7" s="3738"/>
      <c r="I7" s="3758"/>
      <c r="J7" s="3735" t="e">
        <f>I6&amp;".1"</f>
        <v>#N/A</v>
      </c>
      <c r="K7" s="1285"/>
      <c r="L7" s="1286" t="s">
        <v>451</v>
      </c>
      <c r="M7" s="471"/>
      <c r="N7" s="1288"/>
      <c r="P7" s="3736"/>
      <c r="Q7" s="3736">
        <v>1</v>
      </c>
      <c r="R7" s="291"/>
      <c r="S7" s="1231" t="e">
        <f>$J7</f>
        <v>#N/A</v>
      </c>
      <c r="T7" s="221" t="s">
        <v>452</v>
      </c>
      <c r="U7" s="235"/>
      <c r="V7" s="3726"/>
      <c r="W7" s="3727"/>
      <c r="X7" s="3727"/>
      <c r="Y7" s="3727"/>
      <c r="Z7" s="3727"/>
      <c r="AA7" s="3727"/>
      <c r="AB7" s="3727"/>
      <c r="AC7" s="3728"/>
      <c r="AD7" s="3726"/>
      <c r="AE7" s="3727"/>
      <c r="AF7" s="3727"/>
      <c r="AG7" s="3727"/>
      <c r="AH7" s="3727"/>
      <c r="AI7" s="3727"/>
      <c r="AJ7" s="3727"/>
      <c r="AK7" s="3727"/>
      <c r="AL7" s="3728"/>
      <c r="AM7" s="1180" t="s">
        <v>453</v>
      </c>
      <c r="AO7" s="434"/>
      <c r="AP7" s="434" t="str">
        <f t="shared" si="0"/>
        <v>Группа потребителей</v>
      </c>
      <c r="AQ7" s="434"/>
      <c r="AR7" s="434"/>
      <c r="AS7" s="1077">
        <v>0</v>
      </c>
    </row>
    <row r="8" spans="1:45" ht="21" hidden="1" customHeight="1">
      <c r="A8" s="1285"/>
      <c r="B8" s="1285"/>
      <c r="C8" s="1285"/>
      <c r="D8" s="1285"/>
      <c r="E8" s="3738"/>
      <c r="F8" s="3738"/>
      <c r="G8" s="3738"/>
      <c r="H8" s="3738"/>
      <c r="I8" s="3758"/>
      <c r="J8" s="3758"/>
      <c r="K8" s="3735" t="e">
        <f>J7&amp;".1"</f>
        <v>#N/A</v>
      </c>
      <c r="L8" s="1286" t="s">
        <v>454</v>
      </c>
      <c r="M8" s="471"/>
      <c r="N8" s="1288"/>
      <c r="O8" s="1288"/>
      <c r="P8" s="3736"/>
      <c r="Q8" s="3736"/>
      <c r="R8" s="291">
        <v>1</v>
      </c>
      <c r="S8" s="1231" t="e">
        <f>$K8</f>
        <v>#N/A</v>
      </c>
      <c r="T8" s="1269"/>
      <c r="U8" s="235"/>
      <c r="V8" s="685"/>
      <c r="W8" s="260"/>
      <c r="X8" s="685"/>
      <c r="Y8" s="1179"/>
      <c r="Z8" s="3740"/>
      <c r="AA8" s="3599" t="s">
        <v>50</v>
      </c>
      <c r="AB8" s="3740"/>
      <c r="AC8" s="3599" t="s">
        <v>50</v>
      </c>
      <c r="AD8" s="685"/>
      <c r="AE8" s="260"/>
      <c r="AF8" s="685"/>
      <c r="AG8" s="1179"/>
      <c r="AH8" s="3740"/>
      <c r="AI8" s="3599" t="s">
        <v>50</v>
      </c>
      <c r="AJ8" s="3740"/>
      <c r="AK8" s="3599" t="s">
        <v>50</v>
      </c>
      <c r="AL8" s="260"/>
      <c r="AM8" s="3732" t="s">
        <v>455</v>
      </c>
      <c r="AN8" s="445" t="e">
        <f ca="1">STRCHECKDATE(V9:AL9)</f>
        <v>#NAME?</v>
      </c>
      <c r="AO8" s="434"/>
      <c r="AP8" s="434" t="str">
        <f t="shared" si="0"/>
        <v/>
      </c>
      <c r="AQ8" s="434"/>
      <c r="AR8" s="434"/>
      <c r="AS8" s="1077">
        <v>0</v>
      </c>
    </row>
    <row r="9" spans="1:45" ht="0.75" hidden="1" customHeight="1">
      <c r="A9" s="1285"/>
      <c r="B9" s="1285"/>
      <c r="C9" s="1285"/>
      <c r="D9" s="1285"/>
      <c r="E9" s="3738"/>
      <c r="F9" s="3738"/>
      <c r="G9" s="3738"/>
      <c r="H9" s="3738"/>
      <c r="I9" s="3758"/>
      <c r="J9" s="3758"/>
      <c r="K9" s="3735"/>
      <c r="L9" s="1286"/>
      <c r="M9" s="471"/>
      <c r="N9" s="1288"/>
      <c r="O9" s="1288"/>
      <c r="P9" s="3736"/>
      <c r="Q9" s="3736"/>
      <c r="R9" s="291"/>
      <c r="S9" s="1228"/>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434"/>
      <c r="AP9" s="434" t="str">
        <f t="shared" si="0"/>
        <v/>
      </c>
      <c r="AQ9" s="434"/>
      <c r="AR9" s="434"/>
      <c r="AS9" s="1077">
        <v>0</v>
      </c>
    </row>
    <row r="10" spans="1:45" ht="15" hidden="1" customHeight="1">
      <c r="A10" s="1285"/>
      <c r="B10" s="1285"/>
      <c r="C10" s="1285"/>
      <c r="D10" s="1285"/>
      <c r="E10" s="3738"/>
      <c r="F10" s="3738"/>
      <c r="G10" s="3738"/>
      <c r="H10" s="3738"/>
      <c r="I10" s="3758"/>
      <c r="J10" s="3735"/>
      <c r="K10" s="1285"/>
      <c r="L10" s="1286"/>
      <c r="M10" s="471"/>
      <c r="N10" s="1288"/>
      <c r="P10" s="3736"/>
      <c r="Q10" s="3736"/>
      <c r="R10" s="290"/>
      <c r="S10" s="1200"/>
      <c r="T10" s="223" t="s">
        <v>456</v>
      </c>
      <c r="U10" s="301"/>
      <c r="V10" s="301"/>
      <c r="W10" s="301"/>
      <c r="X10" s="301"/>
      <c r="Y10" s="301"/>
      <c r="Z10" s="301"/>
      <c r="AA10" s="301"/>
      <c r="AB10" s="301"/>
      <c r="AC10" s="301"/>
      <c r="AD10" s="301"/>
      <c r="AE10" s="301"/>
      <c r="AF10" s="301"/>
      <c r="AG10" s="301"/>
      <c r="AH10" s="301"/>
      <c r="AI10" s="301"/>
      <c r="AJ10" s="301"/>
      <c r="AK10" s="301"/>
      <c r="AL10" s="259"/>
      <c r="AM10" s="3734"/>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3738"/>
      <c r="F11" s="3738"/>
      <c r="G11" s="3738"/>
      <c r="H11" s="3738"/>
      <c r="I11" s="3735"/>
      <c r="J11" s="1285"/>
      <c r="K11" s="1285"/>
      <c r="L11" s="1286"/>
      <c r="M11" s="471"/>
      <c r="P11" s="3736"/>
      <c r="Q11" s="1227"/>
      <c r="R11" s="290"/>
      <c r="S11" s="1200"/>
      <c r="T11" s="222" t="s">
        <v>457</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3738"/>
      <c r="F12" s="3738"/>
      <c r="G12" s="3738"/>
      <c r="H12" s="3737"/>
      <c r="I12" s="1285"/>
      <c r="J12" s="1285"/>
      <c r="K12" s="1285"/>
      <c r="L12" s="1286"/>
      <c r="M12" s="1287"/>
      <c r="N12" s="1287"/>
      <c r="O12" s="471"/>
      <c r="P12" s="294"/>
      <c r="Q12" s="309"/>
      <c r="R12" s="289"/>
      <c r="S12" s="1200"/>
      <c r="T12" s="299" t="s">
        <v>458</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7">
        <v>0</v>
      </c>
    </row>
    <row r="13" spans="1:45" s="1564" customFormat="1" ht="0.75" hidden="1" customHeight="1">
      <c r="A13" s="1236"/>
      <c r="B13" s="1236"/>
      <c r="C13" s="1236"/>
      <c r="D13" s="1236"/>
      <c r="E13" s="3738"/>
      <c r="F13" s="3738"/>
      <c r="G13" s="3737"/>
      <c r="H13" s="1236"/>
      <c r="I13" s="1236"/>
      <c r="J13" s="1236"/>
      <c r="K13" s="1236"/>
      <c r="L13" s="1261"/>
      <c r="M13" s="1237"/>
      <c r="N13" s="1237"/>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3738"/>
      <c r="F14" s="3737"/>
      <c r="G14" s="1236"/>
      <c r="H14" s="1236"/>
      <c r="I14" s="1236"/>
      <c r="J14" s="1236"/>
      <c r="K14" s="1236"/>
      <c r="L14" s="1261"/>
      <c r="M14" s="1243"/>
      <c r="N14" s="1243"/>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3737"/>
      <c r="F15" s="1236"/>
      <c r="G15" s="1236"/>
      <c r="H15" s="1236"/>
      <c r="I15" s="1236"/>
      <c r="J15" s="1236"/>
      <c r="K15" s="1236"/>
      <c r="L15" s="1261"/>
      <c r="M15" s="1243"/>
      <c r="N15" s="1243"/>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P17" s="1233"/>
      <c r="AD17" s="1282"/>
      <c r="AE17" s="1282"/>
      <c r="AF17" s="1282"/>
      <c r="AG17" s="1283"/>
      <c r="AH17" s="3742"/>
      <c r="AI17" s="3743" t="s">
        <v>50</v>
      </c>
      <c r="AJ17" s="3742"/>
      <c r="AK17" s="3743" t="s">
        <v>50</v>
      </c>
      <c r="AS17" s="1077">
        <v>0</v>
      </c>
    </row>
    <row r="18" spans="1:45" ht="14.25" hidden="1" customHeight="1">
      <c r="P18" s="1233"/>
      <c r="AD18" s="1282"/>
      <c r="AE18" s="1282"/>
      <c r="AF18" s="1282"/>
      <c r="AG18" s="263" t="str">
        <f>AH17&amp;"-"&amp;AJ17</f>
        <v>-</v>
      </c>
      <c r="AH18" s="3743"/>
      <c r="AI18" s="3743"/>
      <c r="AJ18" s="3743"/>
      <c r="AK18" s="3743"/>
      <c r="AS18" s="1077">
        <v>0</v>
      </c>
    </row>
    <row r="19" spans="1:45" ht="14.25" hidden="1" customHeight="1">
      <c r="P19" s="1233"/>
      <c r="AK19" s="262"/>
      <c r="AS19" s="1077">
        <v>0</v>
      </c>
    </row>
    <row r="20" spans="1:45" s="1288" customFormat="1" ht="22.5" hidden="1" customHeight="1">
      <c r="L20" s="1251"/>
      <c r="M20" s="1284"/>
      <c r="N20" s="1284"/>
      <c r="O20" s="1289" t="s">
        <v>462</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463</v>
      </c>
      <c r="P22" s="1284"/>
      <c r="Q22" s="1293"/>
      <c r="R22" s="1293"/>
      <c r="S22" s="663"/>
      <c r="T22" s="1082" t="s">
        <v>464</v>
      </c>
      <c r="AA22" s="121" t="s">
        <v>465</v>
      </c>
      <c r="AC22" s="121" t="s">
        <v>466</v>
      </c>
      <c r="AD22" s="1082" t="s">
        <v>464</v>
      </c>
      <c r="AI22" s="121" t="s">
        <v>467</v>
      </c>
      <c r="AK22" s="121" t="s">
        <v>466</v>
      </c>
      <c r="AN22" s="445"/>
      <c r="AO22" s="445"/>
      <c r="AP22" s="445"/>
      <c r="AQ22" s="445"/>
      <c r="AR22" s="445"/>
      <c r="AS22" s="1082">
        <v>0</v>
      </c>
    </row>
    <row r="23" spans="1:45" ht="14.25" hidden="1" customHeight="1">
      <c r="O23" s="1286"/>
      <c r="P23" s="1233"/>
      <c r="AS23" s="1077">
        <v>0</v>
      </c>
    </row>
    <row r="24" spans="1:45" ht="14.25" hidden="1" customHeight="1">
      <c r="O24" s="1286"/>
      <c r="P24" s="1233"/>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14.65" customHeight="1">
      <c r="Q26" s="310"/>
      <c r="R26" s="310"/>
      <c r="S26" s="37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721"/>
      <c r="U26" s="3721"/>
      <c r="V26" s="3721"/>
      <c r="W26" s="3721"/>
      <c r="X26" s="3721"/>
      <c r="Y26" s="3721"/>
      <c r="Z26" s="3721"/>
      <c r="AA26" s="3721"/>
      <c r="AB26" s="3721"/>
      <c r="AC26" s="3721"/>
      <c r="AD26" s="3721"/>
      <c r="AE26" s="3721"/>
      <c r="AF26" s="3721"/>
      <c r="AG26" s="3721"/>
      <c r="AH26" s="3721"/>
      <c r="AI26" s="3721"/>
      <c r="AJ26" s="3721"/>
      <c r="AK26" s="1165"/>
      <c r="AS26" s="1077">
        <v>14</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42" customFormat="1" ht="25.5" hidden="1" customHeight="1">
      <c r="A29" s="1290"/>
      <c r="B29" s="1290"/>
      <c r="C29" s="1290"/>
      <c r="D29" s="1290"/>
      <c r="E29" s="1290"/>
      <c r="F29" s="1290"/>
      <c r="G29" s="1290"/>
      <c r="H29" s="1290"/>
      <c r="I29" s="1290"/>
      <c r="J29" s="1290"/>
      <c r="K29" s="1290"/>
      <c r="L29" s="1291"/>
      <c r="M29" s="1290"/>
      <c r="N29" s="1290"/>
      <c r="O29" s="129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261"/>
      <c r="AD29" s="3730" t="str">
        <f>IF(TITLE_NAME_OR_PR_CHANGE="",IF(TITLE_NAME_OR_PR="","",TITLE_NAME_OR_PR),TITLE_NAME_OR_PR_CHANGE)</f>
        <v/>
      </c>
      <c r="AE29" s="3730"/>
      <c r="AF29" s="3730"/>
      <c r="AG29" s="3730"/>
      <c r="AH29" s="3730"/>
      <c r="AI29" s="3730"/>
      <c r="AJ29" s="3730"/>
      <c r="AK29" s="261"/>
      <c r="AL29" s="261"/>
      <c r="AM29" s="215"/>
      <c r="AN29" s="302"/>
      <c r="AO29" s="302"/>
      <c r="AP29" s="302"/>
      <c r="AQ29" s="302"/>
      <c r="AR29" s="302"/>
      <c r="AS29" s="352">
        <v>0</v>
      </c>
    </row>
    <row r="30" spans="1:45" s="1742" customFormat="1" ht="18.75" hidden="1" customHeight="1">
      <c r="A30" s="1290"/>
      <c r="B30" s="1290"/>
      <c r="C30" s="1290"/>
      <c r="D30" s="1290"/>
      <c r="E30" s="1290"/>
      <c r="F30" s="1290"/>
      <c r="G30" s="1290"/>
      <c r="H30" s="1290"/>
      <c r="I30" s="1290"/>
      <c r="J30" s="1290"/>
      <c r="K30" s="1290"/>
      <c r="L30" s="1291"/>
      <c r="M30" s="1290"/>
      <c r="N30" s="1290"/>
      <c r="O30" s="129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261"/>
      <c r="AD30" s="3739" t="str">
        <f>IF(TITLE_DATE_PR_CHANGE="",IF(TITLE_DATE_PR="","",TITLE_DATE_PR),TITLE_DATE_PR_CHANGE)</f>
        <v/>
      </c>
      <c r="AE30" s="3739"/>
      <c r="AF30" s="3739"/>
      <c r="AG30" s="3739"/>
      <c r="AH30" s="3739"/>
      <c r="AI30" s="3739"/>
      <c r="AJ30" s="3739"/>
      <c r="AK30" s="261"/>
      <c r="AL30" s="261"/>
      <c r="AM30" s="215"/>
      <c r="AN30" s="302"/>
      <c r="AO30" s="302"/>
      <c r="AP30" s="302"/>
      <c r="AQ30" s="302"/>
      <c r="AR30" s="302"/>
      <c r="AS30" s="352">
        <v>0</v>
      </c>
    </row>
    <row r="31" spans="1:45" s="1742" customFormat="1" ht="18.75" hidden="1" customHeight="1">
      <c r="A31" s="1290"/>
      <c r="B31" s="1290"/>
      <c r="C31" s="1290"/>
      <c r="D31" s="1290"/>
      <c r="E31" s="1290"/>
      <c r="F31" s="1290"/>
      <c r="G31" s="1290"/>
      <c r="H31" s="1290"/>
      <c r="I31" s="1290"/>
      <c r="J31" s="1290"/>
      <c r="K31" s="1290"/>
      <c r="L31" s="1291"/>
      <c r="M31" s="1290"/>
      <c r="N31" s="1290"/>
      <c r="O31" s="129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261"/>
      <c r="AD31" s="3730" t="str">
        <f>IF(TITLE_NUMBER_PR_CHANGE="",IF(TITLE_NUMBER_PR="","",TITLE_NUMBER_PR),TITLE_NUMBER_PR_CHANGE)</f>
        <v/>
      </c>
      <c r="AE31" s="3730"/>
      <c r="AF31" s="3730"/>
      <c r="AG31" s="3730"/>
      <c r="AH31" s="3730"/>
      <c r="AI31" s="3730"/>
      <c r="AJ31" s="3730"/>
      <c r="AK31" s="261"/>
      <c r="AL31" s="261"/>
      <c r="AM31" s="215"/>
      <c r="AN31" s="302"/>
      <c r="AO31" s="302"/>
      <c r="AP31" s="302"/>
      <c r="AQ31" s="302"/>
      <c r="AR31" s="302"/>
      <c r="AS31" s="352">
        <v>0</v>
      </c>
    </row>
    <row r="32" spans="1:45" s="1742" customFormat="1" ht="18.75" hidden="1" customHeight="1">
      <c r="A32" s="1290"/>
      <c r="B32" s="1290"/>
      <c r="C32" s="1290"/>
      <c r="D32" s="1290"/>
      <c r="E32" s="1290"/>
      <c r="F32" s="1290"/>
      <c r="G32" s="1290"/>
      <c r="H32" s="1290"/>
      <c r="I32" s="1290"/>
      <c r="J32" s="1290"/>
      <c r="K32" s="1290"/>
      <c r="L32" s="1291"/>
      <c r="M32" s="1290"/>
      <c r="N32" s="1290"/>
      <c r="O32" s="1290"/>
      <c r="S32" s="3729" t="s">
        <v>30</v>
      </c>
      <c r="T32" s="3729"/>
      <c r="U32" s="1294"/>
      <c r="V32" s="3730" t="str">
        <f>IF(TITLE_IST_PUB_CHANGE="",IF(TITLE_IST_PUB="","",TITLE_IST_PUB),TITLE_IST_PUB_CHANGE)</f>
        <v/>
      </c>
      <c r="W32" s="3730"/>
      <c r="X32" s="3730"/>
      <c r="Y32" s="3730"/>
      <c r="Z32" s="3730"/>
      <c r="AA32" s="3730"/>
      <c r="AB32" s="3730"/>
      <c r="AC32" s="261"/>
      <c r="AD32" s="3730" t="str">
        <f>IF(TITLE_IST_PUB_CHANGE="",IF(TITLE_IST_PUB="","",TITLE_IST_PUB),TITLE_IST_PUB_CHANGE)</f>
        <v/>
      </c>
      <c r="AE32" s="3730"/>
      <c r="AF32" s="3730"/>
      <c r="AG32" s="3730"/>
      <c r="AH32" s="3730"/>
      <c r="AI32" s="3730"/>
      <c r="AJ32" s="3730"/>
      <c r="AK32" s="261"/>
      <c r="AL32" s="261"/>
      <c r="AM32" s="215"/>
      <c r="AN32" s="302"/>
      <c r="AO32" s="302"/>
      <c r="AP32" s="302"/>
      <c r="AQ32" s="302"/>
      <c r="AR32" s="302"/>
      <c r="AS32" s="352">
        <v>0</v>
      </c>
    </row>
    <row r="33" spans="1:45" ht="14.25" hidden="1" customHeight="1">
      <c r="P33" s="1250"/>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42" customFormat="1" ht="18.75" hidden="1" customHeight="1">
      <c r="A34" s="1290"/>
      <c r="B34" s="1290"/>
      <c r="C34" s="1290"/>
      <c r="D34" s="1290"/>
      <c r="E34" s="1290"/>
      <c r="F34" s="1290"/>
      <c r="G34" s="1290"/>
      <c r="H34" s="1290"/>
      <c r="I34" s="1290"/>
      <c r="J34" s="1290"/>
      <c r="K34" s="1290"/>
      <c r="L34" s="1291"/>
      <c r="M34" s="1290"/>
      <c r="N34" s="1290"/>
      <c r="O34" s="129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261"/>
      <c r="AD34" s="3739" t="str">
        <f>IF(TITLE_DATE_PR_CHANGE="",IF(TITLE_DATE_PR="","",TITLE_DATE_PR),TITLE_DATE_PR_CHANGE)</f>
        <v/>
      </c>
      <c r="AE34" s="3739"/>
      <c r="AF34" s="3739"/>
      <c r="AG34" s="3739"/>
      <c r="AH34" s="3739"/>
      <c r="AI34" s="3739"/>
      <c r="AJ34" s="3739"/>
      <c r="AK34" s="261"/>
      <c r="AL34" s="261"/>
      <c r="AM34" s="215"/>
      <c r="AN34" s="302"/>
      <c r="AO34" s="302"/>
      <c r="AP34" s="302"/>
      <c r="AQ34" s="302"/>
      <c r="AR34" s="302"/>
      <c r="AS34" s="352">
        <v>0</v>
      </c>
    </row>
    <row r="35" spans="1:45" s="1742" customFormat="1" ht="18.75" hidden="1" customHeight="1">
      <c r="A35" s="1290"/>
      <c r="B35" s="1290"/>
      <c r="C35" s="1290"/>
      <c r="D35" s="1290"/>
      <c r="E35" s="1290"/>
      <c r="F35" s="1290"/>
      <c r="G35" s="1290"/>
      <c r="H35" s="1290"/>
      <c r="I35" s="1290"/>
      <c r="J35" s="1290"/>
      <c r="K35" s="1290"/>
      <c r="L35" s="1291"/>
      <c r="M35" s="1290"/>
      <c r="N35" s="1290"/>
      <c r="O35" s="129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261"/>
      <c r="AD35" s="3730" t="str">
        <f>IF(TITLE_NUMBER_PR_CHANGE="",IF(TITLE_NUMBER_PR="","",TITLE_NUMBER_PR),TITLE_NUMBER_PR_CHANGE)</f>
        <v/>
      </c>
      <c r="AE35" s="3730"/>
      <c r="AF35" s="3730"/>
      <c r="AG35" s="3730"/>
      <c r="AH35" s="3730"/>
      <c r="AI35" s="3730"/>
      <c r="AJ35" s="3730"/>
      <c r="AK35" s="261"/>
      <c r="AL35" s="261"/>
      <c r="AM35" s="215"/>
      <c r="AN35" s="302"/>
      <c r="AO35" s="302"/>
      <c r="AP35" s="302"/>
      <c r="AQ35" s="302"/>
      <c r="AR35" s="302"/>
      <c r="AS35" s="352">
        <v>0</v>
      </c>
    </row>
    <row r="36" spans="1:45" s="1742" customFormat="1" ht="0" hidden="1" customHeight="1">
      <c r="A36" s="1290"/>
      <c r="B36" s="1290"/>
      <c r="C36" s="1290"/>
      <c r="D36" s="1290"/>
      <c r="E36" s="1290"/>
      <c r="F36" s="1290"/>
      <c r="G36" s="1290"/>
      <c r="H36" s="1290"/>
      <c r="I36" s="1290"/>
      <c r="J36" s="1290"/>
      <c r="K36" s="1290"/>
      <c r="L36" s="1291"/>
      <c r="M36" s="1290"/>
      <c r="N36" s="1290"/>
      <c r="O36" s="1290"/>
      <c r="S36" s="258"/>
      <c r="T36" s="258"/>
      <c r="U36" s="1141"/>
      <c r="V36" s="261"/>
      <c r="W36" s="261"/>
      <c r="X36" s="261"/>
      <c r="Y36" s="261"/>
      <c r="Z36" s="261"/>
      <c r="AA36" s="261"/>
      <c r="AB36" s="261"/>
      <c r="AC36" s="213" t="s">
        <v>468</v>
      </c>
      <c r="AD36" s="261"/>
      <c r="AE36" s="261"/>
      <c r="AF36" s="261"/>
      <c r="AG36" s="261"/>
      <c r="AH36" s="261"/>
      <c r="AI36" s="261"/>
      <c r="AJ36" s="261"/>
      <c r="AK36" s="213" t="s">
        <v>468</v>
      </c>
      <c r="AN36" s="302"/>
      <c r="AO36" s="302"/>
      <c r="AP36" s="302"/>
      <c r="AQ36" s="302"/>
      <c r="AR36" s="302"/>
      <c r="AS36" s="352">
        <v>0</v>
      </c>
    </row>
    <row r="37" spans="1:45" ht="14.65" customHeight="1">
      <c r="Q37" s="310"/>
      <c r="R37" s="310"/>
      <c r="S37" s="1197"/>
      <c r="T37" s="297"/>
      <c r="U37" s="1166"/>
      <c r="V37" s="3731"/>
      <c r="W37" s="3731"/>
      <c r="X37" s="3731"/>
      <c r="Y37" s="3731"/>
      <c r="Z37" s="3731"/>
      <c r="AA37" s="3731"/>
      <c r="AB37" s="3731"/>
      <c r="AC37" s="3731"/>
      <c r="AD37" s="3731"/>
      <c r="AE37" s="3731"/>
      <c r="AF37" s="3731"/>
      <c r="AG37" s="3731"/>
      <c r="AH37" s="3731"/>
      <c r="AI37" s="3731"/>
      <c r="AJ37" s="3731"/>
      <c r="AK37" s="3731"/>
      <c r="AS37" s="1077">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077">
        <v>14</v>
      </c>
    </row>
    <row r="39" spans="1:45" ht="14.65" customHeight="1">
      <c r="Q39" s="310"/>
      <c r="R39" s="310"/>
      <c r="S39" s="3745" t="s">
        <v>76</v>
      </c>
      <c r="T39" s="3697" t="s">
        <v>469</v>
      </c>
      <c r="U39" s="236"/>
      <c r="V39" s="3746" t="s">
        <v>470</v>
      </c>
      <c r="W39" s="3747"/>
      <c r="X39" s="3747"/>
      <c r="Y39" s="3747"/>
      <c r="Z39" s="3747"/>
      <c r="AA39" s="3747"/>
      <c r="AB39" s="3748"/>
      <c r="AC39" s="3749" t="s">
        <v>471</v>
      </c>
      <c r="AD39" s="3746" t="s">
        <v>470</v>
      </c>
      <c r="AE39" s="3747"/>
      <c r="AF39" s="3747"/>
      <c r="AG39" s="3747"/>
      <c r="AH39" s="3747"/>
      <c r="AI39" s="3747"/>
      <c r="AJ39" s="3748"/>
      <c r="AK39" s="3749" t="s">
        <v>472</v>
      </c>
      <c r="AL39" s="3752" t="s">
        <v>473</v>
      </c>
      <c r="AM39" s="3618"/>
      <c r="AS39" s="1077">
        <v>14</v>
      </c>
    </row>
    <row r="40" spans="1:45" ht="35.65" customHeight="1">
      <c r="Q40" s="310"/>
      <c r="R40" s="310"/>
      <c r="S40" s="3745"/>
      <c r="T40" s="3697"/>
      <c r="U40" s="957"/>
      <c r="V40" s="3666" t="s">
        <v>474</v>
      </c>
      <c r="W40" s="3755" t="s">
        <v>475</v>
      </c>
      <c r="X40" s="3589" t="s">
        <v>476</v>
      </c>
      <c r="Y40" s="3588"/>
      <c r="Z40" s="3589" t="s">
        <v>477</v>
      </c>
      <c r="AA40" s="3595"/>
      <c r="AB40" s="3588"/>
      <c r="AC40" s="3750"/>
      <c r="AD40" s="3666" t="s">
        <v>474</v>
      </c>
      <c r="AE40" s="3755" t="s">
        <v>475</v>
      </c>
      <c r="AF40" s="3589" t="s">
        <v>476</v>
      </c>
      <c r="AG40" s="3588"/>
      <c r="AH40" s="3589" t="s">
        <v>477</v>
      </c>
      <c r="AI40" s="3595"/>
      <c r="AJ40" s="3588"/>
      <c r="AK40" s="3750"/>
      <c r="AL40" s="3753"/>
      <c r="AM40" s="3618"/>
      <c r="AS40" s="1077">
        <v>34</v>
      </c>
    </row>
    <row r="41" spans="1:45" ht="35.65" customHeight="1">
      <c r="A41" s="1292"/>
      <c r="B41" s="1292" t="s">
        <v>188</v>
      </c>
      <c r="C41" s="1292" t="s">
        <v>189</v>
      </c>
      <c r="D41" s="1292" t="s">
        <v>190</v>
      </c>
      <c r="E41" s="1286" t="s">
        <v>478</v>
      </c>
      <c r="F41" s="1286" t="s">
        <v>479</v>
      </c>
      <c r="G41" s="1286" t="s">
        <v>480</v>
      </c>
      <c r="H41" s="1286" t="s">
        <v>481</v>
      </c>
      <c r="I41" s="1286" t="s">
        <v>482</v>
      </c>
      <c r="J41" s="1286" t="s">
        <v>483</v>
      </c>
      <c r="K41" s="1286" t="s">
        <v>484</v>
      </c>
      <c r="L41" s="1286" t="s">
        <v>463</v>
      </c>
      <c r="Q41" s="310"/>
      <c r="R41" s="310"/>
      <c r="S41" s="3745"/>
      <c r="T41" s="3697"/>
      <c r="U41" s="237"/>
      <c r="V41" s="3716"/>
      <c r="W41" s="3756"/>
      <c r="X41" s="1144" t="s">
        <v>485</v>
      </c>
      <c r="Y41" s="1144" t="s">
        <v>486</v>
      </c>
      <c r="Z41" s="1143" t="s">
        <v>487</v>
      </c>
      <c r="AA41" s="3705" t="s">
        <v>488</v>
      </c>
      <c r="AB41" s="3707"/>
      <c r="AC41" s="3751"/>
      <c r="AD41" s="3716"/>
      <c r="AE41" s="3756"/>
      <c r="AF41" s="1144" t="s">
        <v>485</v>
      </c>
      <c r="AG41" s="1144" t="s">
        <v>486</v>
      </c>
      <c r="AH41" s="1235" t="s">
        <v>487</v>
      </c>
      <c r="AI41" s="3705" t="s">
        <v>488</v>
      </c>
      <c r="AJ41" s="3707"/>
      <c r="AK41" s="3751"/>
      <c r="AL41" s="3754"/>
      <c r="AM41" s="361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164</v>
      </c>
      <c r="T42" s="1177" t="s">
        <v>89</v>
      </c>
      <c r="U42" s="1167" t="str">
        <f ca="1">OFFSET(U42,0,-1)</f>
        <v>2</v>
      </c>
      <c r="V42" s="1178">
        <f ca="1">OFFSET(V42,0,-1)+1</f>
        <v>3</v>
      </c>
      <c r="W42" s="1178"/>
      <c r="X42" s="1178">
        <f ca="1">OFFSET(X42,0,-1)+1</f>
        <v>1</v>
      </c>
      <c r="Y42" s="1178">
        <f ca="1">OFFSET(Y42,0,-1)+1</f>
        <v>2</v>
      </c>
      <c r="Z42" s="1178">
        <f ca="1">OFFSET(Z42,0,-1)+1</f>
        <v>3</v>
      </c>
      <c r="AA42" s="3744">
        <f ca="1">OFFSET(AA42,0,-1)+1</f>
        <v>4</v>
      </c>
      <c r="AB42" s="3744"/>
      <c r="AC42" s="1178">
        <f ca="1">OFFSET(AC42,0,-2)+1</f>
        <v>5</v>
      </c>
      <c r="AD42" s="1234">
        <f ca="1">OFFSET(AD42,0,-1)+1</f>
        <v>6</v>
      </c>
      <c r="AE42" s="1234"/>
      <c r="AF42" s="1234">
        <f ca="1">OFFSET(AF42,0,-1)+1</f>
        <v>1</v>
      </c>
      <c r="AG42" s="1234">
        <f ca="1">OFFSET(AG42,0,-1)+1</f>
        <v>2</v>
      </c>
      <c r="AH42" s="1234">
        <f ca="1">OFFSET(AH42,0,-1)+1</f>
        <v>3</v>
      </c>
      <c r="AI42" s="3744">
        <f ca="1">OFFSET(AI42,0,-1)+1</f>
        <v>4</v>
      </c>
      <c r="AJ42" s="3744"/>
      <c r="AK42" s="1234">
        <f ca="1">OFFSET(AK42,0,-2)+1</f>
        <v>5</v>
      </c>
      <c r="AL42" s="1167">
        <f ca="1">OFFSET(AL42,0,-1)</f>
        <v>5</v>
      </c>
      <c r="AM42" s="1178">
        <f ca="1">OFFSET(AM42,0,-1)+1</f>
        <v>6</v>
      </c>
      <c r="AN42" s="445"/>
      <c r="AO42" s="445"/>
      <c r="AP42" s="445"/>
      <c r="AQ42" s="445"/>
      <c r="AR42" s="445"/>
      <c r="AS42" s="430">
        <v>0</v>
      </c>
    </row>
    <row r="43" spans="1:45" ht="24" customHeight="1">
      <c r="A43" s="1285" t="s">
        <v>203</v>
      </c>
      <c r="B43" s="1285"/>
      <c r="C43" s="1285"/>
      <c r="D43" s="1285"/>
      <c r="E43" s="3737">
        <v>1</v>
      </c>
      <c r="F43" s="1285"/>
      <c r="G43" s="1285"/>
      <c r="H43" s="1285"/>
      <c r="I43" s="1285"/>
      <c r="J43" s="1285"/>
      <c r="K43" s="1285"/>
      <c r="L43" s="1286"/>
      <c r="M43" s="1287"/>
      <c r="N43" s="1287"/>
      <c r="O43" s="1287"/>
      <c r="P43" s="295"/>
      <c r="Q43" s="294"/>
      <c r="R43" s="289"/>
      <c r="S43" s="1146">
        <f>INDEX(PT_DIFFERENTIATION_NUM_NTAR,MATCH(A43,PT_DIFFERENTIATION_NTAR_ID,0))</f>
        <v>0</v>
      </c>
      <c r="T43" s="233"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23</v>
      </c>
    </row>
    <row r="44" spans="1:45" ht="24" customHeight="1">
      <c r="A44" s="1285" t="s">
        <v>203</v>
      </c>
      <c r="B44" s="1285" t="s">
        <v>204</v>
      </c>
      <c r="C44" s="1285"/>
      <c r="D44" s="1285"/>
      <c r="E44" s="3738"/>
      <c r="F44" s="3737">
        <v>1</v>
      </c>
      <c r="G44" s="1285"/>
      <c r="H44" s="1285"/>
      <c r="I44" s="1285"/>
      <c r="J44" s="1285"/>
      <c r="K44" s="1285"/>
      <c r="L44" s="1286"/>
      <c r="M44" s="1287"/>
      <c r="N44" s="1287"/>
      <c r="O44" s="1287"/>
      <c r="P44" s="456"/>
      <c r="Q44" s="286"/>
      <c r="R44" s="287"/>
      <c r="S44" s="1146" t="str">
        <f>INDEX(PT_DIFFERENTIATION_NUM_TER,MATCH(B44,PT_DIFFERENTIATION_TER_ID,0))</f>
        <v>.</v>
      </c>
      <c r="T44" s="243"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434"/>
      <c r="AP44" s="434" t="str">
        <f t="shared" si="1"/>
        <v>Территория действия тарифа</v>
      </c>
      <c r="AQ44" s="434"/>
      <c r="AR44" s="434"/>
      <c r="AS44" s="1077">
        <v>23</v>
      </c>
    </row>
    <row r="45" spans="1:45" ht="24" customHeight="1">
      <c r="A45" s="1285" t="s">
        <v>203</v>
      </c>
      <c r="B45" s="1285" t="s">
        <v>204</v>
      </c>
      <c r="C45" s="1285" t="s">
        <v>205</v>
      </c>
      <c r="D45" s="1285"/>
      <c r="E45" s="3738"/>
      <c r="F45" s="3738"/>
      <c r="G45" s="3737">
        <v>1</v>
      </c>
      <c r="H45" s="1285"/>
      <c r="I45" s="1285"/>
      <c r="J45" s="1285"/>
      <c r="K45" s="1285"/>
      <c r="L45" s="1286"/>
      <c r="M45" s="1287"/>
      <c r="N45" s="1287"/>
      <c r="O45" s="1287"/>
      <c r="P45" s="288"/>
      <c r="Q45" s="286"/>
      <c r="R45" s="287"/>
      <c r="S45" s="1146"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434"/>
      <c r="AP45" s="434" t="str">
        <f t="shared" si="1"/>
        <v xml:space="preserve">Наименование системы теплоснабжения </v>
      </c>
      <c r="AQ45" s="434"/>
      <c r="AR45" s="434"/>
      <c r="AS45" s="1077">
        <v>23</v>
      </c>
    </row>
    <row r="46" spans="1:45" ht="24" customHeight="1">
      <c r="A46" s="1285" t="s">
        <v>203</v>
      </c>
      <c r="B46" s="1285" t="s">
        <v>204</v>
      </c>
      <c r="C46" s="1285" t="s">
        <v>205</v>
      </c>
      <c r="D46" s="1285" t="s">
        <v>206</v>
      </c>
      <c r="E46" s="3738"/>
      <c r="F46" s="3738"/>
      <c r="G46" s="3738"/>
      <c r="H46" s="3737">
        <v>1</v>
      </c>
      <c r="I46" s="1285"/>
      <c r="J46" s="1285"/>
      <c r="K46" s="1285"/>
      <c r="L46" s="1286"/>
      <c r="M46" s="1287"/>
      <c r="N46" s="1287"/>
      <c r="O46" s="1287"/>
      <c r="P46" s="288"/>
      <c r="Q46" s="286"/>
      <c r="R46" s="287"/>
      <c r="S46" s="1146"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434"/>
      <c r="AP46" s="434" t="str">
        <f t="shared" si="1"/>
        <v xml:space="preserve">Источник тепловой энергии  </v>
      </c>
      <c r="AQ46" s="434"/>
      <c r="AR46" s="434"/>
      <c r="AS46" s="1077">
        <v>23</v>
      </c>
    </row>
    <row r="47" spans="1:45" ht="49.5" customHeight="1">
      <c r="A47" s="1285" t="s">
        <v>203</v>
      </c>
      <c r="B47" s="1285" t="s">
        <v>204</v>
      </c>
      <c r="C47" s="1285" t="s">
        <v>205</v>
      </c>
      <c r="D47" s="1285" t="s">
        <v>206</v>
      </c>
      <c r="E47" s="3738"/>
      <c r="F47" s="3738"/>
      <c r="G47" s="3738"/>
      <c r="H47" s="3738"/>
      <c r="I47" s="3735" t="str">
        <f>S46&amp;".1"</f>
        <v>....1</v>
      </c>
      <c r="J47" s="1285"/>
      <c r="K47" s="1285"/>
      <c r="L47" s="1286" t="s">
        <v>448</v>
      </c>
      <c r="P47" s="3736">
        <v>1</v>
      </c>
      <c r="Q47" s="1142"/>
      <c r="R47" s="290"/>
      <c r="S47" s="1146" t="str">
        <f>$I47</f>
        <v>....1</v>
      </c>
      <c r="T47" s="220" t="s">
        <v>449</v>
      </c>
      <c r="U47" s="235"/>
      <c r="V47" s="3726"/>
      <c r="W47" s="3727"/>
      <c r="X47" s="3727"/>
      <c r="Y47" s="3727"/>
      <c r="Z47" s="3727"/>
      <c r="AA47" s="3727"/>
      <c r="AB47" s="3727"/>
      <c r="AC47" s="3728"/>
      <c r="AD47" s="3726"/>
      <c r="AE47" s="3727"/>
      <c r="AF47" s="3727"/>
      <c r="AG47" s="3727"/>
      <c r="AH47" s="3727"/>
      <c r="AI47" s="3727"/>
      <c r="AJ47" s="3727"/>
      <c r="AK47" s="3727"/>
      <c r="AL47" s="3728"/>
      <c r="AM47" s="1180" t="s">
        <v>450</v>
      </c>
      <c r="AO47" s="434"/>
      <c r="AP47" s="434" t="str">
        <f t="shared" si="1"/>
        <v>Схема подключения теплопотребляющей установки к коллектору источника тепловой энергии</v>
      </c>
      <c r="AQ47" s="434"/>
      <c r="AR47" s="434"/>
      <c r="AS47" s="1077">
        <v>47</v>
      </c>
    </row>
    <row r="48" spans="1:45" ht="24" customHeight="1">
      <c r="A48" s="1285" t="s">
        <v>203</v>
      </c>
      <c r="B48" s="1285" t="s">
        <v>204</v>
      </c>
      <c r="C48" s="1285" t="s">
        <v>205</v>
      </c>
      <c r="D48" s="1285" t="s">
        <v>206</v>
      </c>
      <c r="E48" s="3738"/>
      <c r="F48" s="3738"/>
      <c r="G48" s="3738"/>
      <c r="H48" s="3738"/>
      <c r="I48" s="3758"/>
      <c r="J48" s="3735" t="str">
        <f>I47&amp;".1"</f>
        <v>....1.1</v>
      </c>
      <c r="K48" s="1285"/>
      <c r="L48" s="1286" t="s">
        <v>451</v>
      </c>
      <c r="P48" s="3736"/>
      <c r="Q48" s="3736">
        <v>1</v>
      </c>
      <c r="R48" s="291"/>
      <c r="S48" s="1146" t="str">
        <f>$J48</f>
        <v>....1.1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434"/>
      <c r="AP48" s="434" t="str">
        <f t="shared" si="1"/>
        <v>Группа потребителей</v>
      </c>
      <c r="AQ48" s="434"/>
      <c r="AR48" s="434"/>
      <c r="AS48" s="1077">
        <v>23</v>
      </c>
    </row>
    <row r="49" spans="1:45" ht="24" customHeight="1">
      <c r="A49" s="1285" t="s">
        <v>203</v>
      </c>
      <c r="B49" s="1285" t="s">
        <v>204</v>
      </c>
      <c r="C49" s="1285" t="s">
        <v>205</v>
      </c>
      <c r="D49" s="1285" t="s">
        <v>206</v>
      </c>
      <c r="E49" s="3738"/>
      <c r="F49" s="3738"/>
      <c r="G49" s="3738"/>
      <c r="H49" s="3738"/>
      <c r="I49" s="3758"/>
      <c r="J49" s="3758"/>
      <c r="K49" s="3735" t="str">
        <f>J48&amp;".1"</f>
        <v>....1.1.1</v>
      </c>
      <c r="L49" s="1286" t="s">
        <v>454</v>
      </c>
      <c r="P49" s="3736"/>
      <c r="Q49" s="3736"/>
      <c r="R49" s="291">
        <v>1</v>
      </c>
      <c r="S49" s="1146" t="str">
        <f>$K49</f>
        <v>....1.1.1</v>
      </c>
      <c r="T49" s="1269"/>
      <c r="U49" s="235"/>
      <c r="V49" s="685"/>
      <c r="W49" s="260"/>
      <c r="X49" s="685"/>
      <c r="Y49" s="1179"/>
      <c r="Z49" s="3740"/>
      <c r="AA49" s="3599" t="s">
        <v>50</v>
      </c>
      <c r="AB49" s="3740"/>
      <c r="AC49" s="3599" t="s">
        <v>50</v>
      </c>
      <c r="AD49" s="685"/>
      <c r="AE49" s="260"/>
      <c r="AF49" s="685"/>
      <c r="AG49" s="1179"/>
      <c r="AH49" s="3740"/>
      <c r="AI49" s="3599" t="s">
        <v>50</v>
      </c>
      <c r="AJ49" s="3759"/>
      <c r="AK49" s="3599" t="s">
        <v>50</v>
      </c>
      <c r="AL49" s="1270"/>
      <c r="AM49" s="3732" t="s">
        <v>455</v>
      </c>
      <c r="AN49" s="445" t="e">
        <f ca="1">STRCHECKDATE(V50:AL50)</f>
        <v>#NAME?</v>
      </c>
      <c r="AO49" s="434"/>
      <c r="AP49" s="434" t="str">
        <f t="shared" si="1"/>
        <v/>
      </c>
      <c r="AQ49" s="434"/>
      <c r="AR49" s="434"/>
      <c r="AS49" s="1077">
        <v>23</v>
      </c>
    </row>
    <row r="50" spans="1:45" ht="1.1499999999999999" customHeight="1">
      <c r="A50" s="1285" t="s">
        <v>203</v>
      </c>
      <c r="B50" s="1285" t="s">
        <v>204</v>
      </c>
      <c r="C50" s="1285" t="s">
        <v>205</v>
      </c>
      <c r="D50" s="1285" t="s">
        <v>206</v>
      </c>
      <c r="E50" s="3738"/>
      <c r="F50" s="3738"/>
      <c r="G50" s="3738"/>
      <c r="H50" s="3738"/>
      <c r="I50" s="3758"/>
      <c r="J50" s="3758"/>
      <c r="K50" s="3735"/>
      <c r="L50" s="1286"/>
      <c r="P50" s="3736"/>
      <c r="Q50" s="3736"/>
      <c r="R50" s="291"/>
      <c r="S50" s="1145"/>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434"/>
      <c r="AP50" s="434" t="str">
        <f t="shared" si="1"/>
        <v/>
      </c>
      <c r="AQ50" s="434"/>
      <c r="AR50" s="434"/>
      <c r="AS50" s="1077">
        <v>1</v>
      </c>
    </row>
    <row r="51" spans="1:45" ht="11.45" customHeight="1">
      <c r="A51" s="1285" t="s">
        <v>203</v>
      </c>
      <c r="B51" s="1285" t="s">
        <v>204</v>
      </c>
      <c r="C51" s="1285" t="s">
        <v>205</v>
      </c>
      <c r="D51" s="1285" t="s">
        <v>206</v>
      </c>
      <c r="E51" s="3738"/>
      <c r="F51" s="3738"/>
      <c r="G51" s="3738"/>
      <c r="H51" s="3738"/>
      <c r="I51" s="3758"/>
      <c r="J51" s="3735"/>
      <c r="K51" s="1285"/>
      <c r="L51" s="1286"/>
      <c r="P51" s="3736"/>
      <c r="Q51" s="3736"/>
      <c r="R51" s="290"/>
      <c r="S51" s="1200"/>
      <c r="T51" s="223" t="s">
        <v>456</v>
      </c>
      <c r="U51" s="301"/>
      <c r="V51" s="301"/>
      <c r="W51" s="301"/>
      <c r="X51" s="301"/>
      <c r="Y51" s="301"/>
      <c r="Z51" s="301"/>
      <c r="AA51" s="301"/>
      <c r="AB51" s="301"/>
      <c r="AC51" s="301"/>
      <c r="AD51" s="301"/>
      <c r="AE51" s="301"/>
      <c r="AF51" s="301"/>
      <c r="AG51" s="301"/>
      <c r="AH51" s="301"/>
      <c r="AI51" s="301"/>
      <c r="AJ51" s="301"/>
      <c r="AK51" s="301"/>
      <c r="AL51" s="259"/>
      <c r="AM51" s="3734"/>
      <c r="AO51" s="434"/>
      <c r="AP51" s="434" t="str">
        <f t="shared" si="1"/>
        <v>Добавить вид теплоносителя (параметры теплоносителя)</v>
      </c>
      <c r="AQ51" s="434"/>
      <c r="AR51" s="434"/>
      <c r="AS51" s="1077">
        <v>11</v>
      </c>
    </row>
    <row r="52" spans="1:45" ht="11.45" customHeight="1">
      <c r="A52" s="1285" t="s">
        <v>203</v>
      </c>
      <c r="B52" s="1285" t="s">
        <v>204</v>
      </c>
      <c r="C52" s="1285" t="s">
        <v>205</v>
      </c>
      <c r="D52" s="1285" t="s">
        <v>206</v>
      </c>
      <c r="E52" s="3738"/>
      <c r="F52" s="3738"/>
      <c r="G52" s="3738"/>
      <c r="H52" s="3738"/>
      <c r="I52" s="3735"/>
      <c r="J52" s="1285"/>
      <c r="K52" s="1285"/>
      <c r="L52" s="1286"/>
      <c r="P52" s="3736"/>
      <c r="Q52" s="1142"/>
      <c r="R52" s="290"/>
      <c r="S52" s="1200"/>
      <c r="T52" s="222" t="s">
        <v>457</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14.65" customHeight="1">
      <c r="A53" s="1285" t="s">
        <v>203</v>
      </c>
      <c r="B53" s="1285" t="s">
        <v>204</v>
      </c>
      <c r="C53" s="1285" t="s">
        <v>205</v>
      </c>
      <c r="D53" s="1285" t="s">
        <v>206</v>
      </c>
      <c r="E53" s="3738"/>
      <c r="F53" s="3738"/>
      <c r="G53" s="3738"/>
      <c r="H53" s="3737"/>
      <c r="I53" s="1285"/>
      <c r="J53" s="1285"/>
      <c r="K53" s="1285"/>
      <c r="L53" s="1286"/>
      <c r="M53" s="1287"/>
      <c r="N53" s="1287"/>
      <c r="O53" s="471"/>
      <c r="P53" s="294"/>
      <c r="Q53" s="309"/>
      <c r="R53" s="289"/>
      <c r="S53" s="1200"/>
      <c r="T53" s="299" t="s">
        <v>458</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7">
        <v>14</v>
      </c>
    </row>
    <row r="54" spans="1:45" s="1564" customFormat="1" ht="1.1499999999999999" customHeight="1">
      <c r="A54" s="1265" t="s">
        <v>203</v>
      </c>
      <c r="B54" s="1265" t="s">
        <v>204</v>
      </c>
      <c r="C54" s="1265" t="s">
        <v>205</v>
      </c>
      <c r="D54" s="1236"/>
      <c r="E54" s="3738"/>
      <c r="F54" s="3738"/>
      <c r="G54" s="3737"/>
      <c r="H54" s="1236"/>
      <c r="I54" s="1236"/>
      <c r="J54" s="1236"/>
      <c r="K54" s="1236"/>
      <c r="L54" s="1261"/>
      <c r="M54" s="1237"/>
      <c r="N54" s="1237"/>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203</v>
      </c>
      <c r="B55" s="1265" t="s">
        <v>204</v>
      </c>
      <c r="C55" s="1236"/>
      <c r="D55" s="1236"/>
      <c r="E55" s="3738"/>
      <c r="F55" s="3737"/>
      <c r="G55" s="1236"/>
      <c r="H55" s="1236"/>
      <c r="I55" s="1236"/>
      <c r="J55" s="1236"/>
      <c r="K55" s="1236"/>
      <c r="L55" s="1261"/>
      <c r="M55" s="1243"/>
      <c r="N55" s="1243"/>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203</v>
      </c>
      <c r="B56" s="1265"/>
      <c r="C56" s="1265"/>
      <c r="D56" s="1265"/>
      <c r="E56" s="3737"/>
      <c r="F56" s="1265"/>
      <c r="G56" s="1265"/>
      <c r="H56" s="1265"/>
      <c r="I56" s="1265"/>
      <c r="J56" s="1265"/>
      <c r="K56" s="1265"/>
      <c r="L56" s="1268"/>
      <c r="M56" s="1243"/>
      <c r="N56" s="1243"/>
      <c r="O56" s="452"/>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8.5" customHeight="1">
      <c r="O59" s="471"/>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077">
        <v>27</v>
      </c>
    </row>
    <row r="60" spans="1:45" ht="67.150000000000006" customHeight="1">
      <c r="O60" s="471"/>
      <c r="P60" s="1225"/>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077">
        <v>64</v>
      </c>
    </row>
    <row r="61" spans="1:45" ht="14.65" customHeight="1">
      <c r="O61" s="471"/>
      <c r="AS61" s="1077">
        <v>14</v>
      </c>
    </row>
    <row r="62" spans="1:45" ht="18.75" customHeight="1">
      <c r="O62" s="471"/>
      <c r="P62" s="1250"/>
      <c r="S62" s="1175"/>
      <c r="T62" s="3757"/>
      <c r="U62" s="3757"/>
      <c r="V62" s="3757"/>
      <c r="W62" s="3757"/>
      <c r="X62" s="3757"/>
      <c r="Y62" s="3757"/>
      <c r="Z62" s="3757"/>
      <c r="AA62" s="3757"/>
      <c r="AB62" s="3757"/>
      <c r="AC62" s="3757"/>
      <c r="AD62" s="3757"/>
      <c r="AE62" s="3757"/>
      <c r="AF62" s="3757"/>
      <c r="AG62" s="3757"/>
      <c r="AH62" s="3757"/>
      <c r="AI62" s="3757"/>
      <c r="AJ62" s="3757"/>
      <c r="AK62" s="3757"/>
      <c r="AL62" s="3757"/>
      <c r="AM62" s="3757"/>
      <c r="AS62" s="1077">
        <v>18</v>
      </c>
    </row>
    <row r="63" spans="1:45" ht="18.75" customHeight="1">
      <c r="O63" s="471"/>
      <c r="P63" s="1250"/>
      <c r="T63" s="3757"/>
      <c r="U63" s="3757"/>
      <c r="V63" s="3757"/>
      <c r="W63" s="3757"/>
      <c r="X63" s="3757"/>
      <c r="Y63" s="3757"/>
      <c r="Z63" s="3757"/>
      <c r="AA63" s="3757"/>
      <c r="AB63" s="3757"/>
      <c r="AC63" s="3757"/>
      <c r="AD63" s="3757"/>
      <c r="AE63" s="3757"/>
      <c r="AF63" s="3757"/>
      <c r="AG63" s="3757"/>
      <c r="AH63" s="3757"/>
      <c r="AI63" s="3757"/>
      <c r="AJ63" s="3757"/>
      <c r="AK63" s="3757"/>
      <c r="AL63" s="3757"/>
      <c r="AM63" s="3757"/>
      <c r="AS63" s="1077">
        <v>18</v>
      </c>
    </row>
    <row r="64" spans="1:45" ht="29.25" customHeight="1">
      <c r="O64" s="471"/>
      <c r="P64" s="1250"/>
      <c r="S64" s="1175"/>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077">
        <v>28</v>
      </c>
    </row>
    <row r="65" spans="1:45" ht="22.5" hidden="1" customHeight="1">
      <c r="A65" s="1082" t="s">
        <v>70</v>
      </c>
      <c r="B65" s="1082">
        <v>0</v>
      </c>
      <c r="C65" s="1082">
        <v>0</v>
      </c>
      <c r="D65" s="1082">
        <v>0</v>
      </c>
      <c r="E65" s="1082">
        <v>0</v>
      </c>
      <c r="F65" s="1082">
        <v>0</v>
      </c>
      <c r="G65" s="1082">
        <v>0</v>
      </c>
      <c r="H65" s="1082">
        <v>0</v>
      </c>
      <c r="I65" s="1082">
        <v>0</v>
      </c>
      <c r="J65" s="1082">
        <v>0</v>
      </c>
      <c r="K65" s="1082">
        <v>0</v>
      </c>
      <c r="L65" s="1251">
        <v>0</v>
      </c>
      <c r="M65" s="1284">
        <v>0</v>
      </c>
      <c r="N65" s="1284">
        <v>0</v>
      </c>
      <c r="O65" s="1284">
        <v>0</v>
      </c>
      <c r="P65" s="1140">
        <v>3</v>
      </c>
      <c r="Q65" s="279">
        <v>3</v>
      </c>
      <c r="R65" s="279">
        <v>3</v>
      </c>
      <c r="S65" s="515">
        <v>12</v>
      </c>
      <c r="T65" s="1077">
        <v>35</v>
      </c>
      <c r="U65" s="1077">
        <v>0</v>
      </c>
      <c r="V65" s="1077">
        <v>0</v>
      </c>
      <c r="W65" s="1077">
        <v>0</v>
      </c>
      <c r="X65" s="1077">
        <v>0</v>
      </c>
      <c r="Y65" s="1077">
        <v>0</v>
      </c>
      <c r="Z65" s="1077">
        <v>0</v>
      </c>
      <c r="AA65" s="1077">
        <v>0</v>
      </c>
      <c r="AB65" s="1077">
        <v>0</v>
      </c>
      <c r="AC65" s="1077">
        <v>0</v>
      </c>
      <c r="AD65" s="1077">
        <v>24</v>
      </c>
      <c r="AE65" s="1077">
        <v>0</v>
      </c>
      <c r="AF65" s="1077">
        <v>24</v>
      </c>
      <c r="AG65" s="1077">
        <v>24</v>
      </c>
      <c r="AH65" s="1077">
        <v>11</v>
      </c>
      <c r="AI65" s="1077">
        <v>3</v>
      </c>
      <c r="AJ65" s="1077">
        <v>11</v>
      </c>
      <c r="AK65" s="1077">
        <v>0</v>
      </c>
      <c r="AL65" s="1077">
        <v>4</v>
      </c>
      <c r="AM65" s="1077">
        <v>115</v>
      </c>
      <c r="AN65" s="445">
        <v>10</v>
      </c>
      <c r="AO65" s="445">
        <v>10</v>
      </c>
      <c r="AP65" s="445">
        <v>10</v>
      </c>
      <c r="AQ65" s="445">
        <v>10</v>
      </c>
      <c r="AR65" s="445">
        <v>10</v>
      </c>
      <c r="AS65" s="1077">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v>
      </c>
    </row>
    <row r="2" spans="1:45" ht="21" hidden="1" customHeight="1">
      <c r="A2" s="1285"/>
      <c r="B2" s="1285"/>
      <c r="C2" s="1285"/>
      <c r="D2" s="1285"/>
      <c r="E2" s="3737">
        <v>1</v>
      </c>
      <c r="F2" s="1285"/>
      <c r="G2" s="1285"/>
      <c r="H2" s="1285"/>
      <c r="I2" s="1285"/>
      <c r="J2" s="1285"/>
      <c r="K2" s="1285"/>
      <c r="L2" s="1286"/>
      <c r="M2" s="1287"/>
      <c r="N2" s="1287"/>
      <c r="O2" s="1287"/>
      <c r="P2" s="295"/>
      <c r="Q2" s="294"/>
      <c r="R2" s="289"/>
      <c r="S2" s="1258" t="e">
        <f>INDEX(PT_DIFFERENTIATION_NUM_NTAR,MATCH(A2,PT_DIFFERENTIATION_NTAR_ID,0))</f>
        <v>#N/A</v>
      </c>
      <c r="T2" s="233"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434"/>
      <c r="AP2" s="434" t="str">
        <f t="shared" ref="AP2:AP15" si="0">IF(T2="","",T2)</f>
        <v>Наименование тарифа</v>
      </c>
      <c r="AQ2" s="434"/>
      <c r="AR2" s="434"/>
      <c r="AS2" s="1077">
        <v>0</v>
      </c>
    </row>
    <row r="3" spans="1:45" ht="21" hidden="1" customHeight="1">
      <c r="A3" s="1285"/>
      <c r="B3" s="1285"/>
      <c r="C3" s="1285"/>
      <c r="D3" s="1285"/>
      <c r="E3" s="3738"/>
      <c r="F3" s="3737">
        <v>1</v>
      </c>
      <c r="G3" s="1285"/>
      <c r="H3" s="1285"/>
      <c r="I3" s="1285"/>
      <c r="J3" s="1285"/>
      <c r="K3" s="1285"/>
      <c r="L3" s="1286"/>
      <c r="M3" s="1287"/>
      <c r="N3" s="1287"/>
      <c r="O3" s="1287"/>
      <c r="P3" s="1254"/>
      <c r="Q3" s="286"/>
      <c r="R3" s="287"/>
      <c r="S3" s="1258" t="e">
        <f>INDEX(PT_DIFFERENTIATION_NUM_TER,MATCH(B3,PT_DIFFERENTIATION_TER_ID,0))</f>
        <v>#N/A</v>
      </c>
      <c r="T3" s="243"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434"/>
      <c r="AP3" s="434" t="str">
        <f t="shared" si="0"/>
        <v>Территория действия тарифа</v>
      </c>
      <c r="AQ3" s="434"/>
      <c r="AR3" s="434"/>
      <c r="AS3" s="1077">
        <v>0</v>
      </c>
    </row>
    <row r="4" spans="1:45" ht="23.25" hidden="1" customHeight="1">
      <c r="A4" s="1285"/>
      <c r="B4" s="1285"/>
      <c r="C4" s="1285"/>
      <c r="D4" s="1285"/>
      <c r="E4" s="3738"/>
      <c r="F4" s="3738"/>
      <c r="G4" s="3737">
        <v>1</v>
      </c>
      <c r="H4" s="1285"/>
      <c r="I4" s="1285"/>
      <c r="J4" s="1285"/>
      <c r="K4" s="1285"/>
      <c r="L4" s="1286"/>
      <c r="M4" s="1287"/>
      <c r="N4" s="1287"/>
      <c r="O4" s="1287"/>
      <c r="P4" s="288"/>
      <c r="Q4" s="286"/>
      <c r="R4" s="287"/>
      <c r="S4" s="1258" t="e">
        <f>INDEX(PT_DIFFERENTIATION_NUM_CS,MATCH(C4,PT_DIFFERENTIATION_CS_ID,0))</f>
        <v>#N/A</v>
      </c>
      <c r="T4" s="244" t="s">
        <v>444</v>
      </c>
      <c r="U4" s="235"/>
      <c r="V4" s="3723"/>
      <c r="W4" s="3724"/>
      <c r="X4" s="3724"/>
      <c r="Y4" s="3724"/>
      <c r="Z4" s="3724"/>
      <c r="AA4" s="3724"/>
      <c r="AB4" s="3724"/>
      <c r="AC4" s="3725"/>
      <c r="AD4" s="3723" t="e">
        <f>INDEX(PT_DIFFERENTIATION_CS,MATCH(C4,PT_DIFFERENTIATION_CS_ID,0))</f>
        <v>#N/A</v>
      </c>
      <c r="AE4" s="3724"/>
      <c r="AF4" s="3724"/>
      <c r="AG4" s="3724"/>
      <c r="AH4" s="3724"/>
      <c r="AI4" s="3724"/>
      <c r="AJ4" s="3724"/>
      <c r="AK4" s="3724"/>
      <c r="AL4" s="3725"/>
      <c r="AM4" s="1180" t="s">
        <v>445</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3738"/>
      <c r="F5" s="3738"/>
      <c r="G5" s="3738"/>
      <c r="H5" s="3737">
        <v>1</v>
      </c>
      <c r="I5" s="1285"/>
      <c r="J5" s="1285"/>
      <c r="K5" s="1285"/>
      <c r="L5" s="1286"/>
      <c r="M5" s="1287"/>
      <c r="N5" s="1287"/>
      <c r="O5" s="1287"/>
      <c r="P5" s="288"/>
      <c r="Q5" s="286"/>
      <c r="R5" s="287"/>
      <c r="S5" s="1258" t="e">
        <f>INDEX(PT_DIFFERENTIATION_NUM_IST_TE,MATCH(D5,PT_DIFFERENTIATION_IST_TE_ID,0))</f>
        <v>#N/A</v>
      </c>
      <c r="T5" s="245" t="s">
        <v>446</v>
      </c>
      <c r="U5" s="235"/>
      <c r="V5" s="3723"/>
      <c r="W5" s="3724"/>
      <c r="X5" s="3724"/>
      <c r="Y5" s="3724"/>
      <c r="Z5" s="3724"/>
      <c r="AA5" s="3724"/>
      <c r="AB5" s="3724"/>
      <c r="AC5" s="3725"/>
      <c r="AD5" s="3723" t="e">
        <f>INDEX(PT_DIFFERENTIATION_IST_TE,MATCH(D5,PT_DIFFERENTIATION_IST_TE_ID,0))</f>
        <v>#N/A</v>
      </c>
      <c r="AE5" s="3724"/>
      <c r="AF5" s="3724"/>
      <c r="AG5" s="3724"/>
      <c r="AH5" s="3724"/>
      <c r="AI5" s="3724"/>
      <c r="AJ5" s="3724"/>
      <c r="AK5" s="3724"/>
      <c r="AL5" s="3725"/>
      <c r="AM5" s="1180" t="s">
        <v>447</v>
      </c>
      <c r="AO5" s="434"/>
      <c r="AP5" s="434" t="str">
        <f t="shared" si="0"/>
        <v xml:space="preserve">Источник тепловой энергии  </v>
      </c>
      <c r="AQ5" s="434"/>
      <c r="AR5" s="434"/>
      <c r="AS5" s="1077">
        <v>0</v>
      </c>
    </row>
    <row r="6" spans="1:45" ht="47.25" hidden="1" customHeight="1">
      <c r="A6" s="1285"/>
      <c r="B6" s="1285"/>
      <c r="C6" s="1285"/>
      <c r="D6" s="1285"/>
      <c r="E6" s="3738"/>
      <c r="F6" s="3738"/>
      <c r="G6" s="3738"/>
      <c r="H6" s="3738"/>
      <c r="I6" s="3735" t="e">
        <f>S5&amp;".1"</f>
        <v>#N/A</v>
      </c>
      <c r="J6" s="1285"/>
      <c r="K6" s="1285"/>
      <c r="L6" s="1286" t="s">
        <v>448</v>
      </c>
      <c r="M6" s="471"/>
      <c r="P6" s="3736">
        <v>1</v>
      </c>
      <c r="Q6" s="1253"/>
      <c r="R6" s="290"/>
      <c r="S6" s="1258" t="e">
        <f>$I6</f>
        <v>#N/A</v>
      </c>
      <c r="T6" s="220" t="s">
        <v>449</v>
      </c>
      <c r="U6" s="235"/>
      <c r="V6" s="3726"/>
      <c r="W6" s="3727"/>
      <c r="X6" s="3727"/>
      <c r="Y6" s="3727"/>
      <c r="Z6" s="3727"/>
      <c r="AA6" s="3727"/>
      <c r="AB6" s="3727"/>
      <c r="AC6" s="3728"/>
      <c r="AD6" s="3726"/>
      <c r="AE6" s="3727"/>
      <c r="AF6" s="3727"/>
      <c r="AG6" s="3727"/>
      <c r="AH6" s="3727"/>
      <c r="AI6" s="3727"/>
      <c r="AJ6" s="3727"/>
      <c r="AK6" s="3727"/>
      <c r="AL6" s="3728"/>
      <c r="AM6" s="1180" t="s">
        <v>450</v>
      </c>
      <c r="AO6" s="434"/>
      <c r="AP6" s="434" t="str">
        <f t="shared" si="0"/>
        <v>Схема подключения теплопотребляющей установки к коллектору источника тепловой энергии</v>
      </c>
      <c r="AQ6" s="434"/>
      <c r="AR6" s="434"/>
      <c r="AS6" s="1077">
        <v>0</v>
      </c>
    </row>
    <row r="7" spans="1:45" ht="21" hidden="1" customHeight="1">
      <c r="A7" s="1285"/>
      <c r="B7" s="1285"/>
      <c r="C7" s="1285"/>
      <c r="D7" s="1285"/>
      <c r="E7" s="3738"/>
      <c r="F7" s="3738"/>
      <c r="G7" s="3738"/>
      <c r="H7" s="3738"/>
      <c r="I7" s="3758"/>
      <c r="J7" s="3735" t="e">
        <f>I6&amp;".1"</f>
        <v>#N/A</v>
      </c>
      <c r="K7" s="1285"/>
      <c r="L7" s="1286" t="s">
        <v>451</v>
      </c>
      <c r="M7" s="471"/>
      <c r="N7" s="1288"/>
      <c r="P7" s="3736"/>
      <c r="Q7" s="3736">
        <v>1</v>
      </c>
      <c r="R7" s="291"/>
      <c r="S7" s="1258" t="e">
        <f>$J7</f>
        <v>#N/A</v>
      </c>
      <c r="T7" s="221" t="s">
        <v>452</v>
      </c>
      <c r="U7" s="235"/>
      <c r="V7" s="3726"/>
      <c r="W7" s="3727"/>
      <c r="X7" s="3727"/>
      <c r="Y7" s="3727"/>
      <c r="Z7" s="3727"/>
      <c r="AA7" s="3727"/>
      <c r="AB7" s="3727"/>
      <c r="AC7" s="3728"/>
      <c r="AD7" s="3726"/>
      <c r="AE7" s="3727"/>
      <c r="AF7" s="3727"/>
      <c r="AG7" s="3727"/>
      <c r="AH7" s="3727"/>
      <c r="AI7" s="3727"/>
      <c r="AJ7" s="3727"/>
      <c r="AK7" s="3727"/>
      <c r="AL7" s="3728"/>
      <c r="AM7" s="1180" t="s">
        <v>453</v>
      </c>
      <c r="AO7" s="434"/>
      <c r="AP7" s="434" t="str">
        <f t="shared" si="0"/>
        <v>Группа потребителей</v>
      </c>
      <c r="AQ7" s="434"/>
      <c r="AR7" s="434"/>
      <c r="AS7" s="1077">
        <v>0</v>
      </c>
    </row>
    <row r="8" spans="1:45" ht="21" hidden="1" customHeight="1">
      <c r="A8" s="1285"/>
      <c r="B8" s="1285"/>
      <c r="C8" s="1285"/>
      <c r="D8" s="1285"/>
      <c r="E8" s="3738"/>
      <c r="F8" s="3738"/>
      <c r="G8" s="3738"/>
      <c r="H8" s="3738"/>
      <c r="I8" s="3758"/>
      <c r="J8" s="3758"/>
      <c r="K8" s="3735" t="e">
        <f>J7&amp;".1"</f>
        <v>#N/A</v>
      </c>
      <c r="L8" s="1286" t="s">
        <v>454</v>
      </c>
      <c r="M8" s="471"/>
      <c r="N8" s="1288"/>
      <c r="O8" s="1288"/>
      <c r="P8" s="3736"/>
      <c r="Q8" s="3736"/>
      <c r="R8" s="291">
        <v>1</v>
      </c>
      <c r="S8" s="1258" t="e">
        <f>$K8</f>
        <v>#N/A</v>
      </c>
      <c r="T8" s="1269"/>
      <c r="U8" s="235"/>
      <c r="V8" s="685"/>
      <c r="W8" s="260"/>
      <c r="X8" s="685"/>
      <c r="Y8" s="1179"/>
      <c r="Z8" s="3740"/>
      <c r="AA8" s="3599" t="s">
        <v>50</v>
      </c>
      <c r="AB8" s="3740"/>
      <c r="AC8" s="3599" t="s">
        <v>50</v>
      </c>
      <c r="AD8" s="685"/>
      <c r="AE8" s="260"/>
      <c r="AF8" s="685"/>
      <c r="AG8" s="1179"/>
      <c r="AH8" s="3740"/>
      <c r="AI8" s="3599" t="s">
        <v>50</v>
      </c>
      <c r="AJ8" s="3740"/>
      <c r="AK8" s="3599" t="s">
        <v>50</v>
      </c>
      <c r="AL8" s="260"/>
      <c r="AM8" s="3732" t="s">
        <v>455</v>
      </c>
      <c r="AN8" s="445" t="e">
        <f ca="1">STRCHECKDATE(V9:AL9)</f>
        <v>#NAME?</v>
      </c>
      <c r="AO8" s="434"/>
      <c r="AP8" s="434" t="str">
        <f t="shared" si="0"/>
        <v/>
      </c>
      <c r="AQ8" s="434"/>
      <c r="AR8" s="434"/>
      <c r="AS8" s="1077">
        <v>0</v>
      </c>
    </row>
    <row r="9" spans="1:45" ht="0.75" hidden="1" customHeight="1">
      <c r="A9" s="1285"/>
      <c r="B9" s="1285"/>
      <c r="C9" s="1285"/>
      <c r="D9" s="1285"/>
      <c r="E9" s="3738"/>
      <c r="F9" s="3738"/>
      <c r="G9" s="3738"/>
      <c r="H9" s="3738"/>
      <c r="I9" s="3758"/>
      <c r="J9" s="3758"/>
      <c r="K9" s="3735"/>
      <c r="L9" s="1286"/>
      <c r="M9" s="471"/>
      <c r="N9" s="1288"/>
      <c r="O9" s="1288"/>
      <c r="P9" s="3736"/>
      <c r="Q9" s="3736"/>
      <c r="R9" s="291"/>
      <c r="S9" s="1264"/>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434"/>
      <c r="AP9" s="434" t="str">
        <f t="shared" si="0"/>
        <v/>
      </c>
      <c r="AQ9" s="434"/>
      <c r="AR9" s="434"/>
      <c r="AS9" s="1077">
        <v>0</v>
      </c>
    </row>
    <row r="10" spans="1:45" ht="15" hidden="1" customHeight="1">
      <c r="A10" s="1285"/>
      <c r="B10" s="1285"/>
      <c r="C10" s="1285"/>
      <c r="D10" s="1285"/>
      <c r="E10" s="3738"/>
      <c r="F10" s="3738"/>
      <c r="G10" s="3738"/>
      <c r="H10" s="3738"/>
      <c r="I10" s="3758"/>
      <c r="J10" s="3735"/>
      <c r="K10" s="1285"/>
      <c r="L10" s="1286"/>
      <c r="M10" s="471"/>
      <c r="N10" s="1288"/>
      <c r="P10" s="3736"/>
      <c r="Q10" s="3736"/>
      <c r="R10" s="290"/>
      <c r="S10" s="1200"/>
      <c r="T10" s="223" t="s">
        <v>456</v>
      </c>
      <c r="U10" s="301"/>
      <c r="V10" s="301"/>
      <c r="W10" s="301"/>
      <c r="X10" s="301"/>
      <c r="Y10" s="301"/>
      <c r="Z10" s="301"/>
      <c r="AA10" s="301"/>
      <c r="AB10" s="301"/>
      <c r="AC10" s="301"/>
      <c r="AD10" s="301"/>
      <c r="AE10" s="301"/>
      <c r="AF10" s="301"/>
      <c r="AG10" s="301"/>
      <c r="AH10" s="301"/>
      <c r="AI10" s="301"/>
      <c r="AJ10" s="301"/>
      <c r="AK10" s="301"/>
      <c r="AL10" s="259"/>
      <c r="AM10" s="3734"/>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3738"/>
      <c r="F11" s="3738"/>
      <c r="G11" s="3738"/>
      <c r="H11" s="3738"/>
      <c r="I11" s="3735"/>
      <c r="J11" s="1285"/>
      <c r="K11" s="1285"/>
      <c r="L11" s="1286"/>
      <c r="M11" s="471"/>
      <c r="P11" s="3736"/>
      <c r="Q11" s="1253"/>
      <c r="R11" s="290"/>
      <c r="S11" s="1200"/>
      <c r="T11" s="222" t="s">
        <v>457</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3738"/>
      <c r="F12" s="3738"/>
      <c r="G12" s="3738"/>
      <c r="H12" s="3737"/>
      <c r="I12" s="1285"/>
      <c r="J12" s="1285"/>
      <c r="K12" s="1285"/>
      <c r="L12" s="1286"/>
      <c r="M12" s="1287"/>
      <c r="N12" s="1287"/>
      <c r="O12" s="471"/>
      <c r="P12" s="294"/>
      <c r="Q12" s="309"/>
      <c r="R12" s="289"/>
      <c r="S12" s="1200"/>
      <c r="T12" s="299" t="s">
        <v>458</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7">
        <v>0</v>
      </c>
    </row>
    <row r="13" spans="1:45" s="1564" customFormat="1" ht="0.75" hidden="1" customHeight="1">
      <c r="A13" s="1236"/>
      <c r="B13" s="1236"/>
      <c r="C13" s="1236"/>
      <c r="D13" s="1236"/>
      <c r="E13" s="3738"/>
      <c r="F13" s="3738"/>
      <c r="G13" s="3737"/>
      <c r="H13" s="1236"/>
      <c r="I13" s="1236"/>
      <c r="J13" s="1236"/>
      <c r="K13" s="1236"/>
      <c r="L13" s="1261"/>
      <c r="M13" s="1237"/>
      <c r="N13" s="1237"/>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3738"/>
      <c r="F14" s="3737"/>
      <c r="G14" s="1236"/>
      <c r="H14" s="1236"/>
      <c r="I14" s="1236"/>
      <c r="J14" s="1236"/>
      <c r="K14" s="1236"/>
      <c r="L14" s="1261"/>
      <c r="M14" s="1243"/>
      <c r="N14" s="1243"/>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3737"/>
      <c r="F15" s="1236"/>
      <c r="G15" s="1236"/>
      <c r="H15" s="1236"/>
      <c r="I15" s="1236"/>
      <c r="J15" s="1236"/>
      <c r="K15" s="1236"/>
      <c r="L15" s="1261"/>
      <c r="M15" s="1243"/>
      <c r="N15" s="1243"/>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3742"/>
      <c r="AI17" s="3743" t="s">
        <v>50</v>
      </c>
      <c r="AJ17" s="3742"/>
      <c r="AK17" s="3743" t="s">
        <v>50</v>
      </c>
      <c r="AS17" s="1077">
        <v>0</v>
      </c>
    </row>
    <row r="18" spans="1:45" ht="14.25" hidden="1" customHeight="1">
      <c r="AD18" s="1282"/>
      <c r="AE18" s="1282"/>
      <c r="AF18" s="1282"/>
      <c r="AG18" s="263" t="str">
        <f>AH17&amp;"-"&amp;AJ17</f>
        <v>-</v>
      </c>
      <c r="AH18" s="3743"/>
      <c r="AI18" s="3743"/>
      <c r="AJ18" s="3743"/>
      <c r="AK18" s="3743"/>
      <c r="AS18" s="1077">
        <v>0</v>
      </c>
    </row>
    <row r="19" spans="1:45" ht="14.25" hidden="1" customHeight="1">
      <c r="AK19" s="262"/>
      <c r="AS19" s="1077">
        <v>0</v>
      </c>
    </row>
    <row r="20" spans="1:45" s="1288" customFormat="1" ht="22.5" hidden="1" customHeight="1">
      <c r="L20" s="1251"/>
      <c r="M20" s="1284"/>
      <c r="N20" s="1284"/>
      <c r="O20" s="1289" t="s">
        <v>462</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463</v>
      </c>
      <c r="P22" s="1284"/>
      <c r="Q22" s="1293"/>
      <c r="R22" s="1293"/>
      <c r="S22" s="663"/>
      <c r="T22" s="1082" t="s">
        <v>464</v>
      </c>
      <c r="AA22" s="121" t="s">
        <v>465</v>
      </c>
      <c r="AC22" s="121" t="s">
        <v>466</v>
      </c>
      <c r="AD22" s="1082" t="s">
        <v>464</v>
      </c>
      <c r="AI22" s="121" t="s">
        <v>467</v>
      </c>
      <c r="AK22" s="121" t="s">
        <v>466</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14.65" customHeight="1">
      <c r="Q26" s="310"/>
      <c r="R26" s="310"/>
      <c r="S26" s="37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721"/>
      <c r="U26" s="3721"/>
      <c r="V26" s="3721"/>
      <c r="W26" s="3721"/>
      <c r="X26" s="3721"/>
      <c r="Y26" s="3721"/>
      <c r="Z26" s="3721"/>
      <c r="AA26" s="3721"/>
      <c r="AB26" s="3721"/>
      <c r="AC26" s="3721"/>
      <c r="AD26" s="3721"/>
      <c r="AE26" s="3721"/>
      <c r="AF26" s="3721"/>
      <c r="AG26" s="3721"/>
      <c r="AH26" s="3721"/>
      <c r="AI26" s="3721"/>
      <c r="AJ26" s="3721"/>
      <c r="AK26" s="1165"/>
      <c r="AS26" s="1077">
        <v>14</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42" customFormat="1" ht="25.5" hidden="1" customHeight="1">
      <c r="A29" s="1290"/>
      <c r="B29" s="1290"/>
      <c r="C29" s="1290"/>
      <c r="D29" s="1290"/>
      <c r="E29" s="1290"/>
      <c r="F29" s="1290"/>
      <c r="G29" s="1290"/>
      <c r="H29" s="1290"/>
      <c r="I29" s="1290"/>
      <c r="J29" s="1290"/>
      <c r="K29" s="1290"/>
      <c r="L29" s="1291"/>
      <c r="M29" s="1290"/>
      <c r="N29" s="1290"/>
      <c r="O29" s="129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261"/>
      <c r="AD29" s="3730" t="str">
        <f>IF(TITLE_NAME_OR_PR_CHANGE="",IF(TITLE_NAME_OR_PR="","",TITLE_NAME_OR_PR),TITLE_NAME_OR_PR_CHANGE)</f>
        <v/>
      </c>
      <c r="AE29" s="3730"/>
      <c r="AF29" s="3730"/>
      <c r="AG29" s="3730"/>
      <c r="AH29" s="3730"/>
      <c r="AI29" s="3730"/>
      <c r="AJ29" s="3730"/>
      <c r="AK29" s="261"/>
      <c r="AL29" s="261"/>
      <c r="AM29" s="215"/>
      <c r="AN29" s="302"/>
      <c r="AO29" s="302"/>
      <c r="AP29" s="302"/>
      <c r="AQ29" s="302"/>
      <c r="AR29" s="302"/>
      <c r="AS29" s="352">
        <v>0</v>
      </c>
    </row>
    <row r="30" spans="1:45" s="1742" customFormat="1" ht="18.75" hidden="1" customHeight="1">
      <c r="A30" s="1290"/>
      <c r="B30" s="1290"/>
      <c r="C30" s="1290"/>
      <c r="D30" s="1290"/>
      <c r="E30" s="1290"/>
      <c r="F30" s="1290"/>
      <c r="G30" s="1290"/>
      <c r="H30" s="1290"/>
      <c r="I30" s="1290"/>
      <c r="J30" s="1290"/>
      <c r="K30" s="1290"/>
      <c r="L30" s="1291"/>
      <c r="M30" s="1290"/>
      <c r="N30" s="1290"/>
      <c r="O30" s="129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261"/>
      <c r="AD30" s="3739" t="str">
        <f>IF(TITLE_DATE_PR_CHANGE="",IF(TITLE_DATE_PR="","",TITLE_DATE_PR),TITLE_DATE_PR_CHANGE)</f>
        <v/>
      </c>
      <c r="AE30" s="3739"/>
      <c r="AF30" s="3739"/>
      <c r="AG30" s="3739"/>
      <c r="AH30" s="3739"/>
      <c r="AI30" s="3739"/>
      <c r="AJ30" s="3739"/>
      <c r="AK30" s="261"/>
      <c r="AL30" s="261"/>
      <c r="AM30" s="215"/>
      <c r="AN30" s="302"/>
      <c r="AO30" s="302"/>
      <c r="AP30" s="302"/>
      <c r="AQ30" s="302"/>
      <c r="AR30" s="302"/>
      <c r="AS30" s="352">
        <v>0</v>
      </c>
    </row>
    <row r="31" spans="1:45" s="1742" customFormat="1" ht="18.75" hidden="1" customHeight="1">
      <c r="A31" s="1290"/>
      <c r="B31" s="1290"/>
      <c r="C31" s="1290"/>
      <c r="D31" s="1290"/>
      <c r="E31" s="1290"/>
      <c r="F31" s="1290"/>
      <c r="G31" s="1290"/>
      <c r="H31" s="1290"/>
      <c r="I31" s="1290"/>
      <c r="J31" s="1290"/>
      <c r="K31" s="1290"/>
      <c r="L31" s="1291"/>
      <c r="M31" s="1290"/>
      <c r="N31" s="1290"/>
      <c r="O31" s="129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261"/>
      <c r="AD31" s="3730" t="str">
        <f>IF(TITLE_NUMBER_PR_CHANGE="",IF(TITLE_NUMBER_PR="","",TITLE_NUMBER_PR),TITLE_NUMBER_PR_CHANGE)</f>
        <v/>
      </c>
      <c r="AE31" s="3730"/>
      <c r="AF31" s="3730"/>
      <c r="AG31" s="3730"/>
      <c r="AH31" s="3730"/>
      <c r="AI31" s="3730"/>
      <c r="AJ31" s="3730"/>
      <c r="AK31" s="261"/>
      <c r="AL31" s="261"/>
      <c r="AM31" s="215"/>
      <c r="AN31" s="302"/>
      <c r="AO31" s="302"/>
      <c r="AP31" s="302"/>
      <c r="AQ31" s="302"/>
      <c r="AR31" s="302"/>
      <c r="AS31" s="352">
        <v>0</v>
      </c>
    </row>
    <row r="32" spans="1:45" s="1742" customFormat="1" ht="18.75" hidden="1" customHeight="1">
      <c r="A32" s="1290"/>
      <c r="B32" s="1290"/>
      <c r="C32" s="1290"/>
      <c r="D32" s="1290"/>
      <c r="E32" s="1290"/>
      <c r="F32" s="1290"/>
      <c r="G32" s="1290"/>
      <c r="H32" s="1290"/>
      <c r="I32" s="1290"/>
      <c r="J32" s="1290"/>
      <c r="K32" s="1290"/>
      <c r="L32" s="1291"/>
      <c r="M32" s="1290"/>
      <c r="N32" s="1290"/>
      <c r="O32" s="1290"/>
      <c r="S32" s="3729" t="s">
        <v>30</v>
      </c>
      <c r="T32" s="3729"/>
      <c r="U32" s="1294"/>
      <c r="V32" s="3730" t="str">
        <f>IF(TITLE_IST_PUB_CHANGE="",IF(TITLE_IST_PUB="","",TITLE_IST_PUB),TITLE_IST_PUB_CHANGE)</f>
        <v/>
      </c>
      <c r="W32" s="3730"/>
      <c r="X32" s="3730"/>
      <c r="Y32" s="3730"/>
      <c r="Z32" s="3730"/>
      <c r="AA32" s="3730"/>
      <c r="AB32" s="3730"/>
      <c r="AC32" s="261"/>
      <c r="AD32" s="3730" t="str">
        <f>IF(TITLE_IST_PUB_CHANGE="",IF(TITLE_IST_PUB="","",TITLE_IST_PUB),TITLE_IST_PUB_CHANGE)</f>
        <v/>
      </c>
      <c r="AE32" s="3730"/>
      <c r="AF32" s="3730"/>
      <c r="AG32" s="3730"/>
      <c r="AH32" s="3730"/>
      <c r="AI32" s="3730"/>
      <c r="AJ32" s="3730"/>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42" customFormat="1" ht="18.75" hidden="1" customHeight="1">
      <c r="A34" s="1290"/>
      <c r="B34" s="1290"/>
      <c r="C34" s="1290"/>
      <c r="D34" s="1290"/>
      <c r="E34" s="1290"/>
      <c r="F34" s="1290"/>
      <c r="G34" s="1290"/>
      <c r="H34" s="1290"/>
      <c r="I34" s="1290"/>
      <c r="J34" s="1290"/>
      <c r="K34" s="1290"/>
      <c r="L34" s="1291"/>
      <c r="M34" s="1290"/>
      <c r="N34" s="1290"/>
      <c r="O34" s="129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261"/>
      <c r="AD34" s="3739" t="str">
        <f>IF(TITLE_DATE_PR_CHANGE="",IF(TITLE_DATE_PR="","",TITLE_DATE_PR),TITLE_DATE_PR_CHANGE)</f>
        <v/>
      </c>
      <c r="AE34" s="3739"/>
      <c r="AF34" s="3739"/>
      <c r="AG34" s="3739"/>
      <c r="AH34" s="3739"/>
      <c r="AI34" s="3739"/>
      <c r="AJ34" s="3739"/>
      <c r="AK34" s="261"/>
      <c r="AL34" s="261"/>
      <c r="AM34" s="215"/>
      <c r="AN34" s="302"/>
      <c r="AO34" s="302"/>
      <c r="AP34" s="302"/>
      <c r="AQ34" s="302"/>
      <c r="AR34" s="302"/>
      <c r="AS34" s="352">
        <v>0</v>
      </c>
    </row>
    <row r="35" spans="1:45" s="1742" customFormat="1" ht="18.75" hidden="1" customHeight="1">
      <c r="A35" s="1290"/>
      <c r="B35" s="1290"/>
      <c r="C35" s="1290"/>
      <c r="D35" s="1290"/>
      <c r="E35" s="1290"/>
      <c r="F35" s="1290"/>
      <c r="G35" s="1290"/>
      <c r="H35" s="1290"/>
      <c r="I35" s="1290"/>
      <c r="J35" s="1290"/>
      <c r="K35" s="1290"/>
      <c r="L35" s="1291"/>
      <c r="M35" s="1290"/>
      <c r="N35" s="1290"/>
      <c r="O35" s="129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261"/>
      <c r="AD35" s="3730" t="str">
        <f>IF(TITLE_NUMBER_PR_CHANGE="",IF(TITLE_NUMBER_PR="","",TITLE_NUMBER_PR),TITLE_NUMBER_PR_CHANGE)</f>
        <v/>
      </c>
      <c r="AE35" s="3730"/>
      <c r="AF35" s="3730"/>
      <c r="AG35" s="3730"/>
      <c r="AH35" s="3730"/>
      <c r="AI35" s="3730"/>
      <c r="AJ35" s="3730"/>
      <c r="AK35" s="261"/>
      <c r="AL35" s="261"/>
      <c r="AM35" s="215"/>
      <c r="AN35" s="302"/>
      <c r="AO35" s="302"/>
      <c r="AP35" s="302"/>
      <c r="AQ35" s="302"/>
      <c r="AR35" s="302"/>
      <c r="AS35" s="352">
        <v>0</v>
      </c>
    </row>
    <row r="36" spans="1:45" s="1742"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468</v>
      </c>
      <c r="AD36" s="261"/>
      <c r="AE36" s="261"/>
      <c r="AF36" s="261"/>
      <c r="AG36" s="261"/>
      <c r="AH36" s="261"/>
      <c r="AI36" s="261"/>
      <c r="AJ36" s="261"/>
      <c r="AK36" s="213" t="s">
        <v>468</v>
      </c>
      <c r="AN36" s="302"/>
      <c r="AO36" s="302"/>
      <c r="AP36" s="302"/>
      <c r="AQ36" s="302"/>
      <c r="AR36" s="302"/>
      <c r="AS36" s="352">
        <v>0</v>
      </c>
    </row>
    <row r="37" spans="1:45" ht="14.65" customHeight="1">
      <c r="Q37" s="310"/>
      <c r="R37" s="310"/>
      <c r="S37" s="1197"/>
      <c r="T37" s="297"/>
      <c r="U37" s="1166"/>
      <c r="V37" s="3731"/>
      <c r="W37" s="3731"/>
      <c r="X37" s="3731"/>
      <c r="Y37" s="3731"/>
      <c r="Z37" s="3731"/>
      <c r="AA37" s="3731"/>
      <c r="AB37" s="3731"/>
      <c r="AC37" s="3731"/>
      <c r="AD37" s="3731"/>
      <c r="AE37" s="3731"/>
      <c r="AF37" s="3731"/>
      <c r="AG37" s="3731"/>
      <c r="AH37" s="3731"/>
      <c r="AI37" s="3731"/>
      <c r="AJ37" s="3731"/>
      <c r="AK37" s="3731"/>
      <c r="AS37" s="1077">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077">
        <v>14</v>
      </c>
    </row>
    <row r="39" spans="1:45" ht="14.65" customHeight="1">
      <c r="Q39" s="310"/>
      <c r="R39" s="310"/>
      <c r="S39" s="3745" t="s">
        <v>76</v>
      </c>
      <c r="T39" s="3697" t="s">
        <v>469</v>
      </c>
      <c r="U39" s="236"/>
      <c r="V39" s="3746" t="s">
        <v>470</v>
      </c>
      <c r="W39" s="3747"/>
      <c r="X39" s="3747"/>
      <c r="Y39" s="3747"/>
      <c r="Z39" s="3747"/>
      <c r="AA39" s="3747"/>
      <c r="AB39" s="3748"/>
      <c r="AC39" s="3749" t="s">
        <v>471</v>
      </c>
      <c r="AD39" s="3746" t="s">
        <v>470</v>
      </c>
      <c r="AE39" s="3747"/>
      <c r="AF39" s="3747"/>
      <c r="AG39" s="3747"/>
      <c r="AH39" s="3747"/>
      <c r="AI39" s="3747"/>
      <c r="AJ39" s="3748"/>
      <c r="AK39" s="3749" t="s">
        <v>472</v>
      </c>
      <c r="AL39" s="3752" t="s">
        <v>473</v>
      </c>
      <c r="AM39" s="3618"/>
      <c r="AS39" s="1077">
        <v>14</v>
      </c>
    </row>
    <row r="40" spans="1:45" ht="35.65" customHeight="1">
      <c r="Q40" s="310"/>
      <c r="R40" s="310"/>
      <c r="S40" s="3745"/>
      <c r="T40" s="3697"/>
      <c r="U40" s="957"/>
      <c r="V40" s="3666" t="s">
        <v>474</v>
      </c>
      <c r="W40" s="3755" t="s">
        <v>475</v>
      </c>
      <c r="X40" s="3589" t="s">
        <v>476</v>
      </c>
      <c r="Y40" s="3588"/>
      <c r="Z40" s="3589" t="s">
        <v>490</v>
      </c>
      <c r="AA40" s="3595"/>
      <c r="AB40" s="3588"/>
      <c r="AC40" s="3750"/>
      <c r="AD40" s="3666" t="s">
        <v>474</v>
      </c>
      <c r="AE40" s="3755" t="s">
        <v>475</v>
      </c>
      <c r="AF40" s="3589" t="s">
        <v>476</v>
      </c>
      <c r="AG40" s="3588"/>
      <c r="AH40" s="3589" t="s">
        <v>477</v>
      </c>
      <c r="AI40" s="3595"/>
      <c r="AJ40" s="3588"/>
      <c r="AK40" s="3750"/>
      <c r="AL40" s="3753"/>
      <c r="AM40" s="3618"/>
      <c r="AS40" s="1077">
        <v>34</v>
      </c>
    </row>
    <row r="41" spans="1:45" ht="35.65" customHeight="1">
      <c r="A41" s="1292"/>
      <c r="B41" s="1292" t="s">
        <v>188</v>
      </c>
      <c r="C41" s="1292" t="s">
        <v>189</v>
      </c>
      <c r="D41" s="1292" t="s">
        <v>190</v>
      </c>
      <c r="E41" s="1286" t="s">
        <v>478</v>
      </c>
      <c r="F41" s="1286" t="s">
        <v>479</v>
      </c>
      <c r="G41" s="1286" t="s">
        <v>480</v>
      </c>
      <c r="H41" s="1286" t="s">
        <v>481</v>
      </c>
      <c r="I41" s="1286" t="s">
        <v>482</v>
      </c>
      <c r="J41" s="1286" t="s">
        <v>483</v>
      </c>
      <c r="K41" s="1286" t="s">
        <v>484</v>
      </c>
      <c r="L41" s="1286" t="s">
        <v>463</v>
      </c>
      <c r="Q41" s="310"/>
      <c r="R41" s="310"/>
      <c r="S41" s="3745"/>
      <c r="T41" s="3697"/>
      <c r="U41" s="237"/>
      <c r="V41" s="3716"/>
      <c r="W41" s="3756"/>
      <c r="X41" s="1144" t="s">
        <v>485</v>
      </c>
      <c r="Y41" s="1144" t="s">
        <v>486</v>
      </c>
      <c r="Z41" s="1260" t="s">
        <v>487</v>
      </c>
      <c r="AA41" s="3705" t="s">
        <v>488</v>
      </c>
      <c r="AB41" s="3707"/>
      <c r="AC41" s="3751"/>
      <c r="AD41" s="3716"/>
      <c r="AE41" s="3756"/>
      <c r="AF41" s="1144" t="s">
        <v>485</v>
      </c>
      <c r="AG41" s="1144" t="s">
        <v>486</v>
      </c>
      <c r="AH41" s="1260" t="s">
        <v>487</v>
      </c>
      <c r="AI41" s="3705" t="s">
        <v>488</v>
      </c>
      <c r="AJ41" s="3707"/>
      <c r="AK41" s="3751"/>
      <c r="AL41" s="3754"/>
      <c r="AM41" s="361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164</v>
      </c>
      <c r="T42" s="1177" t="s">
        <v>89</v>
      </c>
      <c r="U42" s="1167" t="str">
        <f ca="1">OFFSET(U42,0,-1)</f>
        <v>2</v>
      </c>
      <c r="V42" s="1257">
        <f ca="1">OFFSET(V42,0,-1)+1</f>
        <v>3</v>
      </c>
      <c r="W42" s="1257"/>
      <c r="X42" s="1257">
        <f ca="1">OFFSET(X42,0,-1)+1</f>
        <v>1</v>
      </c>
      <c r="Y42" s="1257">
        <f ca="1">OFFSET(Y42,0,-1)+1</f>
        <v>2</v>
      </c>
      <c r="Z42" s="1257">
        <f ca="1">OFFSET(Z42,0,-1)+1</f>
        <v>3</v>
      </c>
      <c r="AA42" s="3744">
        <f ca="1">OFFSET(AA42,0,-1)+1</f>
        <v>4</v>
      </c>
      <c r="AB42" s="3744"/>
      <c r="AC42" s="1257">
        <f ca="1">OFFSET(AC42,0,-2)+1</f>
        <v>5</v>
      </c>
      <c r="AD42" s="1257">
        <f ca="1">OFFSET(AD42,0,-1)+1</f>
        <v>6</v>
      </c>
      <c r="AE42" s="1257"/>
      <c r="AF42" s="1257">
        <f ca="1">OFFSET(AF42,0,-1)+1</f>
        <v>1</v>
      </c>
      <c r="AG42" s="1257">
        <f ca="1">OFFSET(AG42,0,-1)+1</f>
        <v>2</v>
      </c>
      <c r="AH42" s="1257">
        <f ca="1">OFFSET(AH42,0,-1)+1</f>
        <v>3</v>
      </c>
      <c r="AI42" s="3744">
        <f ca="1">OFFSET(AI42,0,-1)+1</f>
        <v>4</v>
      </c>
      <c r="AJ42" s="3744"/>
      <c r="AK42" s="1257">
        <f ca="1">OFFSET(AK42,0,-2)+1</f>
        <v>5</v>
      </c>
      <c r="AL42" s="1167">
        <f ca="1">OFFSET(AL42,0,-1)</f>
        <v>5</v>
      </c>
      <c r="AM42" s="1257">
        <f ca="1">OFFSET(AM42,0,-1)+1</f>
        <v>6</v>
      </c>
      <c r="AN42" s="445"/>
      <c r="AO42" s="445"/>
      <c r="AP42" s="445"/>
      <c r="AQ42" s="445"/>
      <c r="AR42" s="445"/>
      <c r="AS42" s="430">
        <v>0</v>
      </c>
    </row>
    <row r="43" spans="1:45" ht="21.95" customHeight="1">
      <c r="A43" s="1285" t="s">
        <v>208</v>
      </c>
      <c r="B43" s="1285"/>
      <c r="C43" s="1285"/>
      <c r="D43" s="1285"/>
      <c r="E43" s="3737">
        <v>1</v>
      </c>
      <c r="F43" s="1285"/>
      <c r="G43" s="1285"/>
      <c r="H43" s="1285"/>
      <c r="I43" s="1285"/>
      <c r="J43" s="1285"/>
      <c r="K43" s="1285"/>
      <c r="L43" s="1286"/>
      <c r="M43" s="1287"/>
      <c r="N43" s="1287"/>
      <c r="O43" s="1287"/>
      <c r="P43" s="295"/>
      <c r="Q43" s="294"/>
      <c r="R43" s="289"/>
      <c r="S43" s="1258">
        <f>INDEX(PT_DIFFERENTIATION_NUM_NTAR,MATCH(A43,PT_DIFFERENTIATION_NTAR_ID,0))</f>
        <v>0</v>
      </c>
      <c r="T43" s="233"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208</v>
      </c>
      <c r="B44" s="1285" t="s">
        <v>209</v>
      </c>
      <c r="C44" s="1285"/>
      <c r="D44" s="1285"/>
      <c r="E44" s="3738"/>
      <c r="F44" s="3737">
        <v>1</v>
      </c>
      <c r="G44" s="1285"/>
      <c r="H44" s="1285"/>
      <c r="I44" s="1285"/>
      <c r="J44" s="1285"/>
      <c r="K44" s="1285"/>
      <c r="L44" s="1286"/>
      <c r="M44" s="1287"/>
      <c r="N44" s="1287"/>
      <c r="O44" s="1287"/>
      <c r="P44" s="1254"/>
      <c r="Q44" s="286"/>
      <c r="R44" s="287"/>
      <c r="S44" s="1258" t="str">
        <f>INDEX(PT_DIFFERENTIATION_NUM_TER,MATCH(B44,PT_DIFFERENTIATION_TER_ID,0))</f>
        <v>.</v>
      </c>
      <c r="T44" s="243"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434"/>
      <c r="AP44" s="434" t="str">
        <f t="shared" si="1"/>
        <v>Территория действия тарифа</v>
      </c>
      <c r="AQ44" s="434"/>
      <c r="AR44" s="434"/>
      <c r="AS44" s="1077">
        <v>21</v>
      </c>
    </row>
    <row r="45" spans="1:45" ht="24" customHeight="1">
      <c r="A45" s="1285" t="s">
        <v>208</v>
      </c>
      <c r="B45" s="1285" t="s">
        <v>209</v>
      </c>
      <c r="C45" s="1285" t="s">
        <v>210</v>
      </c>
      <c r="D45" s="1285"/>
      <c r="E45" s="3738"/>
      <c r="F45" s="3738"/>
      <c r="G45" s="3737">
        <v>1</v>
      </c>
      <c r="H45" s="1285"/>
      <c r="I45" s="1285"/>
      <c r="J45" s="1285"/>
      <c r="K45" s="1285"/>
      <c r="L45" s="1286"/>
      <c r="M45" s="1287"/>
      <c r="N45" s="1287"/>
      <c r="O45" s="1287"/>
      <c r="P45" s="288"/>
      <c r="Q45" s="286"/>
      <c r="R45" s="287"/>
      <c r="S45" s="1258"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434"/>
      <c r="AP45" s="434" t="str">
        <f t="shared" si="1"/>
        <v xml:space="preserve">Наименование системы теплоснабжения </v>
      </c>
      <c r="AQ45" s="434"/>
      <c r="AR45" s="434"/>
      <c r="AS45" s="1077">
        <v>23</v>
      </c>
    </row>
    <row r="46" spans="1:45" ht="21.95" customHeight="1">
      <c r="A46" s="1285" t="s">
        <v>208</v>
      </c>
      <c r="B46" s="1285" t="s">
        <v>209</v>
      </c>
      <c r="C46" s="1285" t="s">
        <v>210</v>
      </c>
      <c r="D46" s="1285" t="s">
        <v>211</v>
      </c>
      <c r="E46" s="3738"/>
      <c r="F46" s="3738"/>
      <c r="G46" s="3738"/>
      <c r="H46" s="3737">
        <v>1</v>
      </c>
      <c r="I46" s="1285"/>
      <c r="J46" s="1285"/>
      <c r="K46" s="1285"/>
      <c r="L46" s="1286"/>
      <c r="M46" s="1287"/>
      <c r="N46" s="1287"/>
      <c r="O46" s="1287"/>
      <c r="P46" s="288"/>
      <c r="Q46" s="286"/>
      <c r="R46" s="287"/>
      <c r="S46" s="1258"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434"/>
      <c r="AP46" s="434" t="str">
        <f t="shared" si="1"/>
        <v xml:space="preserve">Источник тепловой энергии  </v>
      </c>
      <c r="AQ46" s="434"/>
      <c r="AR46" s="434"/>
      <c r="AS46" s="1077">
        <v>21</v>
      </c>
    </row>
    <row r="47" spans="1:45" ht="49.5" customHeight="1">
      <c r="A47" s="1285" t="s">
        <v>208</v>
      </c>
      <c r="B47" s="1285" t="s">
        <v>209</v>
      </c>
      <c r="C47" s="1285" t="s">
        <v>210</v>
      </c>
      <c r="D47" s="1285" t="s">
        <v>211</v>
      </c>
      <c r="E47" s="3738"/>
      <c r="F47" s="3738"/>
      <c r="G47" s="3738"/>
      <c r="H47" s="3738"/>
      <c r="I47" s="3735" t="str">
        <f>S46&amp;".1"</f>
        <v>....1</v>
      </c>
      <c r="J47" s="1285"/>
      <c r="K47" s="1285"/>
      <c r="L47" s="1286" t="s">
        <v>448</v>
      </c>
      <c r="P47" s="3736">
        <v>1</v>
      </c>
      <c r="Q47" s="1253"/>
      <c r="R47" s="290"/>
      <c r="S47" s="1258" t="str">
        <f>$I47</f>
        <v>....1</v>
      </c>
      <c r="T47" s="220" t="s">
        <v>449</v>
      </c>
      <c r="U47" s="235"/>
      <c r="V47" s="3726"/>
      <c r="W47" s="3727"/>
      <c r="X47" s="3727"/>
      <c r="Y47" s="3727"/>
      <c r="Z47" s="3727"/>
      <c r="AA47" s="3727"/>
      <c r="AB47" s="3727"/>
      <c r="AC47" s="3728"/>
      <c r="AD47" s="3726"/>
      <c r="AE47" s="3727"/>
      <c r="AF47" s="3727"/>
      <c r="AG47" s="3727"/>
      <c r="AH47" s="3727"/>
      <c r="AI47" s="3727"/>
      <c r="AJ47" s="3727"/>
      <c r="AK47" s="3727"/>
      <c r="AL47" s="3728"/>
      <c r="AM47" s="1180" t="s">
        <v>450</v>
      </c>
      <c r="AO47" s="434"/>
      <c r="AP47" s="434" t="str">
        <f t="shared" si="1"/>
        <v>Схема подключения теплопотребляющей установки к коллектору источника тепловой энергии</v>
      </c>
      <c r="AQ47" s="434"/>
      <c r="AR47" s="434"/>
      <c r="AS47" s="1077">
        <v>47</v>
      </c>
    </row>
    <row r="48" spans="1:45" ht="21.95" customHeight="1">
      <c r="A48" s="1285" t="s">
        <v>208</v>
      </c>
      <c r="B48" s="1285" t="s">
        <v>209</v>
      </c>
      <c r="C48" s="1285" t="s">
        <v>210</v>
      </c>
      <c r="D48" s="1285" t="s">
        <v>211</v>
      </c>
      <c r="E48" s="3738"/>
      <c r="F48" s="3738"/>
      <c r="G48" s="3738"/>
      <c r="H48" s="3738"/>
      <c r="I48" s="3758"/>
      <c r="J48" s="3735" t="str">
        <f>I47&amp;".1"</f>
        <v>....1.1</v>
      </c>
      <c r="K48" s="1285"/>
      <c r="L48" s="1286" t="s">
        <v>451</v>
      </c>
      <c r="P48" s="3736"/>
      <c r="Q48" s="3736">
        <v>1</v>
      </c>
      <c r="R48" s="291"/>
      <c r="S48" s="1258" t="str">
        <f>$J48</f>
        <v>....1.1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434"/>
      <c r="AP48" s="434" t="str">
        <f t="shared" si="1"/>
        <v>Группа потребителей</v>
      </c>
      <c r="AQ48" s="434"/>
      <c r="AR48" s="434"/>
      <c r="AS48" s="1077">
        <v>21</v>
      </c>
    </row>
    <row r="49" spans="1:45" ht="21.95" customHeight="1">
      <c r="A49" s="1285" t="s">
        <v>208</v>
      </c>
      <c r="B49" s="1285" t="s">
        <v>209</v>
      </c>
      <c r="C49" s="1285" t="s">
        <v>210</v>
      </c>
      <c r="D49" s="1285" t="s">
        <v>211</v>
      </c>
      <c r="E49" s="3738"/>
      <c r="F49" s="3738"/>
      <c r="G49" s="3738"/>
      <c r="H49" s="3738"/>
      <c r="I49" s="3758"/>
      <c r="J49" s="3758"/>
      <c r="K49" s="3735" t="str">
        <f>J48&amp;".1"</f>
        <v>....1.1.1</v>
      </c>
      <c r="L49" s="1286" t="s">
        <v>454</v>
      </c>
      <c r="P49" s="3736"/>
      <c r="Q49" s="3736"/>
      <c r="R49" s="291">
        <v>1</v>
      </c>
      <c r="S49" s="1258" t="str">
        <f>$K49</f>
        <v>....1.1.1</v>
      </c>
      <c r="T49" s="1269"/>
      <c r="U49" s="235"/>
      <c r="V49" s="685"/>
      <c r="W49" s="260"/>
      <c r="X49" s="685"/>
      <c r="Y49" s="1179"/>
      <c r="Z49" s="3740"/>
      <c r="AA49" s="3599" t="s">
        <v>50</v>
      </c>
      <c r="AB49" s="3740"/>
      <c r="AC49" s="3599" t="s">
        <v>50</v>
      </c>
      <c r="AD49" s="685"/>
      <c r="AE49" s="260"/>
      <c r="AF49" s="685"/>
      <c r="AG49" s="1179"/>
      <c r="AH49" s="3740"/>
      <c r="AI49" s="3599" t="s">
        <v>50</v>
      </c>
      <c r="AJ49" s="3759"/>
      <c r="AK49" s="3599" t="s">
        <v>50</v>
      </c>
      <c r="AL49" s="1270"/>
      <c r="AM49" s="3732" t="s">
        <v>455</v>
      </c>
      <c r="AN49" s="445" t="e">
        <f ca="1">STRCHECKDATE(V50:AL50)</f>
        <v>#NAME?</v>
      </c>
      <c r="AO49" s="434"/>
      <c r="AP49" s="434" t="str">
        <f t="shared" si="1"/>
        <v/>
      </c>
      <c r="AQ49" s="434"/>
      <c r="AR49" s="434"/>
      <c r="AS49" s="1077">
        <v>21</v>
      </c>
    </row>
    <row r="50" spans="1:45" ht="1.1499999999999999" customHeight="1">
      <c r="A50" s="1285" t="s">
        <v>208</v>
      </c>
      <c r="B50" s="1285" t="s">
        <v>209</v>
      </c>
      <c r="C50" s="1285" t="s">
        <v>210</v>
      </c>
      <c r="D50" s="1285" t="s">
        <v>211</v>
      </c>
      <c r="E50" s="3738"/>
      <c r="F50" s="3738"/>
      <c r="G50" s="3738"/>
      <c r="H50" s="3738"/>
      <c r="I50" s="3758"/>
      <c r="J50" s="3758"/>
      <c r="K50" s="3735"/>
      <c r="L50" s="1286"/>
      <c r="P50" s="3736"/>
      <c r="Q50" s="3736"/>
      <c r="R50" s="291"/>
      <c r="S50" s="1264"/>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434"/>
      <c r="AP50" s="434" t="str">
        <f t="shared" si="1"/>
        <v/>
      </c>
      <c r="AQ50" s="434"/>
      <c r="AR50" s="434"/>
      <c r="AS50" s="1077">
        <v>1</v>
      </c>
    </row>
    <row r="51" spans="1:45" ht="11.45" customHeight="1">
      <c r="A51" s="1285" t="s">
        <v>208</v>
      </c>
      <c r="B51" s="1285" t="s">
        <v>209</v>
      </c>
      <c r="C51" s="1285" t="s">
        <v>210</v>
      </c>
      <c r="D51" s="1285" t="s">
        <v>211</v>
      </c>
      <c r="E51" s="3738"/>
      <c r="F51" s="3738"/>
      <c r="G51" s="3738"/>
      <c r="H51" s="3738"/>
      <c r="I51" s="3758"/>
      <c r="J51" s="3735"/>
      <c r="K51" s="1285"/>
      <c r="L51" s="1286"/>
      <c r="P51" s="3736"/>
      <c r="Q51" s="3736"/>
      <c r="R51" s="290"/>
      <c r="S51" s="1200"/>
      <c r="T51" s="223" t="s">
        <v>456</v>
      </c>
      <c r="U51" s="301"/>
      <c r="V51" s="301"/>
      <c r="W51" s="301"/>
      <c r="X51" s="301"/>
      <c r="Y51" s="301"/>
      <c r="Z51" s="301"/>
      <c r="AA51" s="301"/>
      <c r="AB51" s="301"/>
      <c r="AC51" s="301"/>
      <c r="AD51" s="301"/>
      <c r="AE51" s="301"/>
      <c r="AF51" s="301"/>
      <c r="AG51" s="301"/>
      <c r="AH51" s="301"/>
      <c r="AI51" s="301"/>
      <c r="AJ51" s="301"/>
      <c r="AK51" s="301"/>
      <c r="AL51" s="259"/>
      <c r="AM51" s="3734"/>
      <c r="AO51" s="434"/>
      <c r="AP51" s="434" t="str">
        <f t="shared" si="1"/>
        <v>Добавить вид теплоносителя (параметры теплоносителя)</v>
      </c>
      <c r="AQ51" s="434"/>
      <c r="AR51" s="434"/>
      <c r="AS51" s="1077">
        <v>11</v>
      </c>
    </row>
    <row r="52" spans="1:45" ht="11.45" customHeight="1">
      <c r="A52" s="1285" t="s">
        <v>208</v>
      </c>
      <c r="B52" s="1285" t="s">
        <v>209</v>
      </c>
      <c r="C52" s="1285" t="s">
        <v>210</v>
      </c>
      <c r="D52" s="1285" t="s">
        <v>211</v>
      </c>
      <c r="E52" s="3738"/>
      <c r="F52" s="3738"/>
      <c r="G52" s="3738"/>
      <c r="H52" s="3738"/>
      <c r="I52" s="3735"/>
      <c r="J52" s="1285"/>
      <c r="K52" s="1285"/>
      <c r="L52" s="1286"/>
      <c r="P52" s="3736"/>
      <c r="Q52" s="1253"/>
      <c r="R52" s="290"/>
      <c r="S52" s="1200"/>
      <c r="T52" s="222" t="s">
        <v>457</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14.65" customHeight="1">
      <c r="A53" s="1285" t="s">
        <v>208</v>
      </c>
      <c r="B53" s="1285" t="s">
        <v>209</v>
      </c>
      <c r="C53" s="1285" t="s">
        <v>210</v>
      </c>
      <c r="D53" s="1285" t="s">
        <v>211</v>
      </c>
      <c r="E53" s="3738"/>
      <c r="F53" s="3738"/>
      <c r="G53" s="3738"/>
      <c r="H53" s="3737"/>
      <c r="I53" s="1285"/>
      <c r="J53" s="1285"/>
      <c r="K53" s="1285"/>
      <c r="L53" s="1286"/>
      <c r="M53" s="1287"/>
      <c r="N53" s="1287"/>
      <c r="O53" s="471"/>
      <c r="P53" s="294"/>
      <c r="Q53" s="309"/>
      <c r="R53" s="289"/>
      <c r="S53" s="1200"/>
      <c r="T53" s="299" t="s">
        <v>458</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7">
        <v>14</v>
      </c>
    </row>
    <row r="54" spans="1:45" s="1564" customFormat="1" ht="1.1499999999999999" customHeight="1">
      <c r="A54" s="1265" t="s">
        <v>208</v>
      </c>
      <c r="B54" s="1265" t="s">
        <v>209</v>
      </c>
      <c r="C54" s="1265" t="s">
        <v>210</v>
      </c>
      <c r="D54" s="1236"/>
      <c r="E54" s="3738"/>
      <c r="F54" s="3738"/>
      <c r="G54" s="3737"/>
      <c r="H54" s="1236"/>
      <c r="I54" s="1236"/>
      <c r="J54" s="1236"/>
      <c r="K54" s="1236"/>
      <c r="L54" s="1261"/>
      <c r="M54" s="1237"/>
      <c r="N54" s="1237"/>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208</v>
      </c>
      <c r="B55" s="1265" t="s">
        <v>209</v>
      </c>
      <c r="C55" s="1236"/>
      <c r="D55" s="1236"/>
      <c r="E55" s="3738"/>
      <c r="F55" s="3737"/>
      <c r="G55" s="1236"/>
      <c r="H55" s="1236"/>
      <c r="I55" s="1236"/>
      <c r="J55" s="1236"/>
      <c r="K55" s="1236"/>
      <c r="L55" s="1261"/>
      <c r="M55" s="1243"/>
      <c r="N55" s="1243"/>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208</v>
      </c>
      <c r="B56" s="1265"/>
      <c r="C56" s="1265"/>
      <c r="D56" s="1265"/>
      <c r="E56" s="3737"/>
      <c r="F56" s="1265"/>
      <c r="G56" s="1265"/>
      <c r="H56" s="1265"/>
      <c r="I56" s="1265"/>
      <c r="J56" s="1265"/>
      <c r="K56" s="1265"/>
      <c r="L56" s="1268"/>
      <c r="M56" s="1243"/>
      <c r="N56" s="1243"/>
      <c r="O56" s="452"/>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8.5" customHeight="1">
      <c r="O59" s="471"/>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077">
        <v>27</v>
      </c>
    </row>
    <row r="60" spans="1:45" ht="65.25" customHeight="1">
      <c r="O60" s="471"/>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077">
        <v>62</v>
      </c>
    </row>
    <row r="61" spans="1:45" ht="14.65" customHeight="1">
      <c r="O61" s="471"/>
      <c r="AS61" s="1077">
        <v>14</v>
      </c>
    </row>
    <row r="62" spans="1:45" ht="18.75" customHeight="1">
      <c r="O62" s="471"/>
      <c r="S62" s="1175"/>
      <c r="T62" s="3757"/>
      <c r="U62" s="3757"/>
      <c r="V62" s="3757"/>
      <c r="W62" s="3757"/>
      <c r="X62" s="3757"/>
      <c r="Y62" s="3757"/>
      <c r="Z62" s="3757"/>
      <c r="AA62" s="3757"/>
      <c r="AB62" s="3757"/>
      <c r="AC62" s="3757"/>
      <c r="AD62" s="3757"/>
      <c r="AE62" s="3757"/>
      <c r="AF62" s="3757"/>
      <c r="AG62" s="3757"/>
      <c r="AH62" s="3757"/>
      <c r="AI62" s="3757"/>
      <c r="AJ62" s="3757"/>
      <c r="AK62" s="3757"/>
      <c r="AL62" s="3757"/>
      <c r="AM62" s="3757"/>
      <c r="AS62" s="1077">
        <v>18</v>
      </c>
    </row>
    <row r="63" spans="1:45" ht="18.75" customHeight="1">
      <c r="O63" s="471"/>
      <c r="T63" s="3757"/>
      <c r="U63" s="3757"/>
      <c r="V63" s="3757"/>
      <c r="W63" s="3757"/>
      <c r="X63" s="3757"/>
      <c r="Y63" s="3757"/>
      <c r="Z63" s="3757"/>
      <c r="AA63" s="3757"/>
      <c r="AB63" s="3757"/>
      <c r="AC63" s="3757"/>
      <c r="AD63" s="3757"/>
      <c r="AE63" s="3757"/>
      <c r="AF63" s="3757"/>
      <c r="AG63" s="3757"/>
      <c r="AH63" s="3757"/>
      <c r="AI63" s="3757"/>
      <c r="AJ63" s="3757"/>
      <c r="AK63" s="3757"/>
      <c r="AL63" s="3757"/>
      <c r="AM63" s="3757"/>
      <c r="AS63" s="1077">
        <v>18</v>
      </c>
    </row>
    <row r="64" spans="1:45" ht="29.25" customHeight="1">
      <c r="O64" s="471"/>
      <c r="S64" s="1175"/>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077">
        <v>28</v>
      </c>
    </row>
    <row r="65" spans="1:45" ht="22.5" hidden="1" customHeight="1">
      <c r="A65" s="1082" t="s">
        <v>70</v>
      </c>
      <c r="B65" s="1082">
        <v>0</v>
      </c>
      <c r="C65" s="1082">
        <v>0</v>
      </c>
      <c r="D65" s="1082">
        <v>0</v>
      </c>
      <c r="E65" s="1082">
        <v>0</v>
      </c>
      <c r="F65" s="1082">
        <v>0</v>
      </c>
      <c r="G65" s="1082">
        <v>0</v>
      </c>
      <c r="H65" s="1082">
        <v>0</v>
      </c>
      <c r="I65" s="1082">
        <v>0</v>
      </c>
      <c r="J65" s="1082">
        <v>0</v>
      </c>
      <c r="K65" s="1082">
        <v>0</v>
      </c>
      <c r="L65" s="1251">
        <v>0</v>
      </c>
      <c r="M65" s="1284">
        <v>0</v>
      </c>
      <c r="N65" s="1284">
        <v>0</v>
      </c>
      <c r="O65" s="1284">
        <v>0</v>
      </c>
      <c r="P65" s="1250">
        <v>3</v>
      </c>
      <c r="Q65" s="279">
        <v>3</v>
      </c>
      <c r="R65" s="279">
        <v>3</v>
      </c>
      <c r="S65" s="515">
        <v>12</v>
      </c>
      <c r="T65" s="1077">
        <v>31</v>
      </c>
      <c r="U65" s="1077">
        <v>0</v>
      </c>
      <c r="V65" s="1077">
        <v>0</v>
      </c>
      <c r="W65" s="1077">
        <v>0</v>
      </c>
      <c r="X65" s="1077">
        <v>0</v>
      </c>
      <c r="Y65" s="1077">
        <v>0</v>
      </c>
      <c r="Z65" s="1077">
        <v>0</v>
      </c>
      <c r="AA65" s="1077">
        <v>0</v>
      </c>
      <c r="AB65" s="1077">
        <v>0</v>
      </c>
      <c r="AC65" s="1077">
        <v>0</v>
      </c>
      <c r="AD65" s="1077">
        <v>24</v>
      </c>
      <c r="AE65" s="1077">
        <v>0</v>
      </c>
      <c r="AF65" s="1077">
        <v>24</v>
      </c>
      <c r="AG65" s="1077">
        <v>24</v>
      </c>
      <c r="AH65" s="1077">
        <v>11</v>
      </c>
      <c r="AI65" s="1077">
        <v>3</v>
      </c>
      <c r="AJ65" s="1077">
        <v>11</v>
      </c>
      <c r="AK65" s="1077">
        <v>0</v>
      </c>
      <c r="AL65" s="1077">
        <v>4</v>
      </c>
      <c r="AM65" s="1077">
        <v>115</v>
      </c>
      <c r="AN65" s="445">
        <v>10</v>
      </c>
      <c r="AO65" s="445">
        <v>10</v>
      </c>
      <c r="AP65" s="445">
        <v>10</v>
      </c>
      <c r="AQ65" s="445">
        <v>10</v>
      </c>
      <c r="AR65" s="445">
        <v>10</v>
      </c>
      <c r="AS65" s="1077">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1" width="11.42578125" style="1557" hidden="1" customWidth="1"/>
    <col min="12" max="12" width="19.140625" style="1985" hidden="1" customWidth="1"/>
    <col min="13" max="14" width="12.28515625" style="1991" hidden="1" customWidth="1"/>
    <col min="15" max="15" width="23.42578125" style="1991" hidden="1" customWidth="1"/>
    <col min="16" max="16" width="3" style="1991" customWidth="1"/>
    <col min="17" max="18" width="3" style="279" customWidth="1"/>
    <col min="19" max="19" width="12" style="1992"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S1" s="1553" t="s">
        <v>1</v>
      </c>
    </row>
    <row r="2" spans="1:45" ht="21" hidden="1" customHeight="1">
      <c r="A2" s="1189"/>
      <c r="B2" s="1189"/>
      <c r="C2" s="1189"/>
      <c r="D2" s="1189"/>
      <c r="E2" s="3761">
        <v>1</v>
      </c>
      <c r="F2" s="1189"/>
      <c r="G2" s="1189"/>
      <c r="H2" s="1189"/>
      <c r="I2" s="1189"/>
      <c r="J2" s="1189"/>
      <c r="K2" s="1189"/>
      <c r="L2" s="1232"/>
      <c r="M2" s="1532"/>
      <c r="N2" s="1532"/>
      <c r="O2" s="1532"/>
      <c r="P2" s="1512"/>
      <c r="Q2" s="294"/>
      <c r="R2" s="289"/>
      <c r="S2" s="1844" t="e">
        <f>INDEX(PT_DIFFERENTIATION_NUM_NTAR,MATCH(A2,PT_DIFFERENTIATION_NTAR_ID,0))</f>
        <v>#N/A</v>
      </c>
      <c r="T2" s="1447"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1546"/>
      <c r="AP2" s="1546" t="str">
        <f t="shared" ref="AP2:AP15" si="0">IF(T2="","",T2)</f>
        <v>Наименование тарифа</v>
      </c>
      <c r="AQ2" s="1546"/>
      <c r="AR2" s="1546"/>
      <c r="AS2" s="1553">
        <v>0</v>
      </c>
    </row>
    <row r="3" spans="1:45" ht="21" hidden="1" customHeight="1">
      <c r="A3" s="1189"/>
      <c r="B3" s="1189"/>
      <c r="C3" s="1189"/>
      <c r="D3" s="1189"/>
      <c r="E3" s="3762"/>
      <c r="F3" s="3761">
        <v>1</v>
      </c>
      <c r="G3" s="1189"/>
      <c r="H3" s="1189"/>
      <c r="I3" s="1189"/>
      <c r="J3" s="1189"/>
      <c r="K3" s="1189"/>
      <c r="L3" s="1232"/>
      <c r="M3" s="1532"/>
      <c r="N3" s="1532"/>
      <c r="O3" s="1532"/>
      <c r="P3" s="1826"/>
      <c r="Q3" s="286"/>
      <c r="R3" s="287"/>
      <c r="S3" s="1844" t="e">
        <f>INDEX(PT_DIFFERENTIATION_NUM_TER,MATCH(B3,PT_DIFFERENTIATION_TER_ID,0))</f>
        <v>#N/A</v>
      </c>
      <c r="T3" s="1444"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1546"/>
      <c r="AP3" s="1546" t="str">
        <f t="shared" si="0"/>
        <v>Территория действия тарифа</v>
      </c>
      <c r="AQ3" s="1546"/>
      <c r="AR3" s="1546"/>
      <c r="AS3" s="1553">
        <v>0</v>
      </c>
    </row>
    <row r="4" spans="1:45" ht="23.25" hidden="1" customHeight="1">
      <c r="A4" s="1189"/>
      <c r="B4" s="1189"/>
      <c r="C4" s="1189"/>
      <c r="D4" s="1189"/>
      <c r="E4" s="3762"/>
      <c r="F4" s="3762"/>
      <c r="G4" s="3761">
        <v>1</v>
      </c>
      <c r="H4" s="1189"/>
      <c r="I4" s="1189"/>
      <c r="J4" s="1189"/>
      <c r="K4" s="1189"/>
      <c r="L4" s="1232"/>
      <c r="M4" s="1532"/>
      <c r="N4" s="1532"/>
      <c r="O4" s="1532"/>
      <c r="P4" s="288"/>
      <c r="Q4" s="286"/>
      <c r="R4" s="287"/>
      <c r="S4" s="1844" t="e">
        <f>INDEX(PT_DIFFERENTIATION_NUM_CS,MATCH(C4,PT_DIFFERENTIATION_CS_ID,0))</f>
        <v>#N/A</v>
      </c>
      <c r="T4" s="244" t="s">
        <v>444</v>
      </c>
      <c r="U4" s="235"/>
      <c r="V4" s="3723"/>
      <c r="W4" s="3724"/>
      <c r="X4" s="3724"/>
      <c r="Y4" s="3724"/>
      <c r="Z4" s="3724"/>
      <c r="AA4" s="3724"/>
      <c r="AB4" s="3724"/>
      <c r="AC4" s="3725"/>
      <c r="AD4" s="3723" t="e">
        <f>INDEX(PT_DIFFERENTIATION_CS,MATCH(C4,PT_DIFFERENTIATION_CS_ID,0))</f>
        <v>#N/A</v>
      </c>
      <c r="AE4" s="3724"/>
      <c r="AF4" s="3724"/>
      <c r="AG4" s="3724"/>
      <c r="AH4" s="3724"/>
      <c r="AI4" s="3724"/>
      <c r="AJ4" s="3724"/>
      <c r="AK4" s="3724"/>
      <c r="AL4" s="3725"/>
      <c r="AM4" s="1180" t="s">
        <v>445</v>
      </c>
      <c r="AO4" s="1546"/>
      <c r="AP4" s="1546" t="str">
        <f t="shared" si="0"/>
        <v xml:space="preserve">Наименование системы теплоснабжения </v>
      </c>
      <c r="AQ4" s="1546"/>
      <c r="AR4" s="1546"/>
      <c r="AS4" s="1553">
        <v>0</v>
      </c>
    </row>
    <row r="5" spans="1:45" ht="21" hidden="1" customHeight="1">
      <c r="A5" s="1189"/>
      <c r="B5" s="1189"/>
      <c r="C5" s="1189"/>
      <c r="D5" s="1189"/>
      <c r="E5" s="3762"/>
      <c r="F5" s="3762"/>
      <c r="G5" s="3762"/>
      <c r="H5" s="3761">
        <v>1</v>
      </c>
      <c r="I5" s="1189"/>
      <c r="J5" s="1189"/>
      <c r="K5" s="1189"/>
      <c r="L5" s="1232"/>
      <c r="M5" s="1532"/>
      <c r="N5" s="1532"/>
      <c r="O5" s="1532"/>
      <c r="P5" s="288"/>
      <c r="Q5" s="286"/>
      <c r="R5" s="287"/>
      <c r="S5" s="1844" t="e">
        <f>INDEX(PT_DIFFERENTIATION_NUM_IST_TE,MATCH(D5,PT_DIFFERENTIATION_IST_TE_ID,0))</f>
        <v>#N/A</v>
      </c>
      <c r="T5" s="245" t="s">
        <v>446</v>
      </c>
      <c r="U5" s="235"/>
      <c r="V5" s="3723"/>
      <c r="W5" s="3724"/>
      <c r="X5" s="3724"/>
      <c r="Y5" s="3724"/>
      <c r="Z5" s="3724"/>
      <c r="AA5" s="3724"/>
      <c r="AB5" s="3724"/>
      <c r="AC5" s="3725"/>
      <c r="AD5" s="3723" t="e">
        <f>INDEX(PT_DIFFERENTIATION_IST_TE,MATCH(D5,PT_DIFFERENTIATION_IST_TE_ID,0))</f>
        <v>#N/A</v>
      </c>
      <c r="AE5" s="3724"/>
      <c r="AF5" s="3724"/>
      <c r="AG5" s="3724"/>
      <c r="AH5" s="3724"/>
      <c r="AI5" s="3724"/>
      <c r="AJ5" s="3724"/>
      <c r="AK5" s="3724"/>
      <c r="AL5" s="3725"/>
      <c r="AM5" s="1180" t="s">
        <v>447</v>
      </c>
      <c r="AO5" s="1546"/>
      <c r="AP5" s="1546" t="str">
        <f t="shared" si="0"/>
        <v xml:space="preserve">Источник тепловой энергии  </v>
      </c>
      <c r="AQ5" s="1546"/>
      <c r="AR5" s="1546"/>
      <c r="AS5" s="1553">
        <v>0</v>
      </c>
    </row>
    <row r="6" spans="1:45" ht="47.25" hidden="1" customHeight="1">
      <c r="A6" s="1189"/>
      <c r="B6" s="1189"/>
      <c r="C6" s="1189"/>
      <c r="D6" s="1189"/>
      <c r="E6" s="3762"/>
      <c r="F6" s="3762"/>
      <c r="G6" s="3762"/>
      <c r="H6" s="3762"/>
      <c r="I6" s="3618" t="e">
        <f>S5&amp;".1"</f>
        <v>#N/A</v>
      </c>
      <c r="J6" s="1189"/>
      <c r="K6" s="1189"/>
      <c r="L6" s="1232" t="s">
        <v>448</v>
      </c>
      <c r="M6" s="1557"/>
      <c r="P6" s="3736">
        <v>1</v>
      </c>
      <c r="Q6" s="1840"/>
      <c r="R6" s="290"/>
      <c r="S6" s="1844" t="e">
        <f>$I6</f>
        <v>#N/A</v>
      </c>
      <c r="T6" s="220" t="s">
        <v>449</v>
      </c>
      <c r="U6" s="235"/>
      <c r="V6" s="3726"/>
      <c r="W6" s="3727"/>
      <c r="X6" s="3727"/>
      <c r="Y6" s="3727"/>
      <c r="Z6" s="3727"/>
      <c r="AA6" s="3727"/>
      <c r="AB6" s="3727"/>
      <c r="AC6" s="3728"/>
      <c r="AD6" s="3726"/>
      <c r="AE6" s="3727"/>
      <c r="AF6" s="3727"/>
      <c r="AG6" s="3727"/>
      <c r="AH6" s="3727"/>
      <c r="AI6" s="3727"/>
      <c r="AJ6" s="3727"/>
      <c r="AK6" s="3727"/>
      <c r="AL6" s="3728"/>
      <c r="AM6" s="1180" t="s">
        <v>450</v>
      </c>
      <c r="AO6" s="1546"/>
      <c r="AP6" s="1546" t="str">
        <f t="shared" si="0"/>
        <v>Схема подключения теплопотребляющей установки к коллектору источника тепловой энергии</v>
      </c>
      <c r="AQ6" s="1546"/>
      <c r="AR6" s="1546"/>
      <c r="AS6" s="1553">
        <v>0</v>
      </c>
    </row>
    <row r="7" spans="1:45" ht="21" hidden="1" customHeight="1">
      <c r="A7" s="1189"/>
      <c r="B7" s="1189"/>
      <c r="C7" s="1189"/>
      <c r="D7" s="1189"/>
      <c r="E7" s="3762"/>
      <c r="F7" s="3762"/>
      <c r="G7" s="3762"/>
      <c r="H7" s="3762"/>
      <c r="I7" s="3589"/>
      <c r="J7" s="3618" t="e">
        <f>I6&amp;".1"</f>
        <v>#N/A</v>
      </c>
      <c r="K7" s="1189"/>
      <c r="L7" s="1232" t="s">
        <v>451</v>
      </c>
      <c r="M7" s="1557"/>
      <c r="N7" s="1553"/>
      <c r="P7" s="3736"/>
      <c r="Q7" s="3736">
        <v>1</v>
      </c>
      <c r="R7" s="291"/>
      <c r="S7" s="1844" t="e">
        <f>$J7</f>
        <v>#N/A</v>
      </c>
      <c r="T7" s="221" t="s">
        <v>452</v>
      </c>
      <c r="U7" s="235"/>
      <c r="V7" s="3726"/>
      <c r="W7" s="3727"/>
      <c r="X7" s="3727"/>
      <c r="Y7" s="3727"/>
      <c r="Z7" s="3727"/>
      <c r="AA7" s="3727"/>
      <c r="AB7" s="3727"/>
      <c r="AC7" s="3728"/>
      <c r="AD7" s="3726"/>
      <c r="AE7" s="3727"/>
      <c r="AF7" s="3727"/>
      <c r="AG7" s="3727"/>
      <c r="AH7" s="3727"/>
      <c r="AI7" s="3727"/>
      <c r="AJ7" s="3727"/>
      <c r="AK7" s="3727"/>
      <c r="AL7" s="3728"/>
      <c r="AM7" s="1180" t="s">
        <v>453</v>
      </c>
      <c r="AO7" s="1546"/>
      <c r="AP7" s="1546" t="str">
        <f t="shared" si="0"/>
        <v>Группа потребителей</v>
      </c>
      <c r="AQ7" s="1546"/>
      <c r="AR7" s="1546"/>
      <c r="AS7" s="1553">
        <v>0</v>
      </c>
    </row>
    <row r="8" spans="1:45" ht="21" hidden="1" customHeight="1">
      <c r="A8" s="1189"/>
      <c r="B8" s="1189"/>
      <c r="C8" s="1189"/>
      <c r="D8" s="1189"/>
      <c r="E8" s="3762"/>
      <c r="F8" s="3762"/>
      <c r="G8" s="3762"/>
      <c r="H8" s="3762"/>
      <c r="I8" s="3589"/>
      <c r="J8" s="3589"/>
      <c r="K8" s="3618" t="e">
        <f>J7&amp;".1"</f>
        <v>#N/A</v>
      </c>
      <c r="L8" s="1232" t="s">
        <v>454</v>
      </c>
      <c r="M8" s="1557"/>
      <c r="N8" s="1553"/>
      <c r="O8" s="1553"/>
      <c r="P8" s="3736"/>
      <c r="Q8" s="3736"/>
      <c r="R8" s="291">
        <v>1</v>
      </c>
      <c r="S8" s="1844" t="e">
        <f>$K8</f>
        <v>#N/A</v>
      </c>
      <c r="T8" s="1269"/>
      <c r="U8" s="235"/>
      <c r="V8" s="685"/>
      <c r="W8" s="260"/>
      <c r="X8" s="685"/>
      <c r="Y8" s="1179"/>
      <c r="Z8" s="3740"/>
      <c r="AA8" s="3599" t="s">
        <v>50</v>
      </c>
      <c r="AB8" s="3740"/>
      <c r="AC8" s="3599" t="s">
        <v>50</v>
      </c>
      <c r="AD8" s="685"/>
      <c r="AE8" s="260"/>
      <c r="AF8" s="685"/>
      <c r="AG8" s="1179"/>
      <c r="AH8" s="3740"/>
      <c r="AI8" s="3599" t="s">
        <v>50</v>
      </c>
      <c r="AJ8" s="3740"/>
      <c r="AK8" s="3599" t="s">
        <v>50</v>
      </c>
      <c r="AL8" s="260"/>
      <c r="AM8" s="3732" t="s">
        <v>455</v>
      </c>
      <c r="AN8" s="1558" t="e">
        <f ca="1">STRCHECKDATE(V9:AL9)</f>
        <v>#NAME?</v>
      </c>
      <c r="AO8" s="1546"/>
      <c r="AP8" s="1546" t="str">
        <f t="shared" si="0"/>
        <v/>
      </c>
      <c r="AQ8" s="1546"/>
      <c r="AR8" s="1546"/>
      <c r="AS8" s="1553">
        <v>0</v>
      </c>
    </row>
    <row r="9" spans="1:45" ht="0.75" hidden="1" customHeight="1">
      <c r="A9" s="1189"/>
      <c r="B9" s="1189"/>
      <c r="C9" s="1189"/>
      <c r="D9" s="1189"/>
      <c r="E9" s="3762"/>
      <c r="F9" s="3762"/>
      <c r="G9" s="3762"/>
      <c r="H9" s="3762"/>
      <c r="I9" s="3589"/>
      <c r="J9" s="3589"/>
      <c r="K9" s="3618"/>
      <c r="L9" s="1232"/>
      <c r="M9" s="1557"/>
      <c r="N9" s="1553"/>
      <c r="O9" s="1553"/>
      <c r="P9" s="3736"/>
      <c r="Q9" s="3736"/>
      <c r="R9" s="291"/>
      <c r="S9" s="1853"/>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1546"/>
      <c r="AP9" s="1546" t="str">
        <f t="shared" si="0"/>
        <v/>
      </c>
      <c r="AQ9" s="1546"/>
      <c r="AR9" s="1546"/>
      <c r="AS9" s="1553">
        <v>0</v>
      </c>
    </row>
    <row r="10" spans="1:45" ht="15" hidden="1" customHeight="1">
      <c r="A10" s="1189"/>
      <c r="B10" s="1189"/>
      <c r="C10" s="1189"/>
      <c r="D10" s="1189"/>
      <c r="E10" s="3762"/>
      <c r="F10" s="3762"/>
      <c r="G10" s="3762"/>
      <c r="H10" s="3762"/>
      <c r="I10" s="3589"/>
      <c r="J10" s="3618"/>
      <c r="K10" s="1189"/>
      <c r="L10" s="1232"/>
      <c r="M10" s="1557"/>
      <c r="N10" s="1553"/>
      <c r="P10" s="3736"/>
      <c r="Q10" s="3736"/>
      <c r="R10" s="290"/>
      <c r="S10" s="1200"/>
      <c r="T10" s="223" t="s">
        <v>456</v>
      </c>
      <c r="U10" s="534"/>
      <c r="V10" s="534"/>
      <c r="W10" s="534"/>
      <c r="X10" s="534"/>
      <c r="Y10" s="534"/>
      <c r="Z10" s="534"/>
      <c r="AA10" s="534"/>
      <c r="AB10" s="534"/>
      <c r="AC10" s="534"/>
      <c r="AD10" s="534"/>
      <c r="AE10" s="534"/>
      <c r="AF10" s="534"/>
      <c r="AG10" s="534"/>
      <c r="AH10" s="534"/>
      <c r="AI10" s="534"/>
      <c r="AJ10" s="534"/>
      <c r="AK10" s="534"/>
      <c r="AL10" s="259"/>
      <c r="AM10" s="3734"/>
      <c r="AO10" s="1546"/>
      <c r="AP10" s="1546" t="str">
        <f t="shared" si="0"/>
        <v>Добавить вид теплоносителя (параметры теплоносителя)</v>
      </c>
      <c r="AQ10" s="1546"/>
      <c r="AR10" s="1546"/>
      <c r="AS10" s="1553">
        <v>0</v>
      </c>
    </row>
    <row r="11" spans="1:45" ht="15" hidden="1" customHeight="1">
      <c r="A11" s="1189"/>
      <c r="B11" s="1189"/>
      <c r="C11" s="1189"/>
      <c r="D11" s="1189"/>
      <c r="E11" s="3762"/>
      <c r="F11" s="3762"/>
      <c r="G11" s="3762"/>
      <c r="H11" s="3762"/>
      <c r="I11" s="3618"/>
      <c r="J11" s="1189"/>
      <c r="K11" s="1189"/>
      <c r="L11" s="1232"/>
      <c r="M11" s="1557"/>
      <c r="P11" s="3736"/>
      <c r="Q11" s="1840"/>
      <c r="R11" s="290"/>
      <c r="S11" s="1200"/>
      <c r="T11" s="222" t="s">
        <v>457</v>
      </c>
      <c r="U11" s="534"/>
      <c r="V11" s="534"/>
      <c r="W11" s="534"/>
      <c r="X11" s="534"/>
      <c r="Y11" s="534"/>
      <c r="Z11" s="534"/>
      <c r="AA11" s="534"/>
      <c r="AB11" s="534"/>
      <c r="AC11" s="300"/>
      <c r="AD11" s="534"/>
      <c r="AE11" s="534"/>
      <c r="AF11" s="534"/>
      <c r="AG11" s="534"/>
      <c r="AH11" s="534"/>
      <c r="AI11" s="534"/>
      <c r="AJ11" s="534"/>
      <c r="AK11" s="300"/>
      <c r="AL11" s="534"/>
      <c r="AM11" s="238"/>
      <c r="AO11" s="1546"/>
      <c r="AP11" s="1546" t="str">
        <f t="shared" si="0"/>
        <v>Добавить группу потребителей</v>
      </c>
      <c r="AQ11" s="1546"/>
      <c r="AR11" s="1546"/>
      <c r="AS11" s="1553">
        <v>0</v>
      </c>
    </row>
    <row r="12" spans="1:45" ht="14.25" hidden="1" customHeight="1">
      <c r="A12" s="1189"/>
      <c r="B12" s="1189"/>
      <c r="C12" s="1189"/>
      <c r="D12" s="1189"/>
      <c r="E12" s="3762"/>
      <c r="F12" s="3762"/>
      <c r="G12" s="3762"/>
      <c r="H12" s="3761"/>
      <c r="I12" s="1189"/>
      <c r="J12" s="1189"/>
      <c r="K12" s="1189"/>
      <c r="L12" s="1232"/>
      <c r="M12" s="1532"/>
      <c r="N12" s="1532"/>
      <c r="O12" s="1557"/>
      <c r="P12" s="294"/>
      <c r="Q12" s="309"/>
      <c r="R12" s="289"/>
      <c r="S12" s="1200"/>
      <c r="T12" s="299" t="s">
        <v>458</v>
      </c>
      <c r="U12" s="534"/>
      <c r="V12" s="534"/>
      <c r="W12" s="534"/>
      <c r="X12" s="534"/>
      <c r="Y12" s="534"/>
      <c r="Z12" s="534"/>
      <c r="AA12" s="534"/>
      <c r="AB12" s="534"/>
      <c r="AC12" s="300"/>
      <c r="AD12" s="534"/>
      <c r="AE12" s="534"/>
      <c r="AF12" s="534"/>
      <c r="AG12" s="534"/>
      <c r="AH12" s="534"/>
      <c r="AI12" s="534"/>
      <c r="AJ12" s="534"/>
      <c r="AK12" s="300"/>
      <c r="AL12" s="534"/>
      <c r="AM12" s="238"/>
      <c r="AO12" s="1546"/>
      <c r="AP12" s="1546" t="str">
        <f t="shared" si="0"/>
        <v>Добавить схему подключения</v>
      </c>
      <c r="AQ12" s="1546"/>
      <c r="AR12" s="1546"/>
      <c r="AS12" s="1553">
        <v>0</v>
      </c>
    </row>
    <row r="13" spans="1:45" s="1564" customFormat="1" ht="0.75" hidden="1" customHeight="1">
      <c r="A13" s="1296"/>
      <c r="B13" s="1296"/>
      <c r="C13" s="1296"/>
      <c r="D13" s="1296"/>
      <c r="E13" s="3762"/>
      <c r="F13" s="3762"/>
      <c r="G13" s="3761"/>
      <c r="H13" s="1296"/>
      <c r="I13" s="1296"/>
      <c r="J13" s="1296"/>
      <c r="K13" s="1296"/>
      <c r="L13" s="1299"/>
      <c r="M13" s="1300"/>
      <c r="N13" s="1300"/>
      <c r="O13" s="285"/>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1173"/>
      <c r="AP13" s="1173" t="str">
        <f t="shared" si="0"/>
        <v>Добавить источник для дифференциации</v>
      </c>
      <c r="AQ13" s="1173"/>
      <c r="AR13" s="1173"/>
      <c r="AS13" s="1564">
        <v>0</v>
      </c>
    </row>
    <row r="14" spans="1:45" s="1564" customFormat="1" ht="0.75" hidden="1" customHeight="1">
      <c r="A14" s="1296"/>
      <c r="B14" s="1296"/>
      <c r="C14" s="1296"/>
      <c r="D14" s="1296"/>
      <c r="E14" s="3762"/>
      <c r="F14" s="3761"/>
      <c r="G14" s="1296"/>
      <c r="H14" s="1296"/>
      <c r="I14" s="1296"/>
      <c r="J14" s="1296"/>
      <c r="K14" s="1296"/>
      <c r="L14" s="1299"/>
      <c r="M14" s="1301"/>
      <c r="N14" s="1301"/>
      <c r="O14" s="285"/>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1173"/>
      <c r="AP14" s="1173" t="str">
        <f t="shared" si="0"/>
        <v>Добавить централизованную систему для дифференциации</v>
      </c>
      <c r="AQ14" s="1173"/>
      <c r="AR14" s="1173"/>
      <c r="AS14" s="1564">
        <v>0</v>
      </c>
    </row>
    <row r="15" spans="1:45" s="1564" customFormat="1" ht="0.75" hidden="1" customHeight="1">
      <c r="A15" s="1296"/>
      <c r="B15" s="1296"/>
      <c r="C15" s="1296"/>
      <c r="D15" s="1296"/>
      <c r="E15" s="3761"/>
      <c r="F15" s="1296"/>
      <c r="G15" s="1296"/>
      <c r="H15" s="1296"/>
      <c r="I15" s="1296"/>
      <c r="J15" s="1296"/>
      <c r="K15" s="1296"/>
      <c r="L15" s="1299"/>
      <c r="M15" s="1301"/>
      <c r="N15" s="1301"/>
      <c r="O15" s="285"/>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1173"/>
      <c r="AP15" s="1173" t="str">
        <f t="shared" si="0"/>
        <v>Добавить территорию для дифференциации</v>
      </c>
      <c r="AQ15" s="1173"/>
      <c r="AR15" s="1173"/>
      <c r="AS15" s="1564">
        <v>0</v>
      </c>
    </row>
    <row r="16" spans="1:45" ht="14.25" hidden="1" customHeight="1">
      <c r="AS16" s="1553">
        <v>0</v>
      </c>
    </row>
    <row r="17" spans="1:45" ht="14.25" hidden="1" customHeight="1">
      <c r="AD17" s="1282"/>
      <c r="AE17" s="1282"/>
      <c r="AF17" s="1282"/>
      <c r="AG17" s="1283"/>
      <c r="AH17" s="3742"/>
      <c r="AI17" s="3743" t="s">
        <v>50</v>
      </c>
      <c r="AJ17" s="3742"/>
      <c r="AK17" s="3743" t="s">
        <v>50</v>
      </c>
      <c r="AS17" s="1553">
        <v>0</v>
      </c>
    </row>
    <row r="18" spans="1:45" ht="14.25" hidden="1" customHeight="1">
      <c r="AD18" s="1282"/>
      <c r="AE18" s="1282"/>
      <c r="AF18" s="1282"/>
      <c r="AG18" s="263" t="str">
        <f>AH17&amp;"-"&amp;AJ17</f>
        <v>-</v>
      </c>
      <c r="AH18" s="3743"/>
      <c r="AI18" s="3743"/>
      <c r="AJ18" s="3743"/>
      <c r="AK18" s="3743"/>
      <c r="AS18" s="1553">
        <v>0</v>
      </c>
    </row>
    <row r="19" spans="1:45" ht="14.25" hidden="1" customHeight="1">
      <c r="AS19" s="1553">
        <v>0</v>
      </c>
    </row>
    <row r="20" spans="1:45" s="1288" customFormat="1" ht="22.5" hidden="1" customHeight="1">
      <c r="A20" s="1553"/>
      <c r="B20" s="1553"/>
      <c r="C20" s="1553"/>
      <c r="D20" s="1553"/>
      <c r="E20" s="1553"/>
      <c r="F20" s="1553"/>
      <c r="G20" s="1553"/>
      <c r="H20" s="1553"/>
      <c r="I20" s="1553"/>
      <c r="J20" s="1553"/>
      <c r="K20" s="1553"/>
      <c r="L20" s="1825"/>
      <c r="M20" s="1851"/>
      <c r="N20" s="1851"/>
      <c r="O20" s="1267" t="s">
        <v>462</v>
      </c>
      <c r="P20" s="1284"/>
      <c r="Q20" s="1293"/>
      <c r="R20" s="1293"/>
      <c r="S20" s="663"/>
      <c r="Z20" s="1289"/>
      <c r="AB20" s="1289"/>
      <c r="AH20" s="1289"/>
      <c r="AJ20" s="1289"/>
      <c r="AN20" s="1558"/>
      <c r="AO20" s="1558"/>
      <c r="AP20" s="1558"/>
      <c r="AQ20" s="1558"/>
      <c r="AR20" s="1558"/>
      <c r="AS20" s="1288">
        <v>0</v>
      </c>
    </row>
    <row r="21" spans="1:45" s="1288" customFormat="1" ht="14.25" hidden="1" customHeight="1">
      <c r="A21" s="1553"/>
      <c r="B21" s="1553"/>
      <c r="C21" s="1553"/>
      <c r="D21" s="1553"/>
      <c r="E21" s="1553"/>
      <c r="F21" s="1553"/>
      <c r="G21" s="1553"/>
      <c r="H21" s="1553"/>
      <c r="I21" s="1553"/>
      <c r="J21" s="1553"/>
      <c r="K21" s="1553"/>
      <c r="L21" s="1825"/>
      <c r="M21" s="1851"/>
      <c r="N21" s="1851"/>
      <c r="O21" s="1851"/>
      <c r="P21" s="1284"/>
      <c r="Q21" s="1293"/>
      <c r="R21" s="1293"/>
      <c r="S21" s="663"/>
      <c r="AN21" s="1558"/>
      <c r="AO21" s="1558"/>
      <c r="AP21" s="1558"/>
      <c r="AQ21" s="1558"/>
      <c r="AR21" s="1558"/>
      <c r="AS21" s="1288">
        <v>0</v>
      </c>
    </row>
    <row r="22" spans="1:45" s="1288" customFormat="1" ht="14.25" hidden="1" customHeight="1">
      <c r="A22" s="1553"/>
      <c r="B22" s="1553"/>
      <c r="C22" s="1553"/>
      <c r="D22" s="1553"/>
      <c r="E22" s="1553"/>
      <c r="F22" s="1553"/>
      <c r="G22" s="1553"/>
      <c r="H22" s="1553"/>
      <c r="I22" s="1553"/>
      <c r="J22" s="1553"/>
      <c r="K22" s="1553"/>
      <c r="L22" s="1825"/>
      <c r="M22" s="1851"/>
      <c r="N22" s="1851"/>
      <c r="O22" s="1232" t="s">
        <v>463</v>
      </c>
      <c r="P22" s="1284"/>
      <c r="Q22" s="1293"/>
      <c r="R22" s="1293"/>
      <c r="S22" s="663"/>
      <c r="T22" s="1288" t="s">
        <v>464</v>
      </c>
      <c r="AA22" s="529" t="s">
        <v>465</v>
      </c>
      <c r="AC22" s="529" t="s">
        <v>466</v>
      </c>
      <c r="AD22" s="1288" t="s">
        <v>464</v>
      </c>
      <c r="AI22" s="529" t="s">
        <v>467</v>
      </c>
      <c r="AK22" s="529" t="s">
        <v>466</v>
      </c>
      <c r="AN22" s="1558"/>
      <c r="AO22" s="1558"/>
      <c r="AP22" s="1558"/>
      <c r="AQ22" s="1558"/>
      <c r="AR22" s="1558"/>
      <c r="AS22" s="1288">
        <v>0</v>
      </c>
    </row>
    <row r="23" spans="1:45" ht="14.25" hidden="1" customHeight="1">
      <c r="O23" s="1232"/>
      <c r="AS23" s="1553">
        <v>0</v>
      </c>
    </row>
    <row r="24" spans="1:45" ht="14.25" hidden="1" customHeight="1">
      <c r="O24" s="1232"/>
      <c r="AS24" s="1553">
        <v>0</v>
      </c>
    </row>
    <row r="25" spans="1:45" ht="14.65" customHeight="1">
      <c r="Q25" s="310"/>
      <c r="R25" s="310"/>
      <c r="S25" s="1197"/>
      <c r="T25" s="391"/>
      <c r="U25" s="391"/>
      <c r="AS25" s="1553">
        <v>14</v>
      </c>
    </row>
    <row r="26" spans="1:45" ht="14.65" customHeight="1">
      <c r="Q26" s="310"/>
      <c r="R26" s="310"/>
      <c r="S26" s="37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721"/>
      <c r="U26" s="3721"/>
      <c r="V26" s="3721"/>
      <c r="W26" s="3721"/>
      <c r="X26" s="3721"/>
      <c r="Y26" s="3721"/>
      <c r="Z26" s="3721"/>
      <c r="AA26" s="3721"/>
      <c r="AB26" s="3721"/>
      <c r="AC26" s="3721"/>
      <c r="AD26" s="3721"/>
      <c r="AE26" s="3721"/>
      <c r="AF26" s="3721"/>
      <c r="AG26" s="3721"/>
      <c r="AH26" s="3721"/>
      <c r="AI26" s="3721"/>
      <c r="AJ26" s="3721"/>
      <c r="AK26" s="1165"/>
      <c r="AS26" s="1553">
        <v>14</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553">
        <v>14</v>
      </c>
    </row>
    <row r="28" spans="1:45" ht="14.25" hidden="1" customHeight="1">
      <c r="Q28" s="310"/>
      <c r="R28" s="310"/>
      <c r="S28" s="1197"/>
      <c r="T28" s="391"/>
      <c r="U28" s="391"/>
      <c r="V28" s="257"/>
      <c r="W28" s="257"/>
      <c r="X28" s="257"/>
      <c r="Y28" s="257"/>
      <c r="Z28" s="257"/>
      <c r="AA28" s="257"/>
      <c r="AB28" s="257"/>
      <c r="AC28" s="257"/>
      <c r="AD28" s="257"/>
      <c r="AE28" s="257"/>
      <c r="AF28" s="257"/>
      <c r="AG28" s="257"/>
      <c r="AH28" s="257"/>
      <c r="AI28" s="257"/>
      <c r="AJ28" s="257"/>
      <c r="AK28" s="257"/>
      <c r="AS28" s="1553">
        <v>0</v>
      </c>
    </row>
    <row r="29" spans="1:45" s="1742" customFormat="1" ht="25.5" hidden="1" customHeight="1">
      <c r="A29" s="1170"/>
      <c r="B29" s="1170"/>
      <c r="C29" s="1170"/>
      <c r="D29" s="1170"/>
      <c r="E29" s="1170"/>
      <c r="F29" s="1170"/>
      <c r="G29" s="1170"/>
      <c r="H29" s="1170"/>
      <c r="I29" s="1170"/>
      <c r="J29" s="1170"/>
      <c r="K29" s="1170"/>
      <c r="L29" s="1302"/>
      <c r="M29" s="1170"/>
      <c r="N29" s="1170"/>
      <c r="O29" s="117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1557"/>
      <c r="AD29" s="3730" t="str">
        <f>IF(TITLE_NAME_OR_PR_CHANGE="",IF(TITLE_NAME_OR_PR="","",TITLE_NAME_OR_PR),TITLE_NAME_OR_PR_CHANGE)</f>
        <v/>
      </c>
      <c r="AE29" s="3730"/>
      <c r="AF29" s="3730"/>
      <c r="AG29" s="3730"/>
      <c r="AH29" s="3730"/>
      <c r="AI29" s="3730"/>
      <c r="AJ29" s="3730"/>
      <c r="AK29" s="1557"/>
      <c r="AL29" s="1557"/>
      <c r="AM29" s="215"/>
      <c r="AN29" s="302"/>
      <c r="AO29" s="302"/>
      <c r="AP29" s="302"/>
      <c r="AQ29" s="302"/>
      <c r="AR29" s="302"/>
      <c r="AS29" s="352">
        <v>0</v>
      </c>
    </row>
    <row r="30" spans="1:45" s="1742" customFormat="1" ht="18.75" hidden="1" customHeight="1">
      <c r="A30" s="1170"/>
      <c r="B30" s="1170"/>
      <c r="C30" s="1170"/>
      <c r="D30" s="1170"/>
      <c r="E30" s="1170"/>
      <c r="F30" s="1170"/>
      <c r="G30" s="1170"/>
      <c r="H30" s="1170"/>
      <c r="I30" s="1170"/>
      <c r="J30" s="1170"/>
      <c r="K30" s="1170"/>
      <c r="L30" s="1302"/>
      <c r="M30" s="1170"/>
      <c r="N30" s="1170"/>
      <c r="O30" s="117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1557"/>
      <c r="AD30" s="3739" t="str">
        <f>IF(TITLE_DATE_PR_CHANGE="",IF(TITLE_DATE_PR="","",TITLE_DATE_PR),TITLE_DATE_PR_CHANGE)</f>
        <v/>
      </c>
      <c r="AE30" s="3739"/>
      <c r="AF30" s="3739"/>
      <c r="AG30" s="3739"/>
      <c r="AH30" s="3739"/>
      <c r="AI30" s="3739"/>
      <c r="AJ30" s="3739"/>
      <c r="AK30" s="1557"/>
      <c r="AL30" s="1557"/>
      <c r="AM30" s="215"/>
      <c r="AN30" s="302"/>
      <c r="AO30" s="302"/>
      <c r="AP30" s="302"/>
      <c r="AQ30" s="302"/>
      <c r="AR30" s="302"/>
      <c r="AS30" s="352">
        <v>0</v>
      </c>
    </row>
    <row r="31" spans="1:45" s="1742" customFormat="1" ht="18.75" hidden="1" customHeight="1">
      <c r="A31" s="1170"/>
      <c r="B31" s="1170"/>
      <c r="C31" s="1170"/>
      <c r="D31" s="1170"/>
      <c r="E31" s="1170"/>
      <c r="F31" s="1170"/>
      <c r="G31" s="1170"/>
      <c r="H31" s="1170"/>
      <c r="I31" s="1170"/>
      <c r="J31" s="1170"/>
      <c r="K31" s="1170"/>
      <c r="L31" s="1302"/>
      <c r="M31" s="1170"/>
      <c r="N31" s="1170"/>
      <c r="O31" s="117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1557"/>
      <c r="AD31" s="3730" t="str">
        <f>IF(TITLE_NUMBER_PR_CHANGE="",IF(TITLE_NUMBER_PR="","",TITLE_NUMBER_PR),TITLE_NUMBER_PR_CHANGE)</f>
        <v/>
      </c>
      <c r="AE31" s="3730"/>
      <c r="AF31" s="3730"/>
      <c r="AG31" s="3730"/>
      <c r="AH31" s="3730"/>
      <c r="AI31" s="3730"/>
      <c r="AJ31" s="3730"/>
      <c r="AK31" s="1557"/>
      <c r="AL31" s="1557"/>
      <c r="AM31" s="215"/>
      <c r="AN31" s="302"/>
      <c r="AO31" s="302"/>
      <c r="AP31" s="302"/>
      <c r="AQ31" s="302"/>
      <c r="AR31" s="302"/>
      <c r="AS31" s="352">
        <v>0</v>
      </c>
    </row>
    <row r="32" spans="1:45" s="1742" customFormat="1" ht="18.75" hidden="1" customHeight="1">
      <c r="A32" s="1170"/>
      <c r="B32" s="1170"/>
      <c r="C32" s="1170"/>
      <c r="D32" s="1170"/>
      <c r="E32" s="1170"/>
      <c r="F32" s="1170"/>
      <c r="G32" s="1170"/>
      <c r="H32" s="1170"/>
      <c r="I32" s="1170"/>
      <c r="J32" s="1170"/>
      <c r="K32" s="1170"/>
      <c r="L32" s="1302"/>
      <c r="M32" s="1170"/>
      <c r="N32" s="1170"/>
      <c r="O32" s="1170"/>
      <c r="S32" s="3729" t="s">
        <v>30</v>
      </c>
      <c r="T32" s="3729"/>
      <c r="U32" s="1294"/>
      <c r="V32" s="3730" t="str">
        <f>IF(TITLE_IST_PUB_CHANGE="",IF(TITLE_IST_PUB="","",TITLE_IST_PUB),TITLE_IST_PUB_CHANGE)</f>
        <v/>
      </c>
      <c r="W32" s="3730"/>
      <c r="X32" s="3730"/>
      <c r="Y32" s="3730"/>
      <c r="Z32" s="3730"/>
      <c r="AA32" s="3730"/>
      <c r="AB32" s="3730"/>
      <c r="AC32" s="1557"/>
      <c r="AD32" s="3730" t="str">
        <f>IF(TITLE_IST_PUB_CHANGE="",IF(TITLE_IST_PUB="","",TITLE_IST_PUB),TITLE_IST_PUB_CHANGE)</f>
        <v/>
      </c>
      <c r="AE32" s="3730"/>
      <c r="AF32" s="3730"/>
      <c r="AG32" s="3730"/>
      <c r="AH32" s="3730"/>
      <c r="AI32" s="3730"/>
      <c r="AJ32" s="3730"/>
      <c r="AK32" s="1557"/>
      <c r="AL32" s="1557"/>
      <c r="AM32" s="215"/>
      <c r="AN32" s="302"/>
      <c r="AO32" s="302"/>
      <c r="AP32" s="302"/>
      <c r="AQ32" s="302"/>
      <c r="AR32" s="302"/>
      <c r="AS32" s="352">
        <v>0</v>
      </c>
    </row>
    <row r="33" spans="1:45" ht="14.25" hidden="1" customHeight="1">
      <c r="Q33" s="310"/>
      <c r="R33" s="310"/>
      <c r="S33" s="1197"/>
      <c r="T33" s="391"/>
      <c r="U33" s="391"/>
      <c r="V33" s="257"/>
      <c r="W33" s="257"/>
      <c r="X33" s="257"/>
      <c r="Y33" s="257"/>
      <c r="Z33" s="257"/>
      <c r="AA33" s="257"/>
      <c r="AB33" s="257"/>
      <c r="AC33" s="257"/>
      <c r="AD33" s="257"/>
      <c r="AE33" s="257"/>
      <c r="AF33" s="257"/>
      <c r="AG33" s="257"/>
      <c r="AH33" s="257"/>
      <c r="AI33" s="257"/>
      <c r="AJ33" s="257"/>
      <c r="AK33" s="257"/>
      <c r="AS33" s="1553">
        <v>0</v>
      </c>
    </row>
    <row r="34" spans="1:45" s="1742" customFormat="1" ht="18.75" hidden="1" customHeight="1">
      <c r="A34" s="1170"/>
      <c r="B34" s="1170"/>
      <c r="C34" s="1170"/>
      <c r="D34" s="1170"/>
      <c r="E34" s="1170"/>
      <c r="F34" s="1170"/>
      <c r="G34" s="1170"/>
      <c r="H34" s="1170"/>
      <c r="I34" s="1170"/>
      <c r="J34" s="1170"/>
      <c r="K34" s="1170"/>
      <c r="L34" s="1302"/>
      <c r="M34" s="1170"/>
      <c r="N34" s="1170"/>
      <c r="O34" s="117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1557"/>
      <c r="AD34" s="3739" t="str">
        <f>IF(TITLE_DATE_PR_CHANGE="",IF(TITLE_DATE_PR="","",TITLE_DATE_PR),TITLE_DATE_PR_CHANGE)</f>
        <v/>
      </c>
      <c r="AE34" s="3739"/>
      <c r="AF34" s="3739"/>
      <c r="AG34" s="3739"/>
      <c r="AH34" s="3739"/>
      <c r="AI34" s="3739"/>
      <c r="AJ34" s="3739"/>
      <c r="AK34" s="1557"/>
      <c r="AL34" s="1557"/>
      <c r="AM34" s="215"/>
      <c r="AN34" s="302"/>
      <c r="AO34" s="302"/>
      <c r="AP34" s="302"/>
      <c r="AQ34" s="302"/>
      <c r="AR34" s="302"/>
      <c r="AS34" s="352">
        <v>0</v>
      </c>
    </row>
    <row r="35" spans="1:45" s="1742" customFormat="1" ht="18.75" hidden="1" customHeight="1">
      <c r="A35" s="1170"/>
      <c r="B35" s="1170"/>
      <c r="C35" s="1170"/>
      <c r="D35" s="1170"/>
      <c r="E35" s="1170"/>
      <c r="F35" s="1170"/>
      <c r="G35" s="1170"/>
      <c r="H35" s="1170"/>
      <c r="I35" s="1170"/>
      <c r="J35" s="1170"/>
      <c r="K35" s="1170"/>
      <c r="L35" s="1302"/>
      <c r="M35" s="1170"/>
      <c r="N35" s="1170"/>
      <c r="O35" s="117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1557"/>
      <c r="AD35" s="3730" t="str">
        <f>IF(TITLE_NUMBER_PR_CHANGE="",IF(TITLE_NUMBER_PR="","",TITLE_NUMBER_PR),TITLE_NUMBER_PR_CHANGE)</f>
        <v/>
      </c>
      <c r="AE35" s="3730"/>
      <c r="AF35" s="3730"/>
      <c r="AG35" s="3730"/>
      <c r="AH35" s="3730"/>
      <c r="AI35" s="3730"/>
      <c r="AJ35" s="3730"/>
      <c r="AK35" s="1557"/>
      <c r="AL35" s="1557"/>
      <c r="AM35" s="215"/>
      <c r="AN35" s="302"/>
      <c r="AO35" s="302"/>
      <c r="AP35" s="302"/>
      <c r="AQ35" s="302"/>
      <c r="AR35" s="302"/>
      <c r="AS35" s="352">
        <v>0</v>
      </c>
    </row>
    <row r="36" spans="1:45" s="1742" customFormat="1" ht="0" hidden="1" customHeight="1">
      <c r="A36" s="1170"/>
      <c r="B36" s="1170"/>
      <c r="C36" s="1170"/>
      <c r="D36" s="1170"/>
      <c r="E36" s="1170"/>
      <c r="F36" s="1170"/>
      <c r="G36" s="1170"/>
      <c r="H36" s="1170"/>
      <c r="I36" s="1170"/>
      <c r="J36" s="1170"/>
      <c r="K36" s="1170"/>
      <c r="L36" s="1302"/>
      <c r="M36" s="1170"/>
      <c r="N36" s="1170"/>
      <c r="O36" s="1170"/>
      <c r="S36" s="1557"/>
      <c r="T36" s="1557"/>
      <c r="U36" s="1856"/>
      <c r="V36" s="1557"/>
      <c r="W36" s="1557"/>
      <c r="X36" s="1557"/>
      <c r="Y36" s="1557"/>
      <c r="Z36" s="1557"/>
      <c r="AA36" s="1557"/>
      <c r="AB36" s="1557"/>
      <c r="AC36" s="1564" t="s">
        <v>468</v>
      </c>
      <c r="AD36" s="1557"/>
      <c r="AE36" s="1557"/>
      <c r="AF36" s="1557"/>
      <c r="AG36" s="1557"/>
      <c r="AH36" s="1557"/>
      <c r="AI36" s="1557"/>
      <c r="AJ36" s="1557"/>
      <c r="AK36" s="1564" t="s">
        <v>468</v>
      </c>
      <c r="AN36" s="302"/>
      <c r="AO36" s="302"/>
      <c r="AP36" s="302"/>
      <c r="AQ36" s="302"/>
      <c r="AR36" s="302"/>
      <c r="AS36" s="352">
        <v>0</v>
      </c>
    </row>
    <row r="37" spans="1:45" ht="14.65" customHeight="1">
      <c r="Q37" s="310"/>
      <c r="R37" s="310"/>
      <c r="S37" s="1197"/>
      <c r="T37" s="391"/>
      <c r="U37" s="1166"/>
      <c r="V37" s="3731"/>
      <c r="W37" s="3731"/>
      <c r="X37" s="3731"/>
      <c r="Y37" s="3731"/>
      <c r="Z37" s="3731"/>
      <c r="AA37" s="3731"/>
      <c r="AB37" s="3731"/>
      <c r="AC37" s="3731"/>
      <c r="AD37" s="3731"/>
      <c r="AE37" s="3731"/>
      <c r="AF37" s="3731"/>
      <c r="AG37" s="3731"/>
      <c r="AH37" s="3731"/>
      <c r="AI37" s="3731"/>
      <c r="AJ37" s="3731"/>
      <c r="AK37" s="3731"/>
      <c r="AS37" s="1553">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553">
        <v>14</v>
      </c>
    </row>
    <row r="39" spans="1:45" ht="14.65" customHeight="1">
      <c r="Q39" s="310"/>
      <c r="R39" s="310"/>
      <c r="S39" s="3745" t="s">
        <v>76</v>
      </c>
      <c r="T39" s="3697" t="s">
        <v>469</v>
      </c>
      <c r="U39" s="272"/>
      <c r="V39" s="3746" t="s">
        <v>470</v>
      </c>
      <c r="W39" s="3747"/>
      <c r="X39" s="3747"/>
      <c r="Y39" s="3747"/>
      <c r="Z39" s="3747"/>
      <c r="AA39" s="3747"/>
      <c r="AB39" s="3748"/>
      <c r="AC39" s="3749" t="s">
        <v>471</v>
      </c>
      <c r="AD39" s="3746" t="s">
        <v>470</v>
      </c>
      <c r="AE39" s="3747"/>
      <c r="AF39" s="3747"/>
      <c r="AG39" s="3747"/>
      <c r="AH39" s="3747"/>
      <c r="AI39" s="3747"/>
      <c r="AJ39" s="3748"/>
      <c r="AK39" s="3749" t="s">
        <v>472</v>
      </c>
      <c r="AL39" s="3752" t="s">
        <v>473</v>
      </c>
      <c r="AM39" s="3618"/>
      <c r="AS39" s="1553">
        <v>14</v>
      </c>
    </row>
    <row r="40" spans="1:45" ht="35.65" customHeight="1">
      <c r="Q40" s="310"/>
      <c r="R40" s="310"/>
      <c r="S40" s="3745"/>
      <c r="T40" s="3697"/>
      <c r="U40" s="957"/>
      <c r="V40" s="3666" t="s">
        <v>474</v>
      </c>
      <c r="W40" s="3755" t="s">
        <v>475</v>
      </c>
      <c r="X40" s="3589" t="s">
        <v>476</v>
      </c>
      <c r="Y40" s="3588"/>
      <c r="Z40" s="3589" t="s">
        <v>490</v>
      </c>
      <c r="AA40" s="3595"/>
      <c r="AB40" s="3588"/>
      <c r="AC40" s="3750"/>
      <c r="AD40" s="3666" t="s">
        <v>474</v>
      </c>
      <c r="AE40" s="3755" t="s">
        <v>475</v>
      </c>
      <c r="AF40" s="3589" t="s">
        <v>476</v>
      </c>
      <c r="AG40" s="3588"/>
      <c r="AH40" s="3589" t="s">
        <v>477</v>
      </c>
      <c r="AI40" s="3595"/>
      <c r="AJ40" s="3588"/>
      <c r="AK40" s="3750"/>
      <c r="AL40" s="3753"/>
      <c r="AM40" s="3618"/>
      <c r="AS40" s="1553">
        <v>34</v>
      </c>
    </row>
    <row r="41" spans="1:45" ht="35.65" customHeight="1">
      <c r="A41" s="1188"/>
      <c r="B41" s="1188" t="s">
        <v>188</v>
      </c>
      <c r="C41" s="1188" t="s">
        <v>189</v>
      </c>
      <c r="D41" s="1188" t="s">
        <v>190</v>
      </c>
      <c r="E41" s="1232" t="s">
        <v>478</v>
      </c>
      <c r="F41" s="1232" t="s">
        <v>479</v>
      </c>
      <c r="G41" s="1232" t="s">
        <v>480</v>
      </c>
      <c r="H41" s="1232" t="s">
        <v>481</v>
      </c>
      <c r="I41" s="1232" t="s">
        <v>482</v>
      </c>
      <c r="J41" s="1232" t="s">
        <v>483</v>
      </c>
      <c r="K41" s="1232" t="s">
        <v>484</v>
      </c>
      <c r="L41" s="1232" t="s">
        <v>463</v>
      </c>
      <c r="Q41" s="310"/>
      <c r="R41" s="310"/>
      <c r="S41" s="3745"/>
      <c r="T41" s="3697"/>
      <c r="U41" s="237"/>
      <c r="V41" s="3716"/>
      <c r="W41" s="3756"/>
      <c r="X41" s="1824" t="s">
        <v>485</v>
      </c>
      <c r="Y41" s="1824" t="s">
        <v>486</v>
      </c>
      <c r="Z41" s="1824" t="s">
        <v>487</v>
      </c>
      <c r="AA41" s="3705" t="s">
        <v>488</v>
      </c>
      <c r="AB41" s="3707"/>
      <c r="AC41" s="3751"/>
      <c r="AD41" s="3716"/>
      <c r="AE41" s="3756"/>
      <c r="AF41" s="1824" t="s">
        <v>485</v>
      </c>
      <c r="AG41" s="1824" t="s">
        <v>486</v>
      </c>
      <c r="AH41" s="1824" t="s">
        <v>487</v>
      </c>
      <c r="AI41" s="3705" t="s">
        <v>488</v>
      </c>
      <c r="AJ41" s="3707"/>
      <c r="AK41" s="3751"/>
      <c r="AL41" s="3754"/>
      <c r="AM41" s="3618"/>
      <c r="AS41" s="1553">
        <v>34</v>
      </c>
    </row>
    <row r="42" spans="1:45" s="1563" customFormat="1" ht="11.25" hidden="1" customHeight="1">
      <c r="A42" s="1188"/>
      <c r="B42" s="1188"/>
      <c r="C42" s="1188"/>
      <c r="D42" s="1188"/>
      <c r="E42" s="1188"/>
      <c r="F42" s="1188"/>
      <c r="G42" s="1188"/>
      <c r="H42" s="1188"/>
      <c r="I42" s="1188"/>
      <c r="J42" s="1188"/>
      <c r="K42" s="1188"/>
      <c r="L42" s="1232"/>
      <c r="M42" s="1851"/>
      <c r="N42" s="1851"/>
      <c r="O42" s="1851"/>
      <c r="P42" s="1168"/>
      <c r="Q42" s="1169"/>
      <c r="R42" s="1176">
        <v>1</v>
      </c>
      <c r="S42" s="1199" t="s">
        <v>164</v>
      </c>
      <c r="T42" s="1177" t="s">
        <v>89</v>
      </c>
      <c r="U42" s="1167" t="str">
        <f ca="1">OFFSET(U42,0,-1)</f>
        <v>2</v>
      </c>
      <c r="V42" s="1842">
        <f ca="1">OFFSET(V42,0,-1)+1</f>
        <v>3</v>
      </c>
      <c r="W42" s="1842"/>
      <c r="X42" s="1842">
        <f ca="1">OFFSET(X42,0,-1)+1</f>
        <v>1</v>
      </c>
      <c r="Y42" s="1842">
        <f ca="1">OFFSET(Y42,0,-1)+1</f>
        <v>2</v>
      </c>
      <c r="Z42" s="1842">
        <f ca="1">OFFSET(Z42,0,-1)+1</f>
        <v>3</v>
      </c>
      <c r="AA42" s="3744">
        <f ca="1">OFFSET(AA42,0,-1)+1</f>
        <v>4</v>
      </c>
      <c r="AB42" s="3744"/>
      <c r="AC42" s="1842">
        <f ca="1">OFFSET(AC42,0,-2)+1</f>
        <v>5</v>
      </c>
      <c r="AD42" s="1842">
        <f ca="1">OFFSET(AD42,0,-1)+1</f>
        <v>6</v>
      </c>
      <c r="AE42" s="1842"/>
      <c r="AF42" s="1842">
        <f ca="1">OFFSET(AF42,0,-1)+1</f>
        <v>1</v>
      </c>
      <c r="AG42" s="1842">
        <f ca="1">OFFSET(AG42,0,-1)+1</f>
        <v>2</v>
      </c>
      <c r="AH42" s="1842">
        <f ca="1">OFFSET(AH42,0,-1)+1</f>
        <v>3</v>
      </c>
      <c r="AI42" s="3744">
        <f ca="1">OFFSET(AI42,0,-1)+1</f>
        <v>4</v>
      </c>
      <c r="AJ42" s="3744"/>
      <c r="AK42" s="1842">
        <f ca="1">OFFSET(AK42,0,-2)+1</f>
        <v>5</v>
      </c>
      <c r="AL42" s="1167">
        <f ca="1">OFFSET(AL42,0,-1)</f>
        <v>5</v>
      </c>
      <c r="AM42" s="1842">
        <f ca="1">OFFSET(AM42,0,-1)+1</f>
        <v>6</v>
      </c>
      <c r="AN42" s="1558"/>
      <c r="AO42" s="1558"/>
      <c r="AP42" s="1558"/>
      <c r="AQ42" s="1558"/>
      <c r="AR42" s="1558"/>
      <c r="AS42" s="1563">
        <v>0</v>
      </c>
    </row>
    <row r="43" spans="1:45" ht="21.95" customHeight="1">
      <c r="A43" s="1189" t="s">
        <v>257</v>
      </c>
      <c r="B43" s="1189"/>
      <c r="C43" s="1189"/>
      <c r="D43" s="1189"/>
      <c r="E43" s="3761">
        <v>1</v>
      </c>
      <c r="F43" s="1189"/>
      <c r="G43" s="1189"/>
      <c r="H43" s="1189"/>
      <c r="I43" s="1189"/>
      <c r="J43" s="1189"/>
      <c r="K43" s="1189"/>
      <c r="L43" s="1232"/>
      <c r="M43" s="1532"/>
      <c r="N43" s="1532"/>
      <c r="O43" s="1532"/>
      <c r="P43" s="1512"/>
      <c r="Q43" s="294"/>
      <c r="R43" s="289"/>
      <c r="S43" s="1844">
        <f>INDEX(PT_DIFFERENTIATION_NUM_NTAR,MATCH(A43,PT_DIFFERENTIATION_NTAR_ID,0))</f>
        <v>0</v>
      </c>
      <c r="T43" s="1447"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6"/>
      <c r="AP43" s="1546" t="str">
        <f t="shared" ref="AP43:AP57" si="1">IF(T43="","",T43)</f>
        <v>Наименование тарифа</v>
      </c>
      <c r="AQ43" s="1546"/>
      <c r="AR43" s="1546"/>
      <c r="AS43" s="1553">
        <v>21</v>
      </c>
    </row>
    <row r="44" spans="1:45" ht="21.95" customHeight="1">
      <c r="A44" s="1189" t="s">
        <v>257</v>
      </c>
      <c r="B44" s="1189" t="s">
        <v>258</v>
      </c>
      <c r="C44" s="1189"/>
      <c r="D44" s="1189"/>
      <c r="E44" s="3762"/>
      <c r="F44" s="3761">
        <v>1</v>
      </c>
      <c r="G44" s="1189"/>
      <c r="H44" s="1189"/>
      <c r="I44" s="1189"/>
      <c r="J44" s="1189"/>
      <c r="K44" s="1189"/>
      <c r="L44" s="1232"/>
      <c r="M44" s="1532"/>
      <c r="N44" s="1532"/>
      <c r="O44" s="1532"/>
      <c r="P44" s="1826"/>
      <c r="Q44" s="286"/>
      <c r="R44" s="287"/>
      <c r="S44" s="1844" t="str">
        <f>INDEX(PT_DIFFERENTIATION_NUM_TER,MATCH(B44,PT_DIFFERENTIATION_TER_ID,0))</f>
        <v>.</v>
      </c>
      <c r="T44" s="1444"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1546"/>
      <c r="AP44" s="1546" t="str">
        <f t="shared" si="1"/>
        <v>Территория действия тарифа</v>
      </c>
      <c r="AQ44" s="1546"/>
      <c r="AR44" s="1546"/>
      <c r="AS44" s="1553">
        <v>21</v>
      </c>
    </row>
    <row r="45" spans="1:45" ht="24" customHeight="1">
      <c r="A45" s="1189" t="s">
        <v>257</v>
      </c>
      <c r="B45" s="1189" t="s">
        <v>258</v>
      </c>
      <c r="C45" s="1189" t="s">
        <v>259</v>
      </c>
      <c r="D45" s="1189"/>
      <c r="E45" s="3762"/>
      <c r="F45" s="3762"/>
      <c r="G45" s="3761">
        <v>1</v>
      </c>
      <c r="H45" s="1189"/>
      <c r="I45" s="1189"/>
      <c r="J45" s="1189"/>
      <c r="K45" s="1189"/>
      <c r="L45" s="1232"/>
      <c r="M45" s="1532"/>
      <c r="N45" s="1532"/>
      <c r="O45" s="1532"/>
      <c r="P45" s="288"/>
      <c r="Q45" s="286"/>
      <c r="R45" s="287"/>
      <c r="S45" s="1844"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1546"/>
      <c r="AP45" s="1546" t="str">
        <f t="shared" si="1"/>
        <v xml:space="preserve">Наименование системы теплоснабжения </v>
      </c>
      <c r="AQ45" s="1546"/>
      <c r="AR45" s="1546"/>
      <c r="AS45" s="1553">
        <v>23</v>
      </c>
    </row>
    <row r="46" spans="1:45" ht="21.95" customHeight="1">
      <c r="A46" s="1189" t="s">
        <v>257</v>
      </c>
      <c r="B46" s="1189" t="s">
        <v>258</v>
      </c>
      <c r="C46" s="1189" t="s">
        <v>259</v>
      </c>
      <c r="D46" s="1189" t="s">
        <v>260</v>
      </c>
      <c r="E46" s="3762"/>
      <c r="F46" s="3762"/>
      <c r="G46" s="3762"/>
      <c r="H46" s="3761">
        <v>1</v>
      </c>
      <c r="I46" s="1189"/>
      <c r="J46" s="1189"/>
      <c r="K46" s="1189"/>
      <c r="L46" s="1232"/>
      <c r="M46" s="1532"/>
      <c r="N46" s="1532"/>
      <c r="O46" s="1532"/>
      <c r="P46" s="288"/>
      <c r="Q46" s="286"/>
      <c r="R46" s="287"/>
      <c r="S46" s="1844"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1546"/>
      <c r="AP46" s="1546" t="str">
        <f t="shared" si="1"/>
        <v xml:space="preserve">Источник тепловой энергии  </v>
      </c>
      <c r="AQ46" s="1546"/>
      <c r="AR46" s="1546"/>
      <c r="AS46" s="1553">
        <v>21</v>
      </c>
    </row>
    <row r="47" spans="1:45" ht="49.5" customHeight="1">
      <c r="A47" s="1189" t="s">
        <v>257</v>
      </c>
      <c r="B47" s="1189" t="s">
        <v>258</v>
      </c>
      <c r="C47" s="1189" t="s">
        <v>259</v>
      </c>
      <c r="D47" s="1189" t="s">
        <v>260</v>
      </c>
      <c r="E47" s="3762"/>
      <c r="F47" s="3762"/>
      <c r="G47" s="3762"/>
      <c r="H47" s="3762"/>
      <c r="I47" s="3618" t="str">
        <f>S46&amp;".1"</f>
        <v>....1</v>
      </c>
      <c r="J47" s="1189"/>
      <c r="K47" s="1189"/>
      <c r="L47" s="1232" t="s">
        <v>448</v>
      </c>
      <c r="P47" s="3736">
        <v>1</v>
      </c>
      <c r="Q47" s="1840"/>
      <c r="R47" s="290"/>
      <c r="S47" s="1844" t="str">
        <f>$I47</f>
        <v>....1</v>
      </c>
      <c r="T47" s="220" t="s">
        <v>449</v>
      </c>
      <c r="U47" s="235"/>
      <c r="V47" s="3726"/>
      <c r="W47" s="3727"/>
      <c r="X47" s="3727"/>
      <c r="Y47" s="3727"/>
      <c r="Z47" s="3727"/>
      <c r="AA47" s="3727"/>
      <c r="AB47" s="3727"/>
      <c r="AC47" s="3728"/>
      <c r="AD47" s="3726"/>
      <c r="AE47" s="3727"/>
      <c r="AF47" s="3727"/>
      <c r="AG47" s="3727"/>
      <c r="AH47" s="3727"/>
      <c r="AI47" s="3727"/>
      <c r="AJ47" s="3727"/>
      <c r="AK47" s="3727"/>
      <c r="AL47" s="3728"/>
      <c r="AM47" s="1180" t="s">
        <v>450</v>
      </c>
      <c r="AO47" s="1546"/>
      <c r="AP47" s="1546" t="str">
        <f t="shared" si="1"/>
        <v>Схема подключения теплопотребляющей установки к коллектору источника тепловой энергии</v>
      </c>
      <c r="AQ47" s="1546"/>
      <c r="AR47" s="1546"/>
      <c r="AS47" s="1553">
        <v>47</v>
      </c>
    </row>
    <row r="48" spans="1:45" ht="21.95" customHeight="1">
      <c r="A48" s="1189" t="s">
        <v>257</v>
      </c>
      <c r="B48" s="1189" t="s">
        <v>258</v>
      </c>
      <c r="C48" s="1189" t="s">
        <v>259</v>
      </c>
      <c r="D48" s="1189" t="s">
        <v>260</v>
      </c>
      <c r="E48" s="3762"/>
      <c r="F48" s="3762"/>
      <c r="G48" s="3762"/>
      <c r="H48" s="3762"/>
      <c r="I48" s="3589"/>
      <c r="J48" s="3618" t="str">
        <f>I47&amp;".1"</f>
        <v>....1.1</v>
      </c>
      <c r="K48" s="1189"/>
      <c r="L48" s="1232" t="s">
        <v>451</v>
      </c>
      <c r="P48" s="3736"/>
      <c r="Q48" s="3736">
        <v>1</v>
      </c>
      <c r="R48" s="291"/>
      <c r="S48" s="1844" t="str">
        <f>$J48</f>
        <v>....1.1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1546"/>
      <c r="AP48" s="1546" t="str">
        <f t="shared" si="1"/>
        <v>Группа потребителей</v>
      </c>
      <c r="AQ48" s="1546"/>
      <c r="AR48" s="1546"/>
      <c r="AS48" s="1553">
        <v>21</v>
      </c>
    </row>
    <row r="49" spans="1:45" ht="21.95" customHeight="1">
      <c r="A49" s="1189" t="s">
        <v>257</v>
      </c>
      <c r="B49" s="1189" t="s">
        <v>258</v>
      </c>
      <c r="C49" s="1189" t="s">
        <v>259</v>
      </c>
      <c r="D49" s="1189" t="s">
        <v>260</v>
      </c>
      <c r="E49" s="3762"/>
      <c r="F49" s="3762"/>
      <c r="G49" s="3762"/>
      <c r="H49" s="3762"/>
      <c r="I49" s="3589"/>
      <c r="J49" s="3589"/>
      <c r="K49" s="3618" t="str">
        <f>J48&amp;".1"</f>
        <v>....1.1.1</v>
      </c>
      <c r="L49" s="1232" t="s">
        <v>454</v>
      </c>
      <c r="P49" s="3736"/>
      <c r="Q49" s="3736"/>
      <c r="R49" s="291">
        <v>1</v>
      </c>
      <c r="S49" s="1844" t="str">
        <f>$K49</f>
        <v>....1.1.1</v>
      </c>
      <c r="T49" s="1269"/>
      <c r="U49" s="235"/>
      <c r="V49" s="685"/>
      <c r="W49" s="260"/>
      <c r="X49" s="685"/>
      <c r="Y49" s="1179"/>
      <c r="Z49" s="3740"/>
      <c r="AA49" s="3599" t="s">
        <v>50</v>
      </c>
      <c r="AB49" s="3740"/>
      <c r="AC49" s="3599" t="s">
        <v>50</v>
      </c>
      <c r="AD49" s="685"/>
      <c r="AE49" s="260"/>
      <c r="AF49" s="685"/>
      <c r="AG49" s="1179"/>
      <c r="AH49" s="3740"/>
      <c r="AI49" s="3599" t="s">
        <v>50</v>
      </c>
      <c r="AJ49" s="3759"/>
      <c r="AK49" s="3599" t="s">
        <v>50</v>
      </c>
      <c r="AL49" s="1270"/>
      <c r="AM49" s="3732" t="s">
        <v>455</v>
      </c>
      <c r="AN49" s="1558" t="e">
        <f ca="1">STRCHECKDATE(V50:AL50)</f>
        <v>#NAME?</v>
      </c>
      <c r="AO49" s="1546"/>
      <c r="AP49" s="1546" t="str">
        <f t="shared" si="1"/>
        <v/>
      </c>
      <c r="AQ49" s="1546"/>
      <c r="AR49" s="1546"/>
      <c r="AS49" s="1553">
        <v>21</v>
      </c>
    </row>
    <row r="50" spans="1:45" ht="1.1499999999999999" customHeight="1">
      <c r="A50" s="1189" t="s">
        <v>257</v>
      </c>
      <c r="B50" s="1189" t="s">
        <v>258</v>
      </c>
      <c r="C50" s="1189" t="s">
        <v>259</v>
      </c>
      <c r="D50" s="1189" t="s">
        <v>260</v>
      </c>
      <c r="E50" s="3762"/>
      <c r="F50" s="3762"/>
      <c r="G50" s="3762"/>
      <c r="H50" s="3762"/>
      <c r="I50" s="3589"/>
      <c r="J50" s="3589"/>
      <c r="K50" s="3618"/>
      <c r="L50" s="1232"/>
      <c r="P50" s="3736"/>
      <c r="Q50" s="3736"/>
      <c r="R50" s="291"/>
      <c r="S50" s="1853"/>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1546"/>
      <c r="AP50" s="1546" t="str">
        <f t="shared" si="1"/>
        <v/>
      </c>
      <c r="AQ50" s="1546"/>
      <c r="AR50" s="1546"/>
      <c r="AS50" s="1553">
        <v>1</v>
      </c>
    </row>
    <row r="51" spans="1:45" ht="11.45" customHeight="1">
      <c r="A51" s="1189" t="s">
        <v>257</v>
      </c>
      <c r="B51" s="1189" t="s">
        <v>258</v>
      </c>
      <c r="C51" s="1189" t="s">
        <v>259</v>
      </c>
      <c r="D51" s="1189" t="s">
        <v>260</v>
      </c>
      <c r="E51" s="3762"/>
      <c r="F51" s="3762"/>
      <c r="G51" s="3762"/>
      <c r="H51" s="3762"/>
      <c r="I51" s="3589"/>
      <c r="J51" s="3618"/>
      <c r="K51" s="1189"/>
      <c r="L51" s="1232"/>
      <c r="P51" s="3736"/>
      <c r="Q51" s="3736"/>
      <c r="R51" s="290"/>
      <c r="S51" s="1200"/>
      <c r="T51" s="223" t="s">
        <v>456</v>
      </c>
      <c r="U51" s="534"/>
      <c r="V51" s="534"/>
      <c r="W51" s="534"/>
      <c r="X51" s="534"/>
      <c r="Y51" s="534"/>
      <c r="Z51" s="534"/>
      <c r="AA51" s="534"/>
      <c r="AB51" s="534"/>
      <c r="AC51" s="534"/>
      <c r="AD51" s="534"/>
      <c r="AE51" s="534"/>
      <c r="AF51" s="534"/>
      <c r="AG51" s="534"/>
      <c r="AH51" s="534"/>
      <c r="AI51" s="534"/>
      <c r="AJ51" s="534"/>
      <c r="AK51" s="534"/>
      <c r="AL51" s="259"/>
      <c r="AM51" s="3734"/>
      <c r="AO51" s="1546"/>
      <c r="AP51" s="1546" t="str">
        <f t="shared" si="1"/>
        <v>Добавить вид теплоносителя (параметры теплоносителя)</v>
      </c>
      <c r="AQ51" s="1546"/>
      <c r="AR51" s="1546"/>
      <c r="AS51" s="1553">
        <v>11</v>
      </c>
    </row>
    <row r="52" spans="1:45" ht="11.45" customHeight="1">
      <c r="A52" s="1189" t="s">
        <v>257</v>
      </c>
      <c r="B52" s="1189" t="s">
        <v>258</v>
      </c>
      <c r="C52" s="1189" t="s">
        <v>259</v>
      </c>
      <c r="D52" s="1189" t="s">
        <v>260</v>
      </c>
      <c r="E52" s="3762"/>
      <c r="F52" s="3762"/>
      <c r="G52" s="3762"/>
      <c r="H52" s="3762"/>
      <c r="I52" s="3618"/>
      <c r="J52" s="1189"/>
      <c r="K52" s="1189"/>
      <c r="L52" s="1232"/>
      <c r="P52" s="3736"/>
      <c r="Q52" s="1840"/>
      <c r="R52" s="290"/>
      <c r="S52" s="1200"/>
      <c r="T52" s="222" t="s">
        <v>457</v>
      </c>
      <c r="U52" s="534"/>
      <c r="V52" s="534"/>
      <c r="W52" s="534"/>
      <c r="X52" s="534"/>
      <c r="Y52" s="534"/>
      <c r="Z52" s="534"/>
      <c r="AA52" s="534"/>
      <c r="AB52" s="534"/>
      <c r="AC52" s="300"/>
      <c r="AD52" s="534"/>
      <c r="AE52" s="534"/>
      <c r="AF52" s="534"/>
      <c r="AG52" s="534"/>
      <c r="AH52" s="534"/>
      <c r="AI52" s="534"/>
      <c r="AJ52" s="534"/>
      <c r="AK52" s="300"/>
      <c r="AL52" s="534"/>
      <c r="AM52" s="238"/>
      <c r="AO52" s="1546"/>
      <c r="AP52" s="1546" t="str">
        <f t="shared" si="1"/>
        <v>Добавить группу потребителей</v>
      </c>
      <c r="AQ52" s="1546"/>
      <c r="AR52" s="1546"/>
      <c r="AS52" s="1553">
        <v>11</v>
      </c>
    </row>
    <row r="53" spans="1:45" ht="14.65" customHeight="1">
      <c r="A53" s="1189" t="s">
        <v>257</v>
      </c>
      <c r="B53" s="1189" t="s">
        <v>258</v>
      </c>
      <c r="C53" s="1189" t="s">
        <v>259</v>
      </c>
      <c r="D53" s="1189" t="s">
        <v>260</v>
      </c>
      <c r="E53" s="3762"/>
      <c r="F53" s="3762"/>
      <c r="G53" s="3762"/>
      <c r="H53" s="3761"/>
      <c r="I53" s="1189"/>
      <c r="J53" s="1189"/>
      <c r="K53" s="1189"/>
      <c r="L53" s="1232"/>
      <c r="M53" s="1532"/>
      <c r="N53" s="1532"/>
      <c r="O53" s="1557"/>
      <c r="P53" s="294"/>
      <c r="Q53" s="309"/>
      <c r="R53" s="289"/>
      <c r="S53" s="1200"/>
      <c r="T53" s="299" t="s">
        <v>458</v>
      </c>
      <c r="U53" s="534"/>
      <c r="V53" s="534"/>
      <c r="W53" s="534"/>
      <c r="X53" s="534"/>
      <c r="Y53" s="534"/>
      <c r="Z53" s="534"/>
      <c r="AA53" s="534"/>
      <c r="AB53" s="534"/>
      <c r="AC53" s="300"/>
      <c r="AD53" s="534"/>
      <c r="AE53" s="534"/>
      <c r="AF53" s="534"/>
      <c r="AG53" s="534"/>
      <c r="AH53" s="534"/>
      <c r="AI53" s="534"/>
      <c r="AJ53" s="534"/>
      <c r="AK53" s="300"/>
      <c r="AL53" s="534"/>
      <c r="AM53" s="238"/>
      <c r="AO53" s="1546"/>
      <c r="AP53" s="1546" t="str">
        <f t="shared" si="1"/>
        <v>Добавить схему подключения</v>
      </c>
      <c r="AQ53" s="1546"/>
      <c r="AR53" s="1546"/>
      <c r="AS53" s="1553">
        <v>14</v>
      </c>
    </row>
    <row r="54" spans="1:45" s="1564" customFormat="1" ht="4.1500000000000004" customHeight="1">
      <c r="A54" s="1297" t="s">
        <v>257</v>
      </c>
      <c r="B54" s="1297" t="s">
        <v>258</v>
      </c>
      <c r="C54" s="1297" t="s">
        <v>259</v>
      </c>
      <c r="D54" s="1296"/>
      <c r="E54" s="3762"/>
      <c r="F54" s="3762"/>
      <c r="G54" s="3761"/>
      <c r="H54" s="1296"/>
      <c r="I54" s="1296"/>
      <c r="J54" s="1296"/>
      <c r="K54" s="1296"/>
      <c r="L54" s="1299"/>
      <c r="M54" s="1300"/>
      <c r="N54" s="1300"/>
      <c r="O54" s="285"/>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1173"/>
      <c r="AP54" s="1173" t="str">
        <f t="shared" si="1"/>
        <v>Добавить источник для дифференциации</v>
      </c>
      <c r="AQ54" s="1173"/>
      <c r="AR54" s="1173"/>
      <c r="AS54" s="1564">
        <v>4</v>
      </c>
    </row>
    <row r="55" spans="1:45" s="1564" customFormat="1" ht="4.1500000000000004" customHeight="1">
      <c r="A55" s="1297" t="s">
        <v>257</v>
      </c>
      <c r="B55" s="1297" t="s">
        <v>258</v>
      </c>
      <c r="C55" s="1296"/>
      <c r="D55" s="1296"/>
      <c r="E55" s="3762"/>
      <c r="F55" s="3761"/>
      <c r="G55" s="1296"/>
      <c r="H55" s="1296"/>
      <c r="I55" s="1296"/>
      <c r="J55" s="1296"/>
      <c r="K55" s="1296"/>
      <c r="L55" s="1299"/>
      <c r="M55" s="1301"/>
      <c r="N55" s="1301"/>
      <c r="O55" s="285"/>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1173"/>
      <c r="AP55" s="1173" t="str">
        <f t="shared" si="1"/>
        <v>Добавить централизованную систему для дифференциации</v>
      </c>
      <c r="AQ55" s="1173"/>
      <c r="AR55" s="1173"/>
      <c r="AS55" s="1564">
        <v>4</v>
      </c>
    </row>
    <row r="56" spans="1:45" s="1564" customFormat="1" ht="4.1500000000000004" customHeight="1">
      <c r="A56" s="1297" t="s">
        <v>257</v>
      </c>
      <c r="B56" s="1297"/>
      <c r="C56" s="1297"/>
      <c r="D56" s="1297"/>
      <c r="E56" s="3761"/>
      <c r="F56" s="1297"/>
      <c r="G56" s="1297"/>
      <c r="H56" s="1297"/>
      <c r="I56" s="1297"/>
      <c r="J56" s="1297"/>
      <c r="K56" s="1297"/>
      <c r="L56" s="1303"/>
      <c r="M56" s="1301"/>
      <c r="N56" s="1301"/>
      <c r="O56" s="285"/>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1546"/>
      <c r="AP56" s="1546" t="str">
        <f t="shared" si="1"/>
        <v>Добавить территорию для дифференциации</v>
      </c>
      <c r="AQ56" s="1546"/>
      <c r="AR56" s="1546"/>
      <c r="AS56" s="1558">
        <v>4</v>
      </c>
    </row>
    <row r="57" spans="1:45" s="1564" customFormat="1" ht="4.1500000000000004" customHeight="1">
      <c r="A57" s="1296"/>
      <c r="B57" s="1296"/>
      <c r="C57" s="1296"/>
      <c r="D57" s="1296"/>
      <c r="E57" s="1297"/>
      <c r="F57" s="1296"/>
      <c r="G57" s="1296"/>
      <c r="H57" s="1296"/>
      <c r="I57" s="1296"/>
      <c r="J57" s="1296"/>
      <c r="K57" s="1296"/>
      <c r="L57" s="1299"/>
      <c r="M57" s="1301"/>
      <c r="N57" s="1301"/>
      <c r="O57" s="285"/>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1173"/>
      <c r="AP57" s="1173" t="str">
        <f t="shared" si="1"/>
        <v>Добавить наименование тарифа</v>
      </c>
      <c r="AQ57" s="1173"/>
      <c r="AR57" s="1173"/>
      <c r="AS57" s="1564">
        <v>4</v>
      </c>
    </row>
    <row r="58" spans="1:45" ht="11.45" customHeight="1">
      <c r="M58" s="1553"/>
      <c r="N58" s="1553"/>
      <c r="O58" s="1557"/>
      <c r="P58" s="1553"/>
      <c r="Q58" s="1553"/>
      <c r="R58" s="1553"/>
      <c r="S58" s="1553"/>
      <c r="AN58" s="1553"/>
      <c r="AO58" s="1553"/>
      <c r="AP58" s="1553"/>
      <c r="AQ58" s="1553"/>
      <c r="AR58" s="1553"/>
      <c r="AS58" s="1553">
        <v>11</v>
      </c>
    </row>
    <row r="59" spans="1:45" ht="28.5" customHeight="1">
      <c r="O59" s="1557"/>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553">
        <v>27</v>
      </c>
    </row>
    <row r="60" spans="1:45" ht="65.25" customHeight="1">
      <c r="O60" s="1557"/>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553">
        <v>62</v>
      </c>
    </row>
    <row r="61" spans="1:45" ht="14.65" customHeight="1">
      <c r="O61" s="1557"/>
      <c r="AS61" s="1553">
        <v>14</v>
      </c>
    </row>
    <row r="62" spans="1:45" ht="18.75" customHeight="1">
      <c r="O62" s="1557"/>
      <c r="S62" s="1175"/>
      <c r="T62" s="3757"/>
      <c r="U62" s="3757"/>
      <c r="V62" s="3757"/>
      <c r="W62" s="3757"/>
      <c r="X62" s="3757"/>
      <c r="Y62" s="3757"/>
      <c r="Z62" s="3757"/>
      <c r="AA62" s="3757"/>
      <c r="AB62" s="3757"/>
      <c r="AC62" s="3757"/>
      <c r="AD62" s="3757"/>
      <c r="AE62" s="3757"/>
      <c r="AF62" s="3757"/>
      <c r="AG62" s="3757"/>
      <c r="AH62" s="3757"/>
      <c r="AI62" s="3757"/>
      <c r="AJ62" s="3757"/>
      <c r="AK62" s="3757"/>
      <c r="AL62" s="3757"/>
      <c r="AM62" s="3757"/>
      <c r="AS62" s="1553">
        <v>18</v>
      </c>
    </row>
    <row r="63" spans="1:45" ht="18.75" customHeight="1">
      <c r="O63" s="1557"/>
      <c r="T63" s="3757"/>
      <c r="U63" s="3757"/>
      <c r="V63" s="3757"/>
      <c r="W63" s="3757"/>
      <c r="X63" s="3757"/>
      <c r="Y63" s="3757"/>
      <c r="Z63" s="3757"/>
      <c r="AA63" s="3757"/>
      <c r="AB63" s="3757"/>
      <c r="AC63" s="3757"/>
      <c r="AD63" s="3757"/>
      <c r="AE63" s="3757"/>
      <c r="AF63" s="3757"/>
      <c r="AG63" s="3757"/>
      <c r="AH63" s="3757"/>
      <c r="AI63" s="3757"/>
      <c r="AJ63" s="3757"/>
      <c r="AK63" s="3757"/>
      <c r="AL63" s="3757"/>
      <c r="AM63" s="3757"/>
      <c r="AS63" s="1553">
        <v>18</v>
      </c>
    </row>
    <row r="64" spans="1:45" ht="29.25" customHeight="1">
      <c r="O64" s="1557"/>
      <c r="S64" s="1175"/>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553">
        <v>28</v>
      </c>
    </row>
    <row r="65" spans="1:45" ht="22.5" hidden="1" customHeight="1">
      <c r="A65" s="1553" t="s">
        <v>70</v>
      </c>
      <c r="B65" s="1553">
        <v>0</v>
      </c>
      <c r="C65" s="1553">
        <v>0</v>
      </c>
      <c r="D65" s="1553">
        <v>0</v>
      </c>
      <c r="E65" s="1553">
        <v>0</v>
      </c>
      <c r="F65" s="1553">
        <v>0</v>
      </c>
      <c r="G65" s="1553">
        <v>0</v>
      </c>
      <c r="H65" s="1553">
        <v>0</v>
      </c>
      <c r="I65" s="1553">
        <v>0</v>
      </c>
      <c r="J65" s="1553">
        <v>0</v>
      </c>
      <c r="K65" s="1553">
        <v>0</v>
      </c>
      <c r="L65" s="1825">
        <v>0</v>
      </c>
      <c r="M65" s="1851">
        <v>0</v>
      </c>
      <c r="N65" s="1851">
        <v>0</v>
      </c>
      <c r="O65" s="1851">
        <v>0</v>
      </c>
      <c r="P65" s="1851">
        <v>3</v>
      </c>
      <c r="Q65" s="279">
        <v>3</v>
      </c>
      <c r="R65" s="279">
        <v>3</v>
      </c>
      <c r="S65" s="515">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1558">
        <v>10</v>
      </c>
      <c r="AO65" s="1558">
        <v>10</v>
      </c>
      <c r="AP65" s="1558">
        <v>10</v>
      </c>
      <c r="AQ65" s="1558">
        <v>10</v>
      </c>
      <c r="AR65" s="1558">
        <v>10</v>
      </c>
      <c r="AS65" s="1553">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1" width="11.42578125" style="1557" hidden="1" customWidth="1"/>
    <col min="12" max="12" width="19.140625" style="1985" hidden="1" customWidth="1"/>
    <col min="13" max="14" width="12.28515625" style="1991" hidden="1" customWidth="1"/>
    <col min="15" max="15" width="23.42578125" style="1991" hidden="1" customWidth="1"/>
    <col min="16" max="16" width="3" style="1991" customWidth="1"/>
    <col min="17" max="18" width="3" style="279" customWidth="1"/>
    <col min="19" max="19" width="12" style="1992"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S1" s="1553" t="s">
        <v>1</v>
      </c>
    </row>
    <row r="2" spans="1:45" ht="21" hidden="1" customHeight="1">
      <c r="A2" s="1189"/>
      <c r="B2" s="1189"/>
      <c r="C2" s="1189"/>
      <c r="D2" s="1189"/>
      <c r="E2" s="3761">
        <v>1</v>
      </c>
      <c r="F2" s="1189"/>
      <c r="G2" s="1189"/>
      <c r="H2" s="1189"/>
      <c r="I2" s="1189"/>
      <c r="J2" s="1189"/>
      <c r="K2" s="1189"/>
      <c r="L2" s="1232"/>
      <c r="M2" s="1532"/>
      <c r="N2" s="1532"/>
      <c r="O2" s="1532"/>
      <c r="P2" s="1512"/>
      <c r="Q2" s="294"/>
      <c r="R2" s="289"/>
      <c r="S2" s="1844" t="e">
        <f>INDEX(PT_DIFFERENTIATION_NUM_NTAR,MATCH(A2,PT_DIFFERENTIATION_NTAR_ID,0))</f>
        <v>#N/A</v>
      </c>
      <c r="T2" s="1447"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1546"/>
      <c r="AP2" s="1546" t="str">
        <f t="shared" ref="AP2:AP15" si="0">IF(T2="","",T2)</f>
        <v>Наименование тарифа</v>
      </c>
      <c r="AQ2" s="1546"/>
      <c r="AR2" s="1546"/>
      <c r="AS2" s="1553">
        <v>0</v>
      </c>
    </row>
    <row r="3" spans="1:45" ht="21" hidden="1" customHeight="1">
      <c r="A3" s="1189"/>
      <c r="B3" s="1189"/>
      <c r="C3" s="1189"/>
      <c r="D3" s="1189"/>
      <c r="E3" s="3762"/>
      <c r="F3" s="3761">
        <v>1</v>
      </c>
      <c r="G3" s="1189"/>
      <c r="H3" s="1189"/>
      <c r="I3" s="1189"/>
      <c r="J3" s="1189"/>
      <c r="K3" s="1189"/>
      <c r="L3" s="1232"/>
      <c r="M3" s="1532"/>
      <c r="N3" s="1532"/>
      <c r="O3" s="1532"/>
      <c r="P3" s="1826"/>
      <c r="Q3" s="286"/>
      <c r="R3" s="287"/>
      <c r="S3" s="1844" t="e">
        <f>INDEX(PT_DIFFERENTIATION_NUM_TER,MATCH(B3,PT_DIFFERENTIATION_TER_ID,0))</f>
        <v>#N/A</v>
      </c>
      <c r="T3" s="1444"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1546"/>
      <c r="AP3" s="1546" t="str">
        <f t="shared" si="0"/>
        <v>Территория действия тарифа</v>
      </c>
      <c r="AQ3" s="1546"/>
      <c r="AR3" s="1546"/>
      <c r="AS3" s="1553">
        <v>0</v>
      </c>
    </row>
    <row r="4" spans="1:45" ht="23.25" hidden="1" customHeight="1">
      <c r="A4" s="1189"/>
      <c r="B4" s="1189"/>
      <c r="C4" s="1189"/>
      <c r="D4" s="1189"/>
      <c r="E4" s="3762"/>
      <c r="F4" s="3762"/>
      <c r="G4" s="3761">
        <v>1</v>
      </c>
      <c r="H4" s="1189"/>
      <c r="I4" s="1189"/>
      <c r="J4" s="1189"/>
      <c r="K4" s="1189"/>
      <c r="L4" s="1232"/>
      <c r="M4" s="1532"/>
      <c r="N4" s="1532"/>
      <c r="O4" s="1532"/>
      <c r="P4" s="288"/>
      <c r="Q4" s="286"/>
      <c r="R4" s="287"/>
      <c r="S4" s="1844" t="e">
        <f>INDEX(PT_DIFFERENTIATION_NUM_CS,MATCH(C4,PT_DIFFERENTIATION_CS_ID,0))</f>
        <v>#N/A</v>
      </c>
      <c r="T4" s="244" t="s">
        <v>444</v>
      </c>
      <c r="U4" s="235"/>
      <c r="V4" s="3723"/>
      <c r="W4" s="3724"/>
      <c r="X4" s="3724"/>
      <c r="Y4" s="3724"/>
      <c r="Z4" s="3724"/>
      <c r="AA4" s="3724"/>
      <c r="AB4" s="3724"/>
      <c r="AC4" s="3725"/>
      <c r="AD4" s="3723" t="e">
        <f>INDEX(PT_DIFFERENTIATION_CS,MATCH(C4,PT_DIFFERENTIATION_CS_ID,0))</f>
        <v>#N/A</v>
      </c>
      <c r="AE4" s="3724"/>
      <c r="AF4" s="3724"/>
      <c r="AG4" s="3724"/>
      <c r="AH4" s="3724"/>
      <c r="AI4" s="3724"/>
      <c r="AJ4" s="3724"/>
      <c r="AK4" s="3724"/>
      <c r="AL4" s="3725"/>
      <c r="AM4" s="1180" t="s">
        <v>445</v>
      </c>
      <c r="AO4" s="1546"/>
      <c r="AP4" s="1546" t="str">
        <f t="shared" si="0"/>
        <v xml:space="preserve">Наименование системы теплоснабжения </v>
      </c>
      <c r="AQ4" s="1546"/>
      <c r="AR4" s="1546"/>
      <c r="AS4" s="1553">
        <v>0</v>
      </c>
    </row>
    <row r="5" spans="1:45" ht="21" hidden="1" customHeight="1">
      <c r="A5" s="1189"/>
      <c r="B5" s="1189"/>
      <c r="C5" s="1189"/>
      <c r="D5" s="1189"/>
      <c r="E5" s="3762"/>
      <c r="F5" s="3762"/>
      <c r="G5" s="3762"/>
      <c r="H5" s="3761">
        <v>1</v>
      </c>
      <c r="I5" s="1189"/>
      <c r="J5" s="1189"/>
      <c r="K5" s="1189"/>
      <c r="L5" s="1232"/>
      <c r="M5" s="1532"/>
      <c r="N5" s="1532"/>
      <c r="O5" s="1532"/>
      <c r="P5" s="288"/>
      <c r="Q5" s="286"/>
      <c r="R5" s="287"/>
      <c r="S5" s="1844" t="e">
        <f>INDEX(PT_DIFFERENTIATION_NUM_IST_TE,MATCH(D5,PT_DIFFERENTIATION_IST_TE_ID,0))</f>
        <v>#N/A</v>
      </c>
      <c r="T5" s="245" t="s">
        <v>446</v>
      </c>
      <c r="U5" s="235"/>
      <c r="V5" s="3723"/>
      <c r="W5" s="3724"/>
      <c r="X5" s="3724"/>
      <c r="Y5" s="3724"/>
      <c r="Z5" s="3724"/>
      <c r="AA5" s="3724"/>
      <c r="AB5" s="3724"/>
      <c r="AC5" s="3725"/>
      <c r="AD5" s="3723" t="e">
        <f>INDEX(PT_DIFFERENTIATION_IST_TE,MATCH(D5,PT_DIFFERENTIATION_IST_TE_ID,0))</f>
        <v>#N/A</v>
      </c>
      <c r="AE5" s="3724"/>
      <c r="AF5" s="3724"/>
      <c r="AG5" s="3724"/>
      <c r="AH5" s="3724"/>
      <c r="AI5" s="3724"/>
      <c r="AJ5" s="3724"/>
      <c r="AK5" s="3724"/>
      <c r="AL5" s="3725"/>
      <c r="AM5" s="1180" t="s">
        <v>447</v>
      </c>
      <c r="AO5" s="1546"/>
      <c r="AP5" s="1546" t="str">
        <f t="shared" si="0"/>
        <v xml:space="preserve">Источник тепловой энергии  </v>
      </c>
      <c r="AQ5" s="1546"/>
      <c r="AR5" s="1546"/>
      <c r="AS5" s="1553">
        <v>0</v>
      </c>
    </row>
    <row r="6" spans="1:45" ht="47.25" hidden="1" customHeight="1">
      <c r="A6" s="1189"/>
      <c r="B6" s="1189"/>
      <c r="C6" s="1189"/>
      <c r="D6" s="1189"/>
      <c r="E6" s="3762"/>
      <c r="F6" s="3762"/>
      <c r="G6" s="3762"/>
      <c r="H6" s="3762"/>
      <c r="I6" s="3618" t="e">
        <f>S5&amp;".1"</f>
        <v>#N/A</v>
      </c>
      <c r="J6" s="1189"/>
      <c r="K6" s="1189"/>
      <c r="L6" s="1232" t="s">
        <v>448</v>
      </c>
      <c r="M6" s="1557"/>
      <c r="P6" s="3736">
        <v>1</v>
      </c>
      <c r="Q6" s="1840"/>
      <c r="R6" s="290"/>
      <c r="S6" s="1844" t="e">
        <f>$I6</f>
        <v>#N/A</v>
      </c>
      <c r="T6" s="220" t="s">
        <v>449</v>
      </c>
      <c r="U6" s="235"/>
      <c r="V6" s="3726"/>
      <c r="W6" s="3727"/>
      <c r="X6" s="3727"/>
      <c r="Y6" s="3727"/>
      <c r="Z6" s="3727"/>
      <c r="AA6" s="3727"/>
      <c r="AB6" s="3727"/>
      <c r="AC6" s="3728"/>
      <c r="AD6" s="3726"/>
      <c r="AE6" s="3727"/>
      <c r="AF6" s="3727"/>
      <c r="AG6" s="3727"/>
      <c r="AH6" s="3727"/>
      <c r="AI6" s="3727"/>
      <c r="AJ6" s="3727"/>
      <c r="AK6" s="3727"/>
      <c r="AL6" s="3728"/>
      <c r="AM6" s="1180" t="s">
        <v>450</v>
      </c>
      <c r="AO6" s="1546"/>
      <c r="AP6" s="1546" t="str">
        <f t="shared" si="0"/>
        <v>Схема подключения теплопотребляющей установки к коллектору источника тепловой энергии</v>
      </c>
      <c r="AQ6" s="1546"/>
      <c r="AR6" s="1546"/>
      <c r="AS6" s="1553">
        <v>0</v>
      </c>
    </row>
    <row r="7" spans="1:45" ht="21" hidden="1" customHeight="1">
      <c r="A7" s="1189"/>
      <c r="B7" s="1189"/>
      <c r="C7" s="1189"/>
      <c r="D7" s="1189"/>
      <c r="E7" s="3762"/>
      <c r="F7" s="3762"/>
      <c r="G7" s="3762"/>
      <c r="H7" s="3762"/>
      <c r="I7" s="3589"/>
      <c r="J7" s="3618" t="e">
        <f>I6&amp;".1"</f>
        <v>#N/A</v>
      </c>
      <c r="K7" s="1189"/>
      <c r="L7" s="1232" t="s">
        <v>451</v>
      </c>
      <c r="M7" s="1557"/>
      <c r="N7" s="1553"/>
      <c r="P7" s="3736"/>
      <c r="Q7" s="3736">
        <v>1</v>
      </c>
      <c r="R7" s="291"/>
      <c r="S7" s="1844" t="e">
        <f>$J7</f>
        <v>#N/A</v>
      </c>
      <c r="T7" s="221" t="s">
        <v>452</v>
      </c>
      <c r="U7" s="235"/>
      <c r="V7" s="3726"/>
      <c r="W7" s="3727"/>
      <c r="X7" s="3727"/>
      <c r="Y7" s="3727"/>
      <c r="Z7" s="3727"/>
      <c r="AA7" s="3727"/>
      <c r="AB7" s="3727"/>
      <c r="AC7" s="3728"/>
      <c r="AD7" s="3726"/>
      <c r="AE7" s="3727"/>
      <c r="AF7" s="3727"/>
      <c r="AG7" s="3727"/>
      <c r="AH7" s="3727"/>
      <c r="AI7" s="3727"/>
      <c r="AJ7" s="3727"/>
      <c r="AK7" s="3727"/>
      <c r="AL7" s="3728"/>
      <c r="AM7" s="1180" t="s">
        <v>453</v>
      </c>
      <c r="AO7" s="1546"/>
      <c r="AP7" s="1546" t="str">
        <f t="shared" si="0"/>
        <v>Группа потребителей</v>
      </c>
      <c r="AQ7" s="1546"/>
      <c r="AR7" s="1546"/>
      <c r="AS7" s="1553">
        <v>0</v>
      </c>
    </row>
    <row r="8" spans="1:45" ht="21" hidden="1" customHeight="1">
      <c r="A8" s="1189"/>
      <c r="B8" s="1189"/>
      <c r="C8" s="1189"/>
      <c r="D8" s="1189"/>
      <c r="E8" s="3762"/>
      <c r="F8" s="3762"/>
      <c r="G8" s="3762"/>
      <c r="H8" s="3762"/>
      <c r="I8" s="3589"/>
      <c r="J8" s="3589"/>
      <c r="K8" s="3618" t="e">
        <f>J7&amp;".1"</f>
        <v>#N/A</v>
      </c>
      <c r="L8" s="1232" t="s">
        <v>454</v>
      </c>
      <c r="M8" s="1557"/>
      <c r="N8" s="1553"/>
      <c r="O8" s="1553"/>
      <c r="P8" s="3736"/>
      <c r="Q8" s="3736"/>
      <c r="R8" s="291">
        <v>1</v>
      </c>
      <c r="S8" s="1844" t="e">
        <f>$K8</f>
        <v>#N/A</v>
      </c>
      <c r="T8" s="1269"/>
      <c r="U8" s="235"/>
      <c r="V8" s="685"/>
      <c r="W8" s="260"/>
      <c r="X8" s="685"/>
      <c r="Y8" s="1179"/>
      <c r="Z8" s="3740"/>
      <c r="AA8" s="3599" t="s">
        <v>50</v>
      </c>
      <c r="AB8" s="3740"/>
      <c r="AC8" s="3599" t="s">
        <v>50</v>
      </c>
      <c r="AD8" s="685"/>
      <c r="AE8" s="260"/>
      <c r="AF8" s="685"/>
      <c r="AG8" s="1179"/>
      <c r="AH8" s="3740"/>
      <c r="AI8" s="3599" t="s">
        <v>50</v>
      </c>
      <c r="AJ8" s="3740"/>
      <c r="AK8" s="3599" t="s">
        <v>50</v>
      </c>
      <c r="AL8" s="260"/>
      <c r="AM8" s="3732" t="s">
        <v>455</v>
      </c>
      <c r="AN8" s="1558" t="e">
        <f ca="1">STRCHECKDATE(V9:AL9)</f>
        <v>#NAME?</v>
      </c>
      <c r="AO8" s="1546"/>
      <c r="AP8" s="1546" t="str">
        <f t="shared" si="0"/>
        <v/>
      </c>
      <c r="AQ8" s="1546"/>
      <c r="AR8" s="1546"/>
      <c r="AS8" s="1553">
        <v>0</v>
      </c>
    </row>
    <row r="9" spans="1:45" ht="0.75" hidden="1" customHeight="1">
      <c r="A9" s="1189"/>
      <c r="B9" s="1189"/>
      <c r="C9" s="1189"/>
      <c r="D9" s="1189"/>
      <c r="E9" s="3762"/>
      <c r="F9" s="3762"/>
      <c r="G9" s="3762"/>
      <c r="H9" s="3762"/>
      <c r="I9" s="3589"/>
      <c r="J9" s="3589"/>
      <c r="K9" s="3618"/>
      <c r="L9" s="1232"/>
      <c r="M9" s="1557"/>
      <c r="N9" s="1553"/>
      <c r="O9" s="1553"/>
      <c r="P9" s="3736"/>
      <c r="Q9" s="3736"/>
      <c r="R9" s="291"/>
      <c r="S9" s="1853"/>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1546"/>
      <c r="AP9" s="1546" t="str">
        <f t="shared" si="0"/>
        <v/>
      </c>
      <c r="AQ9" s="1546"/>
      <c r="AR9" s="1546"/>
      <c r="AS9" s="1553">
        <v>0</v>
      </c>
    </row>
    <row r="10" spans="1:45" ht="15" hidden="1" customHeight="1">
      <c r="A10" s="1189"/>
      <c r="B10" s="1189"/>
      <c r="C10" s="1189"/>
      <c r="D10" s="1189"/>
      <c r="E10" s="3762"/>
      <c r="F10" s="3762"/>
      <c r="G10" s="3762"/>
      <c r="H10" s="3762"/>
      <c r="I10" s="3589"/>
      <c r="J10" s="3618"/>
      <c r="K10" s="1189"/>
      <c r="L10" s="1232"/>
      <c r="M10" s="1557"/>
      <c r="N10" s="1553"/>
      <c r="P10" s="3736"/>
      <c r="Q10" s="3736"/>
      <c r="R10" s="290"/>
      <c r="S10" s="1200"/>
      <c r="T10" s="223" t="s">
        <v>456</v>
      </c>
      <c r="U10" s="534"/>
      <c r="V10" s="534"/>
      <c r="W10" s="534"/>
      <c r="X10" s="534"/>
      <c r="Y10" s="534"/>
      <c r="Z10" s="534"/>
      <c r="AA10" s="534"/>
      <c r="AB10" s="534"/>
      <c r="AC10" s="534"/>
      <c r="AD10" s="534"/>
      <c r="AE10" s="534"/>
      <c r="AF10" s="534"/>
      <c r="AG10" s="534"/>
      <c r="AH10" s="534"/>
      <c r="AI10" s="534"/>
      <c r="AJ10" s="534"/>
      <c r="AK10" s="534"/>
      <c r="AL10" s="259"/>
      <c r="AM10" s="3734"/>
      <c r="AO10" s="1546"/>
      <c r="AP10" s="1546" t="str">
        <f t="shared" si="0"/>
        <v>Добавить вид теплоносителя (параметры теплоносителя)</v>
      </c>
      <c r="AQ10" s="1546"/>
      <c r="AR10" s="1546"/>
      <c r="AS10" s="1553">
        <v>0</v>
      </c>
    </row>
    <row r="11" spans="1:45" ht="15" hidden="1" customHeight="1">
      <c r="A11" s="1189"/>
      <c r="B11" s="1189"/>
      <c r="C11" s="1189"/>
      <c r="D11" s="1189"/>
      <c r="E11" s="3762"/>
      <c r="F11" s="3762"/>
      <c r="G11" s="3762"/>
      <c r="H11" s="3762"/>
      <c r="I11" s="3618"/>
      <c r="J11" s="1189"/>
      <c r="K11" s="1189"/>
      <c r="L11" s="1232"/>
      <c r="M11" s="1557"/>
      <c r="P11" s="3736"/>
      <c r="Q11" s="1840"/>
      <c r="R11" s="290"/>
      <c r="S11" s="1200"/>
      <c r="T11" s="222" t="s">
        <v>457</v>
      </c>
      <c r="U11" s="534"/>
      <c r="V11" s="534"/>
      <c r="W11" s="534"/>
      <c r="X11" s="534"/>
      <c r="Y11" s="534"/>
      <c r="Z11" s="534"/>
      <c r="AA11" s="534"/>
      <c r="AB11" s="534"/>
      <c r="AC11" s="300"/>
      <c r="AD11" s="534"/>
      <c r="AE11" s="534"/>
      <c r="AF11" s="534"/>
      <c r="AG11" s="534"/>
      <c r="AH11" s="534"/>
      <c r="AI11" s="534"/>
      <c r="AJ11" s="534"/>
      <c r="AK11" s="300"/>
      <c r="AL11" s="534"/>
      <c r="AM11" s="238"/>
      <c r="AO11" s="1546"/>
      <c r="AP11" s="1546" t="str">
        <f t="shared" si="0"/>
        <v>Добавить группу потребителей</v>
      </c>
      <c r="AQ11" s="1546"/>
      <c r="AR11" s="1546"/>
      <c r="AS11" s="1553">
        <v>0</v>
      </c>
    </row>
    <row r="12" spans="1:45" ht="14.25" hidden="1" customHeight="1">
      <c r="A12" s="1189"/>
      <c r="B12" s="1189"/>
      <c r="C12" s="1189"/>
      <c r="D12" s="1189"/>
      <c r="E12" s="3762"/>
      <c r="F12" s="3762"/>
      <c r="G12" s="3762"/>
      <c r="H12" s="3761"/>
      <c r="I12" s="1189"/>
      <c r="J12" s="1189"/>
      <c r="K12" s="1189"/>
      <c r="L12" s="1232"/>
      <c r="M12" s="1532"/>
      <c r="N12" s="1532"/>
      <c r="O12" s="1557"/>
      <c r="P12" s="294"/>
      <c r="Q12" s="309"/>
      <c r="R12" s="289"/>
      <c r="S12" s="1200"/>
      <c r="T12" s="299" t="s">
        <v>458</v>
      </c>
      <c r="U12" s="534"/>
      <c r="V12" s="534"/>
      <c r="W12" s="534"/>
      <c r="X12" s="534"/>
      <c r="Y12" s="534"/>
      <c r="Z12" s="534"/>
      <c r="AA12" s="534"/>
      <c r="AB12" s="534"/>
      <c r="AC12" s="300"/>
      <c r="AD12" s="534"/>
      <c r="AE12" s="534"/>
      <c r="AF12" s="534"/>
      <c r="AG12" s="534"/>
      <c r="AH12" s="534"/>
      <c r="AI12" s="534"/>
      <c r="AJ12" s="534"/>
      <c r="AK12" s="300"/>
      <c r="AL12" s="534"/>
      <c r="AM12" s="238"/>
      <c r="AO12" s="1546"/>
      <c r="AP12" s="1546" t="str">
        <f t="shared" si="0"/>
        <v>Добавить схему подключения</v>
      </c>
      <c r="AQ12" s="1546"/>
      <c r="AR12" s="1546"/>
      <c r="AS12" s="1553">
        <v>0</v>
      </c>
    </row>
    <row r="13" spans="1:45" s="1564" customFormat="1" ht="0.75" hidden="1" customHeight="1">
      <c r="A13" s="1860"/>
      <c r="B13" s="1860"/>
      <c r="C13" s="1860"/>
      <c r="D13" s="1860"/>
      <c r="E13" s="3762"/>
      <c r="F13" s="3762"/>
      <c r="G13" s="3761"/>
      <c r="H13" s="1860"/>
      <c r="I13" s="1860"/>
      <c r="J13" s="1860"/>
      <c r="K13" s="1860"/>
      <c r="L13" s="1302"/>
      <c r="M13" s="1532"/>
      <c r="N13" s="1532"/>
      <c r="O13" s="1557"/>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1173"/>
      <c r="AP13" s="1173" t="str">
        <f t="shared" si="0"/>
        <v>Добавить источник для дифференциации</v>
      </c>
      <c r="AQ13" s="1173"/>
      <c r="AR13" s="1173"/>
      <c r="AS13" s="1564">
        <v>0</v>
      </c>
    </row>
    <row r="14" spans="1:45" s="1564" customFormat="1" ht="0.75" hidden="1" customHeight="1">
      <c r="A14" s="1860"/>
      <c r="B14" s="1860"/>
      <c r="C14" s="1860"/>
      <c r="D14" s="1860"/>
      <c r="E14" s="3762"/>
      <c r="F14" s="3761"/>
      <c r="G14" s="1860"/>
      <c r="H14" s="1860"/>
      <c r="I14" s="1860"/>
      <c r="J14" s="1860"/>
      <c r="K14" s="1860"/>
      <c r="L14" s="1302"/>
      <c r="M14" s="1861"/>
      <c r="N14" s="1861"/>
      <c r="O14" s="1557"/>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1173"/>
      <c r="AP14" s="1173" t="str">
        <f t="shared" si="0"/>
        <v>Добавить централизованную систему для дифференциации</v>
      </c>
      <c r="AQ14" s="1173"/>
      <c r="AR14" s="1173"/>
      <c r="AS14" s="1564">
        <v>0</v>
      </c>
    </row>
    <row r="15" spans="1:45" s="1564" customFormat="1" ht="0.75" hidden="1" customHeight="1">
      <c r="A15" s="1860"/>
      <c r="B15" s="1860"/>
      <c r="C15" s="1860"/>
      <c r="D15" s="1860"/>
      <c r="E15" s="3761"/>
      <c r="F15" s="1860"/>
      <c r="G15" s="1860"/>
      <c r="H15" s="1860"/>
      <c r="I15" s="1860"/>
      <c r="J15" s="1860"/>
      <c r="K15" s="1860"/>
      <c r="L15" s="1302"/>
      <c r="M15" s="1861"/>
      <c r="N15" s="1861"/>
      <c r="O15" s="1557"/>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1173"/>
      <c r="AP15" s="1173" t="str">
        <f t="shared" si="0"/>
        <v>Добавить территорию для дифференциации</v>
      </c>
      <c r="AQ15" s="1173"/>
      <c r="AR15" s="1173"/>
      <c r="AS15" s="1564">
        <v>0</v>
      </c>
    </row>
    <row r="16" spans="1:45" ht="14.25" hidden="1" customHeight="1">
      <c r="AS16" s="1553">
        <v>0</v>
      </c>
    </row>
    <row r="17" spans="1:45" ht="14.25" hidden="1" customHeight="1">
      <c r="AD17" s="1282"/>
      <c r="AE17" s="1282"/>
      <c r="AF17" s="1282"/>
      <c r="AG17" s="1283"/>
      <c r="AH17" s="3742"/>
      <c r="AI17" s="3743" t="s">
        <v>50</v>
      </c>
      <c r="AJ17" s="3742"/>
      <c r="AK17" s="3743" t="s">
        <v>50</v>
      </c>
      <c r="AS17" s="1553">
        <v>0</v>
      </c>
    </row>
    <row r="18" spans="1:45" ht="14.25" hidden="1" customHeight="1">
      <c r="AD18" s="1282"/>
      <c r="AE18" s="1282"/>
      <c r="AF18" s="1282"/>
      <c r="AG18" s="263" t="str">
        <f>AH17&amp;"-"&amp;AJ17</f>
        <v>-</v>
      </c>
      <c r="AH18" s="3743"/>
      <c r="AI18" s="3743"/>
      <c r="AJ18" s="3743"/>
      <c r="AK18" s="3743"/>
      <c r="AS18" s="1553">
        <v>0</v>
      </c>
    </row>
    <row r="19" spans="1:45" ht="14.25" hidden="1" customHeight="1">
      <c r="AS19" s="1553">
        <v>0</v>
      </c>
    </row>
    <row r="20" spans="1:45" s="1288" customFormat="1" ht="22.5" hidden="1" customHeight="1">
      <c r="A20" s="1553"/>
      <c r="B20" s="1553"/>
      <c r="C20" s="1553"/>
      <c r="D20" s="1553"/>
      <c r="E20" s="1553"/>
      <c r="F20" s="1553"/>
      <c r="G20" s="1553"/>
      <c r="H20" s="1553"/>
      <c r="I20" s="1553"/>
      <c r="J20" s="1553"/>
      <c r="K20" s="1553"/>
      <c r="L20" s="1825"/>
      <c r="M20" s="1851"/>
      <c r="N20" s="1851"/>
      <c r="O20" s="1267" t="s">
        <v>462</v>
      </c>
      <c r="P20" s="1284"/>
      <c r="Q20" s="1293"/>
      <c r="R20" s="1293"/>
      <c r="S20" s="663"/>
      <c r="Z20" s="1289"/>
      <c r="AB20" s="1289"/>
      <c r="AH20" s="1289"/>
      <c r="AJ20" s="1289"/>
      <c r="AN20" s="1558"/>
      <c r="AO20" s="1558"/>
      <c r="AP20" s="1558"/>
      <c r="AQ20" s="1558"/>
      <c r="AR20" s="1558"/>
      <c r="AS20" s="1288">
        <v>0</v>
      </c>
    </row>
    <row r="21" spans="1:45" s="1288" customFormat="1" ht="14.25" hidden="1" customHeight="1">
      <c r="A21" s="1553"/>
      <c r="B21" s="1553"/>
      <c r="C21" s="1553"/>
      <c r="D21" s="1553"/>
      <c r="E21" s="1553"/>
      <c r="F21" s="1553"/>
      <c r="G21" s="1553"/>
      <c r="H21" s="1553"/>
      <c r="I21" s="1553"/>
      <c r="J21" s="1553"/>
      <c r="K21" s="1553"/>
      <c r="L21" s="1825"/>
      <c r="M21" s="1851"/>
      <c r="N21" s="1851"/>
      <c r="O21" s="1851"/>
      <c r="P21" s="1284"/>
      <c r="Q21" s="1293"/>
      <c r="R21" s="1293"/>
      <c r="S21" s="663"/>
      <c r="AN21" s="1558"/>
      <c r="AO21" s="1558"/>
      <c r="AP21" s="1558"/>
      <c r="AQ21" s="1558"/>
      <c r="AR21" s="1558"/>
      <c r="AS21" s="1288">
        <v>0</v>
      </c>
    </row>
    <row r="22" spans="1:45" s="1288" customFormat="1" ht="14.25" hidden="1" customHeight="1">
      <c r="A22" s="1553"/>
      <c r="B22" s="1553"/>
      <c r="C22" s="1553"/>
      <c r="D22" s="1553"/>
      <c r="E22" s="1553"/>
      <c r="F22" s="1553"/>
      <c r="G22" s="1553"/>
      <c r="H22" s="1553"/>
      <c r="I22" s="1553"/>
      <c r="J22" s="1553"/>
      <c r="K22" s="1553"/>
      <c r="L22" s="1825"/>
      <c r="M22" s="1851"/>
      <c r="N22" s="1851"/>
      <c r="O22" s="1232" t="s">
        <v>463</v>
      </c>
      <c r="P22" s="1284"/>
      <c r="Q22" s="1293"/>
      <c r="R22" s="1293"/>
      <c r="S22" s="663"/>
      <c r="T22" s="1288" t="s">
        <v>464</v>
      </c>
      <c r="AA22" s="529" t="s">
        <v>465</v>
      </c>
      <c r="AC22" s="529" t="s">
        <v>466</v>
      </c>
      <c r="AD22" s="1288" t="s">
        <v>464</v>
      </c>
      <c r="AI22" s="529" t="s">
        <v>467</v>
      </c>
      <c r="AK22" s="529" t="s">
        <v>466</v>
      </c>
      <c r="AN22" s="1558"/>
      <c r="AO22" s="1558"/>
      <c r="AP22" s="1558"/>
      <c r="AQ22" s="1558"/>
      <c r="AR22" s="1558"/>
      <c r="AS22" s="1288">
        <v>0</v>
      </c>
    </row>
    <row r="23" spans="1:45" ht="14.25" hidden="1" customHeight="1">
      <c r="O23" s="1232"/>
      <c r="AS23" s="1553">
        <v>0</v>
      </c>
    </row>
    <row r="24" spans="1:45" ht="14.25" hidden="1" customHeight="1">
      <c r="O24" s="1232"/>
      <c r="AS24" s="1553">
        <v>0</v>
      </c>
    </row>
    <row r="25" spans="1:45" ht="14.65" customHeight="1">
      <c r="Q25" s="310"/>
      <c r="R25" s="310"/>
      <c r="S25" s="1197"/>
      <c r="T25" s="391"/>
      <c r="U25" s="391"/>
      <c r="AS25" s="1553">
        <v>14</v>
      </c>
    </row>
    <row r="26" spans="1:45" ht="14.65" customHeight="1">
      <c r="Q26" s="310"/>
      <c r="R26" s="310"/>
      <c r="S26" s="37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721"/>
      <c r="U26" s="3721"/>
      <c r="V26" s="3721"/>
      <c r="W26" s="3721"/>
      <c r="X26" s="3721"/>
      <c r="Y26" s="3721"/>
      <c r="Z26" s="3721"/>
      <c r="AA26" s="3721"/>
      <c r="AB26" s="3721"/>
      <c r="AC26" s="3721"/>
      <c r="AD26" s="3721"/>
      <c r="AE26" s="3721"/>
      <c r="AF26" s="3721"/>
      <c r="AG26" s="3721"/>
      <c r="AH26" s="3721"/>
      <c r="AI26" s="3721"/>
      <c r="AJ26" s="3721"/>
      <c r="AK26" s="1165"/>
      <c r="AS26" s="1553">
        <v>14</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553">
        <v>14</v>
      </c>
    </row>
    <row r="28" spans="1:45" ht="14.25" hidden="1" customHeight="1">
      <c r="Q28" s="310"/>
      <c r="R28" s="310"/>
      <c r="S28" s="1197"/>
      <c r="T28" s="391"/>
      <c r="U28" s="391"/>
      <c r="V28" s="257"/>
      <c r="W28" s="257"/>
      <c r="X28" s="257"/>
      <c r="Y28" s="257"/>
      <c r="Z28" s="257"/>
      <c r="AA28" s="257"/>
      <c r="AB28" s="257"/>
      <c r="AC28" s="257"/>
      <c r="AD28" s="257"/>
      <c r="AE28" s="257"/>
      <c r="AF28" s="257"/>
      <c r="AG28" s="257"/>
      <c r="AH28" s="257"/>
      <c r="AI28" s="257"/>
      <c r="AJ28" s="257"/>
      <c r="AK28" s="257"/>
      <c r="AS28" s="1553">
        <v>0</v>
      </c>
    </row>
    <row r="29" spans="1:45" s="1742" customFormat="1" ht="25.5" hidden="1" customHeight="1">
      <c r="A29" s="1170"/>
      <c r="B29" s="1170"/>
      <c r="C29" s="1170"/>
      <c r="D29" s="1170"/>
      <c r="E29" s="1170"/>
      <c r="F29" s="1170"/>
      <c r="G29" s="1170"/>
      <c r="H29" s="1170"/>
      <c r="I29" s="1170"/>
      <c r="J29" s="1170"/>
      <c r="K29" s="1170"/>
      <c r="L29" s="1302"/>
      <c r="M29" s="1170"/>
      <c r="N29" s="1170"/>
      <c r="O29" s="117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1557"/>
      <c r="AD29" s="3730" t="str">
        <f>IF(TITLE_NAME_OR_PR_CHANGE="",IF(TITLE_NAME_OR_PR="","",TITLE_NAME_OR_PR),TITLE_NAME_OR_PR_CHANGE)</f>
        <v/>
      </c>
      <c r="AE29" s="3730"/>
      <c r="AF29" s="3730"/>
      <c r="AG29" s="3730"/>
      <c r="AH29" s="3730"/>
      <c r="AI29" s="3730"/>
      <c r="AJ29" s="3730"/>
      <c r="AK29" s="1557"/>
      <c r="AL29" s="1557"/>
      <c r="AM29" s="215"/>
      <c r="AN29" s="302"/>
      <c r="AO29" s="302"/>
      <c r="AP29" s="302"/>
      <c r="AQ29" s="302"/>
      <c r="AR29" s="302"/>
      <c r="AS29" s="352">
        <v>0</v>
      </c>
    </row>
    <row r="30" spans="1:45" s="1742" customFormat="1" ht="18.75" hidden="1" customHeight="1">
      <c r="A30" s="1170"/>
      <c r="B30" s="1170"/>
      <c r="C30" s="1170"/>
      <c r="D30" s="1170"/>
      <c r="E30" s="1170"/>
      <c r="F30" s="1170"/>
      <c r="G30" s="1170"/>
      <c r="H30" s="1170"/>
      <c r="I30" s="1170"/>
      <c r="J30" s="1170"/>
      <c r="K30" s="1170"/>
      <c r="L30" s="1302"/>
      <c r="M30" s="1170"/>
      <c r="N30" s="1170"/>
      <c r="O30" s="117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1557"/>
      <c r="AD30" s="3739" t="str">
        <f>IF(TITLE_DATE_PR_CHANGE="",IF(TITLE_DATE_PR="","",TITLE_DATE_PR),TITLE_DATE_PR_CHANGE)</f>
        <v/>
      </c>
      <c r="AE30" s="3739"/>
      <c r="AF30" s="3739"/>
      <c r="AG30" s="3739"/>
      <c r="AH30" s="3739"/>
      <c r="AI30" s="3739"/>
      <c r="AJ30" s="3739"/>
      <c r="AK30" s="1557"/>
      <c r="AL30" s="1557"/>
      <c r="AM30" s="215"/>
      <c r="AN30" s="302"/>
      <c r="AO30" s="302"/>
      <c r="AP30" s="302"/>
      <c r="AQ30" s="302"/>
      <c r="AR30" s="302"/>
      <c r="AS30" s="352">
        <v>0</v>
      </c>
    </row>
    <row r="31" spans="1:45" s="1742" customFormat="1" ht="18.75" hidden="1" customHeight="1">
      <c r="A31" s="1170"/>
      <c r="B31" s="1170"/>
      <c r="C31" s="1170"/>
      <c r="D31" s="1170"/>
      <c r="E31" s="1170"/>
      <c r="F31" s="1170"/>
      <c r="G31" s="1170"/>
      <c r="H31" s="1170"/>
      <c r="I31" s="1170"/>
      <c r="J31" s="1170"/>
      <c r="K31" s="1170"/>
      <c r="L31" s="1302"/>
      <c r="M31" s="1170"/>
      <c r="N31" s="1170"/>
      <c r="O31" s="117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1557"/>
      <c r="AD31" s="3730" t="str">
        <f>IF(TITLE_NUMBER_PR_CHANGE="",IF(TITLE_NUMBER_PR="","",TITLE_NUMBER_PR),TITLE_NUMBER_PR_CHANGE)</f>
        <v/>
      </c>
      <c r="AE31" s="3730"/>
      <c r="AF31" s="3730"/>
      <c r="AG31" s="3730"/>
      <c r="AH31" s="3730"/>
      <c r="AI31" s="3730"/>
      <c r="AJ31" s="3730"/>
      <c r="AK31" s="1557"/>
      <c r="AL31" s="1557"/>
      <c r="AM31" s="215"/>
      <c r="AN31" s="302"/>
      <c r="AO31" s="302"/>
      <c r="AP31" s="302"/>
      <c r="AQ31" s="302"/>
      <c r="AR31" s="302"/>
      <c r="AS31" s="352">
        <v>0</v>
      </c>
    </row>
    <row r="32" spans="1:45" s="1742" customFormat="1" ht="18.75" hidden="1" customHeight="1">
      <c r="A32" s="1170"/>
      <c r="B32" s="1170"/>
      <c r="C32" s="1170"/>
      <c r="D32" s="1170"/>
      <c r="E32" s="1170"/>
      <c r="F32" s="1170"/>
      <c r="G32" s="1170"/>
      <c r="H32" s="1170"/>
      <c r="I32" s="1170"/>
      <c r="J32" s="1170"/>
      <c r="K32" s="1170"/>
      <c r="L32" s="1302"/>
      <c r="M32" s="1170"/>
      <c r="N32" s="1170"/>
      <c r="O32" s="1170"/>
      <c r="S32" s="3729" t="s">
        <v>30</v>
      </c>
      <c r="T32" s="3729"/>
      <c r="U32" s="1294"/>
      <c r="V32" s="3730" t="str">
        <f>IF(TITLE_IST_PUB_CHANGE="",IF(TITLE_IST_PUB="","",TITLE_IST_PUB),TITLE_IST_PUB_CHANGE)</f>
        <v/>
      </c>
      <c r="W32" s="3730"/>
      <c r="X32" s="3730"/>
      <c r="Y32" s="3730"/>
      <c r="Z32" s="3730"/>
      <c r="AA32" s="3730"/>
      <c r="AB32" s="3730"/>
      <c r="AC32" s="1557"/>
      <c r="AD32" s="3730" t="str">
        <f>IF(TITLE_IST_PUB_CHANGE="",IF(TITLE_IST_PUB="","",TITLE_IST_PUB),TITLE_IST_PUB_CHANGE)</f>
        <v/>
      </c>
      <c r="AE32" s="3730"/>
      <c r="AF32" s="3730"/>
      <c r="AG32" s="3730"/>
      <c r="AH32" s="3730"/>
      <c r="AI32" s="3730"/>
      <c r="AJ32" s="3730"/>
      <c r="AK32" s="1557"/>
      <c r="AL32" s="1557"/>
      <c r="AM32" s="215"/>
      <c r="AN32" s="302"/>
      <c r="AO32" s="302"/>
      <c r="AP32" s="302"/>
      <c r="AQ32" s="302"/>
      <c r="AR32" s="302"/>
      <c r="AS32" s="352">
        <v>0</v>
      </c>
    </row>
    <row r="33" spans="1:45" ht="14.25" hidden="1" customHeight="1">
      <c r="Q33" s="310"/>
      <c r="R33" s="310"/>
      <c r="S33" s="1197"/>
      <c r="T33" s="391"/>
      <c r="U33" s="391"/>
      <c r="V33" s="257"/>
      <c r="W33" s="257"/>
      <c r="X33" s="257"/>
      <c r="Y33" s="257"/>
      <c r="Z33" s="257"/>
      <c r="AA33" s="257"/>
      <c r="AB33" s="257"/>
      <c r="AC33" s="257"/>
      <c r="AD33" s="257"/>
      <c r="AE33" s="257"/>
      <c r="AF33" s="257"/>
      <c r="AG33" s="257"/>
      <c r="AH33" s="257"/>
      <c r="AI33" s="257"/>
      <c r="AJ33" s="257"/>
      <c r="AK33" s="257"/>
      <c r="AS33" s="1553">
        <v>0</v>
      </c>
    </row>
    <row r="34" spans="1:45" s="1742" customFormat="1" ht="18.75" hidden="1" customHeight="1">
      <c r="A34" s="1170"/>
      <c r="B34" s="1170"/>
      <c r="C34" s="1170"/>
      <c r="D34" s="1170"/>
      <c r="E34" s="1170"/>
      <c r="F34" s="1170"/>
      <c r="G34" s="1170"/>
      <c r="H34" s="1170"/>
      <c r="I34" s="1170"/>
      <c r="J34" s="1170"/>
      <c r="K34" s="1170"/>
      <c r="L34" s="1302"/>
      <c r="M34" s="1170"/>
      <c r="N34" s="1170"/>
      <c r="O34" s="117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1557"/>
      <c r="AD34" s="3739" t="str">
        <f>IF(TITLE_DATE_PR_CHANGE="",IF(TITLE_DATE_PR="","",TITLE_DATE_PR),TITLE_DATE_PR_CHANGE)</f>
        <v/>
      </c>
      <c r="AE34" s="3739"/>
      <c r="AF34" s="3739"/>
      <c r="AG34" s="3739"/>
      <c r="AH34" s="3739"/>
      <c r="AI34" s="3739"/>
      <c r="AJ34" s="3739"/>
      <c r="AK34" s="1557"/>
      <c r="AL34" s="1557"/>
      <c r="AM34" s="215"/>
      <c r="AN34" s="302"/>
      <c r="AO34" s="302"/>
      <c r="AP34" s="302"/>
      <c r="AQ34" s="302"/>
      <c r="AR34" s="302"/>
      <c r="AS34" s="352">
        <v>0</v>
      </c>
    </row>
    <row r="35" spans="1:45" s="1742" customFormat="1" ht="18.75" hidden="1" customHeight="1">
      <c r="A35" s="1170"/>
      <c r="B35" s="1170"/>
      <c r="C35" s="1170"/>
      <c r="D35" s="1170"/>
      <c r="E35" s="1170"/>
      <c r="F35" s="1170"/>
      <c r="G35" s="1170"/>
      <c r="H35" s="1170"/>
      <c r="I35" s="1170"/>
      <c r="J35" s="1170"/>
      <c r="K35" s="1170"/>
      <c r="L35" s="1302"/>
      <c r="M35" s="1170"/>
      <c r="N35" s="1170"/>
      <c r="O35" s="117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1557"/>
      <c r="AD35" s="3730" t="str">
        <f>IF(TITLE_NUMBER_PR_CHANGE="",IF(TITLE_NUMBER_PR="","",TITLE_NUMBER_PR),TITLE_NUMBER_PR_CHANGE)</f>
        <v/>
      </c>
      <c r="AE35" s="3730"/>
      <c r="AF35" s="3730"/>
      <c r="AG35" s="3730"/>
      <c r="AH35" s="3730"/>
      <c r="AI35" s="3730"/>
      <c r="AJ35" s="3730"/>
      <c r="AK35" s="1557"/>
      <c r="AL35" s="1557"/>
      <c r="AM35" s="215"/>
      <c r="AN35" s="302"/>
      <c r="AO35" s="302"/>
      <c r="AP35" s="302"/>
      <c r="AQ35" s="302"/>
      <c r="AR35" s="302"/>
      <c r="AS35" s="352">
        <v>0</v>
      </c>
    </row>
    <row r="36" spans="1:45" s="1742" customFormat="1" ht="0" hidden="1" customHeight="1">
      <c r="A36" s="1170"/>
      <c r="B36" s="1170"/>
      <c r="C36" s="1170"/>
      <c r="D36" s="1170"/>
      <c r="E36" s="1170"/>
      <c r="F36" s="1170"/>
      <c r="G36" s="1170"/>
      <c r="H36" s="1170"/>
      <c r="I36" s="1170"/>
      <c r="J36" s="1170"/>
      <c r="K36" s="1170"/>
      <c r="L36" s="1302"/>
      <c r="M36" s="1170"/>
      <c r="N36" s="1170"/>
      <c r="O36" s="1170"/>
      <c r="S36" s="1557"/>
      <c r="T36" s="1557"/>
      <c r="U36" s="1856"/>
      <c r="V36" s="1557"/>
      <c r="W36" s="1557"/>
      <c r="X36" s="1557"/>
      <c r="Y36" s="1557"/>
      <c r="Z36" s="1557"/>
      <c r="AA36" s="1557"/>
      <c r="AB36" s="1557"/>
      <c r="AC36" s="1564" t="s">
        <v>468</v>
      </c>
      <c r="AD36" s="1557"/>
      <c r="AE36" s="1557"/>
      <c r="AF36" s="1557"/>
      <c r="AG36" s="1557"/>
      <c r="AH36" s="1557"/>
      <c r="AI36" s="1557"/>
      <c r="AJ36" s="1557"/>
      <c r="AK36" s="1564" t="s">
        <v>468</v>
      </c>
      <c r="AN36" s="302"/>
      <c r="AO36" s="302"/>
      <c r="AP36" s="302"/>
      <c r="AQ36" s="302"/>
      <c r="AR36" s="302"/>
      <c r="AS36" s="352">
        <v>0</v>
      </c>
    </row>
    <row r="37" spans="1:45" ht="14.65" customHeight="1">
      <c r="Q37" s="310"/>
      <c r="R37" s="310"/>
      <c r="S37" s="1197"/>
      <c r="T37" s="391"/>
      <c r="U37" s="1166"/>
      <c r="V37" s="3731"/>
      <c r="W37" s="3731"/>
      <c r="X37" s="3731"/>
      <c r="Y37" s="3731"/>
      <c r="Z37" s="3731"/>
      <c r="AA37" s="3731"/>
      <c r="AB37" s="3731"/>
      <c r="AC37" s="3731"/>
      <c r="AD37" s="3731"/>
      <c r="AE37" s="3731"/>
      <c r="AF37" s="3731"/>
      <c r="AG37" s="3731"/>
      <c r="AH37" s="3731"/>
      <c r="AI37" s="3731"/>
      <c r="AJ37" s="3731"/>
      <c r="AK37" s="3731"/>
      <c r="AS37" s="1553">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553">
        <v>14</v>
      </c>
    </row>
    <row r="39" spans="1:45" ht="14.65" customHeight="1">
      <c r="Q39" s="310"/>
      <c r="R39" s="310"/>
      <c r="S39" s="3745" t="s">
        <v>76</v>
      </c>
      <c r="T39" s="3697" t="s">
        <v>469</v>
      </c>
      <c r="U39" s="272"/>
      <c r="V39" s="3746" t="s">
        <v>470</v>
      </c>
      <c r="W39" s="3747"/>
      <c r="X39" s="3747"/>
      <c r="Y39" s="3747"/>
      <c r="Z39" s="3747"/>
      <c r="AA39" s="3747"/>
      <c r="AB39" s="3748"/>
      <c r="AC39" s="3749" t="s">
        <v>471</v>
      </c>
      <c r="AD39" s="3746" t="s">
        <v>470</v>
      </c>
      <c r="AE39" s="3747"/>
      <c r="AF39" s="3747"/>
      <c r="AG39" s="3747"/>
      <c r="AH39" s="3747"/>
      <c r="AI39" s="3747"/>
      <c r="AJ39" s="3748"/>
      <c r="AK39" s="3749" t="s">
        <v>472</v>
      </c>
      <c r="AL39" s="3752" t="s">
        <v>473</v>
      </c>
      <c r="AM39" s="3618"/>
      <c r="AS39" s="1553">
        <v>14</v>
      </c>
    </row>
    <row r="40" spans="1:45" ht="35.65" customHeight="1">
      <c r="Q40" s="310"/>
      <c r="R40" s="310"/>
      <c r="S40" s="3745"/>
      <c r="T40" s="3697"/>
      <c r="U40" s="957"/>
      <c r="V40" s="3666" t="s">
        <v>474</v>
      </c>
      <c r="W40" s="3755" t="s">
        <v>475</v>
      </c>
      <c r="X40" s="3589" t="s">
        <v>476</v>
      </c>
      <c r="Y40" s="3588"/>
      <c r="Z40" s="3589" t="s">
        <v>490</v>
      </c>
      <c r="AA40" s="3595"/>
      <c r="AB40" s="3588"/>
      <c r="AC40" s="3750"/>
      <c r="AD40" s="3666" t="s">
        <v>474</v>
      </c>
      <c r="AE40" s="3755" t="s">
        <v>475</v>
      </c>
      <c r="AF40" s="3589" t="s">
        <v>476</v>
      </c>
      <c r="AG40" s="3588"/>
      <c r="AH40" s="3589" t="s">
        <v>477</v>
      </c>
      <c r="AI40" s="3595"/>
      <c r="AJ40" s="3588"/>
      <c r="AK40" s="3750"/>
      <c r="AL40" s="3753"/>
      <c r="AM40" s="3618"/>
      <c r="AS40" s="1553">
        <v>34</v>
      </c>
    </row>
    <row r="41" spans="1:45" ht="35.65" customHeight="1">
      <c r="A41" s="1188"/>
      <c r="B41" s="1188" t="s">
        <v>188</v>
      </c>
      <c r="C41" s="1188" t="s">
        <v>189</v>
      </c>
      <c r="D41" s="1188" t="s">
        <v>190</v>
      </c>
      <c r="E41" s="1232" t="s">
        <v>478</v>
      </c>
      <c r="F41" s="1232" t="s">
        <v>479</v>
      </c>
      <c r="G41" s="1232" t="s">
        <v>480</v>
      </c>
      <c r="H41" s="1232" t="s">
        <v>481</v>
      </c>
      <c r="I41" s="1232" t="s">
        <v>482</v>
      </c>
      <c r="J41" s="1232" t="s">
        <v>483</v>
      </c>
      <c r="K41" s="1232" t="s">
        <v>484</v>
      </c>
      <c r="L41" s="1232" t="s">
        <v>463</v>
      </c>
      <c r="Q41" s="310"/>
      <c r="R41" s="310"/>
      <c r="S41" s="3745"/>
      <c r="T41" s="3697"/>
      <c r="U41" s="237"/>
      <c r="V41" s="3716"/>
      <c r="W41" s="3756"/>
      <c r="X41" s="1824" t="s">
        <v>485</v>
      </c>
      <c r="Y41" s="1824" t="s">
        <v>486</v>
      </c>
      <c r="Z41" s="1824" t="s">
        <v>487</v>
      </c>
      <c r="AA41" s="3705" t="s">
        <v>488</v>
      </c>
      <c r="AB41" s="3707"/>
      <c r="AC41" s="3751"/>
      <c r="AD41" s="3716"/>
      <c r="AE41" s="3756"/>
      <c r="AF41" s="1824" t="s">
        <v>485</v>
      </c>
      <c r="AG41" s="1824" t="s">
        <v>486</v>
      </c>
      <c r="AH41" s="1824" t="s">
        <v>487</v>
      </c>
      <c r="AI41" s="3705" t="s">
        <v>488</v>
      </c>
      <c r="AJ41" s="3707"/>
      <c r="AK41" s="3751"/>
      <c r="AL41" s="3754"/>
      <c r="AM41" s="3618"/>
      <c r="AS41" s="1553">
        <v>34</v>
      </c>
    </row>
    <row r="42" spans="1:45" s="1563" customFormat="1" ht="11.25" hidden="1" customHeight="1">
      <c r="A42" s="1188"/>
      <c r="B42" s="1188"/>
      <c r="C42" s="1188"/>
      <c r="D42" s="1188"/>
      <c r="E42" s="1188"/>
      <c r="F42" s="1188"/>
      <c r="G42" s="1188"/>
      <c r="H42" s="1188"/>
      <c r="I42" s="1188"/>
      <c r="J42" s="1188"/>
      <c r="K42" s="1188"/>
      <c r="L42" s="1232"/>
      <c r="M42" s="1851"/>
      <c r="N42" s="1851"/>
      <c r="O42" s="1851"/>
      <c r="P42" s="1168"/>
      <c r="Q42" s="1169"/>
      <c r="R42" s="1176">
        <v>1</v>
      </c>
      <c r="S42" s="1199" t="s">
        <v>164</v>
      </c>
      <c r="T42" s="1177" t="s">
        <v>89</v>
      </c>
      <c r="U42" s="1167" t="str">
        <f ca="1">OFFSET(U42,0,-1)</f>
        <v>2</v>
      </c>
      <c r="V42" s="1842">
        <f ca="1">OFFSET(V42,0,-1)+1</f>
        <v>3</v>
      </c>
      <c r="W42" s="1842"/>
      <c r="X42" s="1842">
        <f ca="1">OFFSET(X42,0,-1)+1</f>
        <v>1</v>
      </c>
      <c r="Y42" s="1842">
        <f ca="1">OFFSET(Y42,0,-1)+1</f>
        <v>2</v>
      </c>
      <c r="Z42" s="1842">
        <f ca="1">OFFSET(Z42,0,-1)+1</f>
        <v>3</v>
      </c>
      <c r="AA42" s="3744">
        <f ca="1">OFFSET(AA42,0,-1)+1</f>
        <v>4</v>
      </c>
      <c r="AB42" s="3744"/>
      <c r="AC42" s="1842">
        <f ca="1">OFFSET(AC42,0,-2)+1</f>
        <v>5</v>
      </c>
      <c r="AD42" s="1842">
        <f ca="1">OFFSET(AD42,0,-1)+1</f>
        <v>6</v>
      </c>
      <c r="AE42" s="1842"/>
      <c r="AF42" s="1842">
        <f ca="1">OFFSET(AF42,0,-1)+1</f>
        <v>1</v>
      </c>
      <c r="AG42" s="1842">
        <f ca="1">OFFSET(AG42,0,-1)+1</f>
        <v>2</v>
      </c>
      <c r="AH42" s="1842">
        <f ca="1">OFFSET(AH42,0,-1)+1</f>
        <v>3</v>
      </c>
      <c r="AI42" s="3744">
        <f ca="1">OFFSET(AI42,0,-1)+1</f>
        <v>4</v>
      </c>
      <c r="AJ42" s="3744"/>
      <c r="AK42" s="1842">
        <f ca="1">OFFSET(AK42,0,-2)+1</f>
        <v>5</v>
      </c>
      <c r="AL42" s="1167">
        <f ca="1">OFFSET(AL42,0,-1)</f>
        <v>5</v>
      </c>
      <c r="AM42" s="1842">
        <f ca="1">OFFSET(AM42,0,-1)+1</f>
        <v>6</v>
      </c>
      <c r="AN42" s="1558"/>
      <c r="AO42" s="1558"/>
      <c r="AP42" s="1558"/>
      <c r="AQ42" s="1558"/>
      <c r="AR42" s="1558"/>
      <c r="AS42" s="1563">
        <v>0</v>
      </c>
    </row>
    <row r="43" spans="1:45" ht="21.95" customHeight="1">
      <c r="A43" s="1189" t="s">
        <v>257</v>
      </c>
      <c r="B43" s="1189"/>
      <c r="C43" s="1189"/>
      <c r="D43" s="1189"/>
      <c r="E43" s="3761">
        <v>1</v>
      </c>
      <c r="F43" s="1189"/>
      <c r="G43" s="1189"/>
      <c r="H43" s="1189"/>
      <c r="I43" s="1189"/>
      <c r="J43" s="1189"/>
      <c r="K43" s="1189"/>
      <c r="L43" s="1232"/>
      <c r="M43" s="1532"/>
      <c r="N43" s="1532"/>
      <c r="O43" s="1532"/>
      <c r="P43" s="1512"/>
      <c r="Q43" s="294"/>
      <c r="R43" s="289"/>
      <c r="S43" s="1844">
        <f>INDEX(PT_DIFFERENTIATION_NUM_NTAR,MATCH(A43,PT_DIFFERENTIATION_NTAR_ID,0))</f>
        <v>0</v>
      </c>
      <c r="T43" s="1447"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6"/>
      <c r="AP43" s="1546" t="str">
        <f t="shared" ref="AP43:AP57" si="1">IF(T43="","",T43)</f>
        <v>Наименование тарифа</v>
      </c>
      <c r="AQ43" s="1546"/>
      <c r="AR43" s="1546"/>
      <c r="AS43" s="1553">
        <v>21</v>
      </c>
    </row>
    <row r="44" spans="1:45" ht="21.95" customHeight="1">
      <c r="A44" s="1189" t="s">
        <v>257</v>
      </c>
      <c r="B44" s="1189" t="s">
        <v>258</v>
      </c>
      <c r="C44" s="1189"/>
      <c r="D44" s="1189"/>
      <c r="E44" s="3762"/>
      <c r="F44" s="3761">
        <v>1</v>
      </c>
      <c r="G44" s="1189"/>
      <c r="H44" s="1189"/>
      <c r="I44" s="1189"/>
      <c r="J44" s="1189"/>
      <c r="K44" s="1189"/>
      <c r="L44" s="1232"/>
      <c r="M44" s="1532"/>
      <c r="N44" s="1532"/>
      <c r="O44" s="1532"/>
      <c r="P44" s="1826"/>
      <c r="Q44" s="286"/>
      <c r="R44" s="287"/>
      <c r="S44" s="1844" t="str">
        <f>INDEX(PT_DIFFERENTIATION_NUM_TER,MATCH(B44,PT_DIFFERENTIATION_TER_ID,0))</f>
        <v>.</v>
      </c>
      <c r="T44" s="1444"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1546"/>
      <c r="AP44" s="1546" t="str">
        <f t="shared" si="1"/>
        <v>Территория действия тарифа</v>
      </c>
      <c r="AQ44" s="1546"/>
      <c r="AR44" s="1546"/>
      <c r="AS44" s="1553">
        <v>21</v>
      </c>
    </row>
    <row r="45" spans="1:45" ht="24" customHeight="1">
      <c r="A45" s="1189" t="s">
        <v>257</v>
      </c>
      <c r="B45" s="1189" t="s">
        <v>258</v>
      </c>
      <c r="C45" s="1189" t="s">
        <v>259</v>
      </c>
      <c r="D45" s="1189"/>
      <c r="E45" s="3762"/>
      <c r="F45" s="3762"/>
      <c r="G45" s="3761">
        <v>1</v>
      </c>
      <c r="H45" s="1189"/>
      <c r="I45" s="1189"/>
      <c r="J45" s="1189"/>
      <c r="K45" s="1189"/>
      <c r="L45" s="1232"/>
      <c r="M45" s="1532"/>
      <c r="N45" s="1532"/>
      <c r="O45" s="1532"/>
      <c r="P45" s="288"/>
      <c r="Q45" s="286"/>
      <c r="R45" s="287"/>
      <c r="S45" s="1844"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1546"/>
      <c r="AP45" s="1546" t="str">
        <f t="shared" si="1"/>
        <v xml:space="preserve">Наименование системы теплоснабжения </v>
      </c>
      <c r="AQ45" s="1546"/>
      <c r="AR45" s="1546"/>
      <c r="AS45" s="1553">
        <v>23</v>
      </c>
    </row>
    <row r="46" spans="1:45" ht="21.95" customHeight="1">
      <c r="A46" s="1189" t="s">
        <v>257</v>
      </c>
      <c r="B46" s="1189" t="s">
        <v>258</v>
      </c>
      <c r="C46" s="1189" t="s">
        <v>259</v>
      </c>
      <c r="D46" s="1189" t="s">
        <v>260</v>
      </c>
      <c r="E46" s="3762"/>
      <c r="F46" s="3762"/>
      <c r="G46" s="3762"/>
      <c r="H46" s="3761">
        <v>1</v>
      </c>
      <c r="I46" s="1189"/>
      <c r="J46" s="1189"/>
      <c r="K46" s="1189"/>
      <c r="L46" s="1232"/>
      <c r="M46" s="1532"/>
      <c r="N46" s="1532"/>
      <c r="O46" s="1532"/>
      <c r="P46" s="288"/>
      <c r="Q46" s="286"/>
      <c r="R46" s="287"/>
      <c r="S46" s="1844"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1546"/>
      <c r="AP46" s="1546" t="str">
        <f t="shared" si="1"/>
        <v xml:space="preserve">Источник тепловой энергии  </v>
      </c>
      <c r="AQ46" s="1546"/>
      <c r="AR46" s="1546"/>
      <c r="AS46" s="1553">
        <v>21</v>
      </c>
    </row>
    <row r="47" spans="1:45" ht="49.5" customHeight="1">
      <c r="A47" s="1189" t="s">
        <v>257</v>
      </c>
      <c r="B47" s="1189" t="s">
        <v>258</v>
      </c>
      <c r="C47" s="1189" t="s">
        <v>259</v>
      </c>
      <c r="D47" s="1189" t="s">
        <v>260</v>
      </c>
      <c r="E47" s="3762"/>
      <c r="F47" s="3762"/>
      <c r="G47" s="3762"/>
      <c r="H47" s="3762"/>
      <c r="I47" s="3618" t="str">
        <f>S46&amp;".1"</f>
        <v>....1</v>
      </c>
      <c r="J47" s="1189"/>
      <c r="K47" s="1189"/>
      <c r="L47" s="1232" t="s">
        <v>448</v>
      </c>
      <c r="P47" s="3736">
        <v>1</v>
      </c>
      <c r="Q47" s="1840"/>
      <c r="R47" s="290"/>
      <c r="S47" s="1844" t="str">
        <f>$I47</f>
        <v>....1</v>
      </c>
      <c r="T47" s="220" t="s">
        <v>449</v>
      </c>
      <c r="U47" s="235"/>
      <c r="V47" s="3726"/>
      <c r="W47" s="3727"/>
      <c r="X47" s="3727"/>
      <c r="Y47" s="3727"/>
      <c r="Z47" s="3727"/>
      <c r="AA47" s="3727"/>
      <c r="AB47" s="3727"/>
      <c r="AC47" s="3728"/>
      <c r="AD47" s="3726"/>
      <c r="AE47" s="3727"/>
      <c r="AF47" s="3727"/>
      <c r="AG47" s="3727"/>
      <c r="AH47" s="3727"/>
      <c r="AI47" s="3727"/>
      <c r="AJ47" s="3727"/>
      <c r="AK47" s="3727"/>
      <c r="AL47" s="3728"/>
      <c r="AM47" s="1180" t="s">
        <v>450</v>
      </c>
      <c r="AO47" s="1546"/>
      <c r="AP47" s="1546" t="str">
        <f t="shared" si="1"/>
        <v>Схема подключения теплопотребляющей установки к коллектору источника тепловой энергии</v>
      </c>
      <c r="AQ47" s="1546"/>
      <c r="AR47" s="1546"/>
      <c r="AS47" s="1553">
        <v>47</v>
      </c>
    </row>
    <row r="48" spans="1:45" ht="21.95" customHeight="1">
      <c r="A48" s="1189" t="s">
        <v>257</v>
      </c>
      <c r="B48" s="1189" t="s">
        <v>258</v>
      </c>
      <c r="C48" s="1189" t="s">
        <v>259</v>
      </c>
      <c r="D48" s="1189" t="s">
        <v>260</v>
      </c>
      <c r="E48" s="3762"/>
      <c r="F48" s="3762"/>
      <c r="G48" s="3762"/>
      <c r="H48" s="3762"/>
      <c r="I48" s="3589"/>
      <c r="J48" s="3618" t="str">
        <f>I47&amp;".1"</f>
        <v>....1.1</v>
      </c>
      <c r="K48" s="1189"/>
      <c r="L48" s="1232" t="s">
        <v>451</v>
      </c>
      <c r="P48" s="3736"/>
      <c r="Q48" s="3736">
        <v>1</v>
      </c>
      <c r="R48" s="291"/>
      <c r="S48" s="1844" t="str">
        <f>$J48</f>
        <v>....1.1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1546"/>
      <c r="AP48" s="1546" t="str">
        <f t="shared" si="1"/>
        <v>Группа потребителей</v>
      </c>
      <c r="AQ48" s="1546"/>
      <c r="AR48" s="1546"/>
      <c r="AS48" s="1553">
        <v>21</v>
      </c>
    </row>
    <row r="49" spans="1:45" ht="21.95" customHeight="1">
      <c r="A49" s="1189" t="s">
        <v>257</v>
      </c>
      <c r="B49" s="1189" t="s">
        <v>258</v>
      </c>
      <c r="C49" s="1189" t="s">
        <v>259</v>
      </c>
      <c r="D49" s="1189" t="s">
        <v>260</v>
      </c>
      <c r="E49" s="3762"/>
      <c r="F49" s="3762"/>
      <c r="G49" s="3762"/>
      <c r="H49" s="3762"/>
      <c r="I49" s="3589"/>
      <c r="J49" s="3589"/>
      <c r="K49" s="3618" t="str">
        <f>J48&amp;".1"</f>
        <v>....1.1.1</v>
      </c>
      <c r="L49" s="1232" t="s">
        <v>454</v>
      </c>
      <c r="P49" s="3736"/>
      <c r="Q49" s="3736"/>
      <c r="R49" s="291">
        <v>1</v>
      </c>
      <c r="S49" s="1844" t="str">
        <f>$K49</f>
        <v>....1.1.1</v>
      </c>
      <c r="T49" s="1269"/>
      <c r="U49" s="235"/>
      <c r="V49" s="685"/>
      <c r="W49" s="260"/>
      <c r="X49" s="685"/>
      <c r="Y49" s="1179"/>
      <c r="Z49" s="3740"/>
      <c r="AA49" s="3599" t="s">
        <v>50</v>
      </c>
      <c r="AB49" s="3740"/>
      <c r="AC49" s="3599" t="s">
        <v>50</v>
      </c>
      <c r="AD49" s="685"/>
      <c r="AE49" s="260"/>
      <c r="AF49" s="685"/>
      <c r="AG49" s="1179"/>
      <c r="AH49" s="3740"/>
      <c r="AI49" s="3599" t="s">
        <v>50</v>
      </c>
      <c r="AJ49" s="3759"/>
      <c r="AK49" s="3599" t="s">
        <v>50</v>
      </c>
      <c r="AL49" s="1270"/>
      <c r="AM49" s="3732" t="s">
        <v>455</v>
      </c>
      <c r="AN49" s="1558" t="e">
        <f ca="1">STRCHECKDATE(V50:AL50)</f>
        <v>#NAME?</v>
      </c>
      <c r="AO49" s="1546"/>
      <c r="AP49" s="1546" t="str">
        <f t="shared" si="1"/>
        <v/>
      </c>
      <c r="AQ49" s="1546"/>
      <c r="AR49" s="1546"/>
      <c r="AS49" s="1553">
        <v>21</v>
      </c>
    </row>
    <row r="50" spans="1:45" ht="1.1499999999999999" customHeight="1">
      <c r="A50" s="1189" t="s">
        <v>257</v>
      </c>
      <c r="B50" s="1189" t="s">
        <v>258</v>
      </c>
      <c r="C50" s="1189" t="s">
        <v>259</v>
      </c>
      <c r="D50" s="1189" t="s">
        <v>260</v>
      </c>
      <c r="E50" s="3762"/>
      <c r="F50" s="3762"/>
      <c r="G50" s="3762"/>
      <c r="H50" s="3762"/>
      <c r="I50" s="3589"/>
      <c r="J50" s="3589"/>
      <c r="K50" s="3618"/>
      <c r="L50" s="1232"/>
      <c r="P50" s="3736"/>
      <c r="Q50" s="3736"/>
      <c r="R50" s="291"/>
      <c r="S50" s="1853"/>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1546"/>
      <c r="AP50" s="1546" t="str">
        <f t="shared" si="1"/>
        <v/>
      </c>
      <c r="AQ50" s="1546"/>
      <c r="AR50" s="1546"/>
      <c r="AS50" s="1553">
        <v>1</v>
      </c>
    </row>
    <row r="51" spans="1:45" ht="11.45" customHeight="1">
      <c r="A51" s="1189" t="s">
        <v>257</v>
      </c>
      <c r="B51" s="1189" t="s">
        <v>258</v>
      </c>
      <c r="C51" s="1189" t="s">
        <v>259</v>
      </c>
      <c r="D51" s="1189" t="s">
        <v>260</v>
      </c>
      <c r="E51" s="3762"/>
      <c r="F51" s="3762"/>
      <c r="G51" s="3762"/>
      <c r="H51" s="3762"/>
      <c r="I51" s="3589"/>
      <c r="J51" s="3618"/>
      <c r="K51" s="1189"/>
      <c r="L51" s="1232"/>
      <c r="P51" s="3736"/>
      <c r="Q51" s="3736"/>
      <c r="R51" s="290"/>
      <c r="S51" s="1200"/>
      <c r="T51" s="223" t="s">
        <v>456</v>
      </c>
      <c r="U51" s="534"/>
      <c r="V51" s="534"/>
      <c r="W51" s="534"/>
      <c r="X51" s="534"/>
      <c r="Y51" s="534"/>
      <c r="Z51" s="534"/>
      <c r="AA51" s="534"/>
      <c r="AB51" s="534"/>
      <c r="AC51" s="534"/>
      <c r="AD51" s="534"/>
      <c r="AE51" s="534"/>
      <c r="AF51" s="534"/>
      <c r="AG51" s="534"/>
      <c r="AH51" s="534"/>
      <c r="AI51" s="534"/>
      <c r="AJ51" s="534"/>
      <c r="AK51" s="534"/>
      <c r="AL51" s="259"/>
      <c r="AM51" s="3734"/>
      <c r="AO51" s="1546"/>
      <c r="AP51" s="1546" t="str">
        <f t="shared" si="1"/>
        <v>Добавить вид теплоносителя (параметры теплоносителя)</v>
      </c>
      <c r="AQ51" s="1546"/>
      <c r="AR51" s="1546"/>
      <c r="AS51" s="1553">
        <v>11</v>
      </c>
    </row>
    <row r="52" spans="1:45" ht="11.45" customHeight="1">
      <c r="A52" s="1189" t="s">
        <v>257</v>
      </c>
      <c r="B52" s="1189" t="s">
        <v>258</v>
      </c>
      <c r="C52" s="1189" t="s">
        <v>259</v>
      </c>
      <c r="D52" s="1189" t="s">
        <v>260</v>
      </c>
      <c r="E52" s="3762"/>
      <c r="F52" s="3762"/>
      <c r="G52" s="3762"/>
      <c r="H52" s="3762"/>
      <c r="I52" s="3618"/>
      <c r="J52" s="1189"/>
      <c r="K52" s="1189"/>
      <c r="L52" s="1232"/>
      <c r="P52" s="3736"/>
      <c r="Q52" s="1840"/>
      <c r="R52" s="290"/>
      <c r="S52" s="1200"/>
      <c r="T52" s="222" t="s">
        <v>457</v>
      </c>
      <c r="U52" s="534"/>
      <c r="V52" s="534"/>
      <c r="W52" s="534"/>
      <c r="X52" s="534"/>
      <c r="Y52" s="534"/>
      <c r="Z52" s="534"/>
      <c r="AA52" s="534"/>
      <c r="AB52" s="534"/>
      <c r="AC52" s="300"/>
      <c r="AD52" s="534"/>
      <c r="AE52" s="534"/>
      <c r="AF52" s="534"/>
      <c r="AG52" s="534"/>
      <c r="AH52" s="534"/>
      <c r="AI52" s="534"/>
      <c r="AJ52" s="534"/>
      <c r="AK52" s="300"/>
      <c r="AL52" s="534"/>
      <c r="AM52" s="238"/>
      <c r="AO52" s="1546"/>
      <c r="AP52" s="1546" t="str">
        <f t="shared" si="1"/>
        <v>Добавить группу потребителей</v>
      </c>
      <c r="AQ52" s="1546"/>
      <c r="AR52" s="1546"/>
      <c r="AS52" s="1553">
        <v>11</v>
      </c>
    </row>
    <row r="53" spans="1:45" ht="14.65" customHeight="1">
      <c r="A53" s="1189" t="s">
        <v>257</v>
      </c>
      <c r="B53" s="1189" t="s">
        <v>258</v>
      </c>
      <c r="C53" s="1189" t="s">
        <v>259</v>
      </c>
      <c r="D53" s="1189" t="s">
        <v>260</v>
      </c>
      <c r="E53" s="3762"/>
      <c r="F53" s="3762"/>
      <c r="G53" s="3762"/>
      <c r="H53" s="3761"/>
      <c r="I53" s="1189"/>
      <c r="J53" s="1189"/>
      <c r="K53" s="1189"/>
      <c r="L53" s="1232"/>
      <c r="M53" s="1532"/>
      <c r="N53" s="1532"/>
      <c r="O53" s="1557"/>
      <c r="P53" s="294"/>
      <c r="Q53" s="309"/>
      <c r="R53" s="289"/>
      <c r="S53" s="1200"/>
      <c r="T53" s="299" t="s">
        <v>458</v>
      </c>
      <c r="U53" s="534"/>
      <c r="V53" s="534"/>
      <c r="W53" s="534"/>
      <c r="X53" s="534"/>
      <c r="Y53" s="534"/>
      <c r="Z53" s="534"/>
      <c r="AA53" s="534"/>
      <c r="AB53" s="534"/>
      <c r="AC53" s="300"/>
      <c r="AD53" s="534"/>
      <c r="AE53" s="534"/>
      <c r="AF53" s="534"/>
      <c r="AG53" s="534"/>
      <c r="AH53" s="534"/>
      <c r="AI53" s="534"/>
      <c r="AJ53" s="534"/>
      <c r="AK53" s="300"/>
      <c r="AL53" s="534"/>
      <c r="AM53" s="238"/>
      <c r="AO53" s="1546"/>
      <c r="AP53" s="1546" t="str">
        <f t="shared" si="1"/>
        <v>Добавить схему подключения</v>
      </c>
      <c r="AQ53" s="1546"/>
      <c r="AR53" s="1546"/>
      <c r="AS53" s="1553">
        <v>14</v>
      </c>
    </row>
    <row r="54" spans="1:45" s="1564" customFormat="1" ht="1.1499999999999999" customHeight="1">
      <c r="A54" s="1189" t="s">
        <v>257</v>
      </c>
      <c r="B54" s="1189" t="s">
        <v>258</v>
      </c>
      <c r="C54" s="1189" t="s">
        <v>259</v>
      </c>
      <c r="D54" s="1860"/>
      <c r="E54" s="3762"/>
      <c r="F54" s="3762"/>
      <c r="G54" s="3761"/>
      <c r="H54" s="1860"/>
      <c r="I54" s="1860"/>
      <c r="J54" s="1860"/>
      <c r="K54" s="1860"/>
      <c r="L54" s="1302"/>
      <c r="M54" s="1532"/>
      <c r="N54" s="1532"/>
      <c r="O54" s="1557"/>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1173"/>
      <c r="AP54" s="1173" t="str">
        <f t="shared" si="1"/>
        <v>Добавить источник для дифференциации</v>
      </c>
      <c r="AQ54" s="1173"/>
      <c r="AR54" s="1173"/>
      <c r="AS54" s="1564">
        <v>1</v>
      </c>
    </row>
    <row r="55" spans="1:45" s="1564" customFormat="1" ht="1.1499999999999999" customHeight="1">
      <c r="A55" s="1189" t="s">
        <v>257</v>
      </c>
      <c r="B55" s="1189" t="s">
        <v>258</v>
      </c>
      <c r="C55" s="1860"/>
      <c r="D55" s="1860"/>
      <c r="E55" s="3762"/>
      <c r="F55" s="3761"/>
      <c r="G55" s="1860"/>
      <c r="H55" s="1860"/>
      <c r="I55" s="1860"/>
      <c r="J55" s="1860"/>
      <c r="K55" s="1860"/>
      <c r="L55" s="1302"/>
      <c r="M55" s="1861"/>
      <c r="N55" s="1861"/>
      <c r="O55" s="1557"/>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1173"/>
      <c r="AP55" s="1173" t="str">
        <f t="shared" si="1"/>
        <v>Добавить централизованную систему для дифференциации</v>
      </c>
      <c r="AQ55" s="1173"/>
      <c r="AR55" s="1173"/>
      <c r="AS55" s="1564">
        <v>1</v>
      </c>
    </row>
    <row r="56" spans="1:45" s="1564" customFormat="1" ht="1.1499999999999999" customHeight="1">
      <c r="A56" s="1189" t="s">
        <v>257</v>
      </c>
      <c r="B56" s="1189"/>
      <c r="C56" s="1189"/>
      <c r="D56" s="1189"/>
      <c r="E56" s="3761"/>
      <c r="F56" s="1189"/>
      <c r="G56" s="1189"/>
      <c r="H56" s="1189"/>
      <c r="I56" s="1189"/>
      <c r="J56" s="1189"/>
      <c r="K56" s="1189"/>
      <c r="L56" s="1232"/>
      <c r="M56" s="1861"/>
      <c r="N56" s="1861"/>
      <c r="O56" s="1557"/>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1546"/>
      <c r="AP56" s="1546" t="str">
        <f t="shared" si="1"/>
        <v>Добавить территорию для дифференциации</v>
      </c>
      <c r="AQ56" s="1546"/>
      <c r="AR56" s="1546"/>
      <c r="AS56" s="1558">
        <v>1</v>
      </c>
    </row>
    <row r="57" spans="1:45" s="1564" customFormat="1" ht="1.1499999999999999" customHeight="1">
      <c r="A57" s="1860"/>
      <c r="B57" s="1860"/>
      <c r="C57" s="1860"/>
      <c r="D57" s="1860"/>
      <c r="E57" s="1189"/>
      <c r="F57" s="1860"/>
      <c r="G57" s="1860"/>
      <c r="H57" s="1860"/>
      <c r="I57" s="1860"/>
      <c r="J57" s="1860"/>
      <c r="K57" s="1860"/>
      <c r="L57" s="1302"/>
      <c r="M57" s="1861"/>
      <c r="N57" s="1861"/>
      <c r="O57" s="1557"/>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1173"/>
      <c r="AP57" s="1173" t="str">
        <f t="shared" si="1"/>
        <v>Добавить наименование тарифа</v>
      </c>
      <c r="AQ57" s="1173"/>
      <c r="AR57" s="1173"/>
      <c r="AS57" s="1564">
        <v>1</v>
      </c>
    </row>
    <row r="58" spans="1:45" ht="11.45" customHeight="1">
      <c r="M58" s="1553"/>
      <c r="N58" s="1553"/>
      <c r="O58" s="1557"/>
      <c r="P58" s="1553"/>
      <c r="Q58" s="1553"/>
      <c r="R58" s="1553"/>
      <c r="S58" s="1553"/>
      <c r="AN58" s="1553"/>
      <c r="AO58" s="1553"/>
      <c r="AP58" s="1553"/>
      <c r="AQ58" s="1553"/>
      <c r="AR58" s="1553"/>
      <c r="AS58" s="1553">
        <v>11</v>
      </c>
    </row>
    <row r="59" spans="1:45" ht="28.5" customHeight="1">
      <c r="O59" s="1557"/>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553">
        <v>27</v>
      </c>
    </row>
    <row r="60" spans="1:45" ht="65.25" customHeight="1">
      <c r="O60" s="1557"/>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553">
        <v>62</v>
      </c>
    </row>
    <row r="61" spans="1:45" ht="14.65" customHeight="1">
      <c r="O61" s="1557"/>
      <c r="AS61" s="1553">
        <v>14</v>
      </c>
    </row>
    <row r="62" spans="1:45" ht="18.75" customHeight="1">
      <c r="O62" s="1557"/>
      <c r="S62" s="1175"/>
      <c r="T62" s="3757"/>
      <c r="U62" s="3757"/>
      <c r="V62" s="3757"/>
      <c r="W62" s="3757"/>
      <c r="X62" s="3757"/>
      <c r="Y62" s="3757"/>
      <c r="Z62" s="3757"/>
      <c r="AA62" s="3757"/>
      <c r="AB62" s="3757"/>
      <c r="AC62" s="3757"/>
      <c r="AD62" s="3757"/>
      <c r="AE62" s="3757"/>
      <c r="AF62" s="3757"/>
      <c r="AG62" s="3757"/>
      <c r="AH62" s="3757"/>
      <c r="AI62" s="3757"/>
      <c r="AJ62" s="3757"/>
      <c r="AK62" s="3757"/>
      <c r="AL62" s="3757"/>
      <c r="AM62" s="3757"/>
      <c r="AS62" s="1553">
        <v>18</v>
      </c>
    </row>
    <row r="63" spans="1:45" ht="18.75" customHeight="1">
      <c r="O63" s="1557"/>
      <c r="T63" s="3757"/>
      <c r="U63" s="3757"/>
      <c r="V63" s="3757"/>
      <c r="W63" s="3757"/>
      <c r="X63" s="3757"/>
      <c r="Y63" s="3757"/>
      <c r="Z63" s="3757"/>
      <c r="AA63" s="3757"/>
      <c r="AB63" s="3757"/>
      <c r="AC63" s="3757"/>
      <c r="AD63" s="3757"/>
      <c r="AE63" s="3757"/>
      <c r="AF63" s="3757"/>
      <c r="AG63" s="3757"/>
      <c r="AH63" s="3757"/>
      <c r="AI63" s="3757"/>
      <c r="AJ63" s="3757"/>
      <c r="AK63" s="3757"/>
      <c r="AL63" s="3757"/>
      <c r="AM63" s="3757"/>
      <c r="AS63" s="1553">
        <v>18</v>
      </c>
    </row>
    <row r="64" spans="1:45" ht="29.25" customHeight="1">
      <c r="O64" s="1557"/>
      <c r="S64" s="1175"/>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553">
        <v>28</v>
      </c>
    </row>
    <row r="65" spans="1:45" ht="22.5" hidden="1" customHeight="1">
      <c r="A65" s="1553" t="s">
        <v>70</v>
      </c>
      <c r="B65" s="1553">
        <v>0</v>
      </c>
      <c r="C65" s="1553">
        <v>0</v>
      </c>
      <c r="D65" s="1553">
        <v>0</v>
      </c>
      <c r="E65" s="1553">
        <v>0</v>
      </c>
      <c r="F65" s="1553">
        <v>0</v>
      </c>
      <c r="G65" s="1553">
        <v>0</v>
      </c>
      <c r="H65" s="1553">
        <v>0</v>
      </c>
      <c r="I65" s="1553">
        <v>0</v>
      </c>
      <c r="J65" s="1553">
        <v>0</v>
      </c>
      <c r="K65" s="1553">
        <v>0</v>
      </c>
      <c r="L65" s="1825">
        <v>0</v>
      </c>
      <c r="M65" s="1851">
        <v>0</v>
      </c>
      <c r="N65" s="1851">
        <v>0</v>
      </c>
      <c r="O65" s="1851">
        <v>0</v>
      </c>
      <c r="P65" s="1851">
        <v>3</v>
      </c>
      <c r="Q65" s="279">
        <v>3</v>
      </c>
      <c r="R65" s="279">
        <v>3</v>
      </c>
      <c r="S65" s="515">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1558">
        <v>10</v>
      </c>
      <c r="AO65" s="1558">
        <v>10</v>
      </c>
      <c r="AP65" s="1558">
        <v>10</v>
      </c>
      <c r="AQ65" s="1558">
        <v>10</v>
      </c>
      <c r="AR65" s="1558">
        <v>10</v>
      </c>
      <c r="AS65" s="1553">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1" style="1557" customWidth="1"/>
    <col min="21" max="21" width="0.7109375" style="1557" hidden="1" customWidth="1"/>
    <col min="22" max="22" width="1.7109375" style="1557" hidden="1" customWidth="1"/>
    <col min="23" max="23" width="24.7109375" style="1557" hidden="1" customWidth="1"/>
    <col min="24" max="25" width="0.14062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0.140625" style="1557" customWidth="1"/>
    <col min="31" max="31" width="24" style="1557" customWidth="1"/>
    <col min="32" max="33" width="0.140625"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v>
      </c>
    </row>
    <row r="2" spans="1:45" ht="21" hidden="1" customHeight="1">
      <c r="A2" s="1285"/>
      <c r="B2" s="1285"/>
      <c r="C2" s="1285"/>
      <c r="D2" s="1285"/>
      <c r="E2" s="3737">
        <v>1</v>
      </c>
      <c r="F2" s="1285"/>
      <c r="G2" s="1285"/>
      <c r="H2" s="1285"/>
      <c r="I2" s="1285"/>
      <c r="J2" s="1285"/>
      <c r="K2" s="1285"/>
      <c r="L2" s="1286"/>
      <c r="M2" s="1287"/>
      <c r="N2" s="1287"/>
      <c r="O2" s="1287"/>
      <c r="P2" s="295"/>
      <c r="Q2" s="294"/>
      <c r="R2" s="289"/>
      <c r="S2" s="1258" t="e">
        <f>INDEX(PT_DIFFERENTIATION_NUM_NTAR,MATCH(A2,PT_DIFFERENTIATION_NTAR_ID,0))</f>
        <v>#N/A</v>
      </c>
      <c r="T2" s="233"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434"/>
      <c r="AP2" s="434" t="str">
        <f t="shared" ref="AP2:AP15" si="0">IF(T2="","",T2)</f>
        <v>Наименование тарифа</v>
      </c>
      <c r="AQ2" s="434"/>
      <c r="AR2" s="434"/>
      <c r="AS2" s="1077">
        <v>0</v>
      </c>
    </row>
    <row r="3" spans="1:45" ht="21" hidden="1" customHeight="1">
      <c r="A3" s="1285"/>
      <c r="B3" s="1285"/>
      <c r="C3" s="1285"/>
      <c r="D3" s="1285"/>
      <c r="E3" s="3738"/>
      <c r="F3" s="3737">
        <v>1</v>
      </c>
      <c r="G3" s="1285"/>
      <c r="H3" s="1285"/>
      <c r="I3" s="1285"/>
      <c r="J3" s="1285"/>
      <c r="K3" s="1285"/>
      <c r="L3" s="1286"/>
      <c r="M3" s="1287"/>
      <c r="N3" s="1287"/>
      <c r="O3" s="1287"/>
      <c r="P3" s="1254"/>
      <c r="Q3" s="286"/>
      <c r="R3" s="287"/>
      <c r="S3" s="1258" t="e">
        <f>INDEX(PT_DIFFERENTIATION_NUM_TER,MATCH(B3,PT_DIFFERENTIATION_TER_ID,0))</f>
        <v>#N/A</v>
      </c>
      <c r="T3" s="243"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434"/>
      <c r="AP3" s="434" t="str">
        <f t="shared" si="0"/>
        <v>Территория действия тарифа</v>
      </c>
      <c r="AQ3" s="434"/>
      <c r="AR3" s="434"/>
      <c r="AS3" s="1077">
        <v>0</v>
      </c>
    </row>
    <row r="4" spans="1:45" ht="23.25" hidden="1" customHeight="1">
      <c r="A4" s="1285"/>
      <c r="B4" s="1285"/>
      <c r="C4" s="1285"/>
      <c r="D4" s="1285"/>
      <c r="E4" s="3738"/>
      <c r="F4" s="3738"/>
      <c r="G4" s="3737">
        <v>1</v>
      </c>
      <c r="H4" s="1285"/>
      <c r="I4" s="1285"/>
      <c r="J4" s="1285"/>
      <c r="K4" s="1285"/>
      <c r="L4" s="1286"/>
      <c r="M4" s="1287"/>
      <c r="N4" s="1287"/>
      <c r="O4" s="1287"/>
      <c r="P4" s="288"/>
      <c r="Q4" s="286"/>
      <c r="R4" s="287"/>
      <c r="S4" s="1258" t="e">
        <f>INDEX(PT_DIFFERENTIATION_NUM_CS,MATCH(C4,PT_DIFFERENTIATION_CS_ID,0))</f>
        <v>#N/A</v>
      </c>
      <c r="T4" s="244" t="s">
        <v>444</v>
      </c>
      <c r="U4" s="235"/>
      <c r="V4" s="3723"/>
      <c r="W4" s="3724"/>
      <c r="X4" s="3724"/>
      <c r="Y4" s="3724"/>
      <c r="Z4" s="3724"/>
      <c r="AA4" s="3724"/>
      <c r="AB4" s="3724"/>
      <c r="AC4" s="3725"/>
      <c r="AD4" s="3723" t="e">
        <f>INDEX(PT_DIFFERENTIATION_CS,MATCH(C4,PT_DIFFERENTIATION_CS_ID,0))</f>
        <v>#N/A</v>
      </c>
      <c r="AE4" s="3724"/>
      <c r="AF4" s="3724"/>
      <c r="AG4" s="3724"/>
      <c r="AH4" s="3724"/>
      <c r="AI4" s="3724"/>
      <c r="AJ4" s="3724"/>
      <c r="AK4" s="3724"/>
      <c r="AL4" s="3725"/>
      <c r="AM4" s="1180" t="s">
        <v>445</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3738"/>
      <c r="F5" s="3738"/>
      <c r="G5" s="3738"/>
      <c r="H5" s="3737">
        <v>1</v>
      </c>
      <c r="I5" s="1285"/>
      <c r="J5" s="1285"/>
      <c r="K5" s="1285"/>
      <c r="L5" s="1286"/>
      <c r="M5" s="1287"/>
      <c r="N5" s="1287"/>
      <c r="O5" s="1287"/>
      <c r="P5" s="288"/>
      <c r="Q5" s="286"/>
      <c r="R5" s="287"/>
      <c r="S5" s="1258" t="e">
        <f>INDEX(PT_DIFFERENTIATION_NUM_IST_TE,MATCH(D5,PT_DIFFERENTIATION_IST_TE_ID,0))</f>
        <v>#N/A</v>
      </c>
      <c r="T5" s="245" t="s">
        <v>446</v>
      </c>
      <c r="U5" s="235"/>
      <c r="V5" s="3723"/>
      <c r="W5" s="3724"/>
      <c r="X5" s="3724"/>
      <c r="Y5" s="3724"/>
      <c r="Z5" s="3724"/>
      <c r="AA5" s="3724"/>
      <c r="AB5" s="3724"/>
      <c r="AC5" s="3725"/>
      <c r="AD5" s="3723" t="e">
        <f>INDEX(PT_DIFFERENTIATION_IST_TE,MATCH(D5,PT_DIFFERENTIATION_IST_TE_ID,0))</f>
        <v>#N/A</v>
      </c>
      <c r="AE5" s="3724"/>
      <c r="AF5" s="3724"/>
      <c r="AG5" s="3724"/>
      <c r="AH5" s="3724"/>
      <c r="AI5" s="3724"/>
      <c r="AJ5" s="3724"/>
      <c r="AK5" s="3724"/>
      <c r="AL5" s="3725"/>
      <c r="AM5" s="1180" t="s">
        <v>447</v>
      </c>
      <c r="AO5" s="434"/>
      <c r="AP5" s="434" t="str">
        <f t="shared" si="0"/>
        <v xml:space="preserve">Источник тепловой энергии  </v>
      </c>
      <c r="AQ5" s="434"/>
      <c r="AR5" s="434"/>
      <c r="AS5" s="1077">
        <v>0</v>
      </c>
    </row>
    <row r="6" spans="1:45" ht="47.25" hidden="1" customHeight="1">
      <c r="A6" s="1285"/>
      <c r="B6" s="1285"/>
      <c r="C6" s="1285"/>
      <c r="D6" s="1285"/>
      <c r="E6" s="3738"/>
      <c r="F6" s="3738"/>
      <c r="G6" s="3738"/>
      <c r="H6" s="3738"/>
      <c r="I6" s="3735" t="e">
        <f>S5&amp;".1"</f>
        <v>#N/A</v>
      </c>
      <c r="J6" s="1285"/>
      <c r="K6" s="1285"/>
      <c r="L6" s="1286" t="s">
        <v>448</v>
      </c>
      <c r="M6" s="471"/>
      <c r="P6" s="3736">
        <v>1</v>
      </c>
      <c r="Q6" s="1253"/>
      <c r="R6" s="290"/>
      <c r="S6" s="1258" t="e">
        <f>$I6</f>
        <v>#N/A</v>
      </c>
      <c r="T6" s="220" t="s">
        <v>449</v>
      </c>
      <c r="U6" s="235"/>
      <c r="V6" s="3726"/>
      <c r="W6" s="3727"/>
      <c r="X6" s="3727"/>
      <c r="Y6" s="3727"/>
      <c r="Z6" s="3727"/>
      <c r="AA6" s="3727"/>
      <c r="AB6" s="3727"/>
      <c r="AC6" s="3728"/>
      <c r="AD6" s="3726"/>
      <c r="AE6" s="3727"/>
      <c r="AF6" s="3727"/>
      <c r="AG6" s="3727"/>
      <c r="AH6" s="3727"/>
      <c r="AI6" s="3727"/>
      <c r="AJ6" s="3727"/>
      <c r="AK6" s="3727"/>
      <c r="AL6" s="3728"/>
      <c r="AM6" s="1180" t="s">
        <v>450</v>
      </c>
      <c r="AO6" s="434"/>
      <c r="AP6" s="434" t="str">
        <f t="shared" si="0"/>
        <v>Схема подключения теплопотребляющей установки к коллектору источника тепловой энергии</v>
      </c>
      <c r="AQ6" s="434"/>
      <c r="AR6" s="434"/>
      <c r="AS6" s="1077">
        <v>0</v>
      </c>
    </row>
    <row r="7" spans="1:45" ht="21" hidden="1" customHeight="1">
      <c r="A7" s="1285"/>
      <c r="B7" s="1285"/>
      <c r="C7" s="1285"/>
      <c r="D7" s="1285"/>
      <c r="E7" s="3738"/>
      <c r="F7" s="3738"/>
      <c r="G7" s="3738"/>
      <c r="H7" s="3738"/>
      <c r="I7" s="3758"/>
      <c r="J7" s="3735" t="e">
        <f>I6&amp;".1"</f>
        <v>#N/A</v>
      </c>
      <c r="K7" s="1285"/>
      <c r="L7" s="1286" t="s">
        <v>451</v>
      </c>
      <c r="M7" s="471"/>
      <c r="N7" s="1288"/>
      <c r="P7" s="3736"/>
      <c r="Q7" s="3736">
        <v>1</v>
      </c>
      <c r="R7" s="291"/>
      <c r="S7" s="1258" t="e">
        <f>$J7</f>
        <v>#N/A</v>
      </c>
      <c r="T7" s="221" t="s">
        <v>452</v>
      </c>
      <c r="U7" s="235"/>
      <c r="V7" s="3726"/>
      <c r="W7" s="3727"/>
      <c r="X7" s="3727"/>
      <c r="Y7" s="3727"/>
      <c r="Z7" s="3727"/>
      <c r="AA7" s="3727"/>
      <c r="AB7" s="3727"/>
      <c r="AC7" s="3728"/>
      <c r="AD7" s="3726"/>
      <c r="AE7" s="3727"/>
      <c r="AF7" s="3727"/>
      <c r="AG7" s="3727"/>
      <c r="AH7" s="3727"/>
      <c r="AI7" s="3727"/>
      <c r="AJ7" s="3727"/>
      <c r="AK7" s="3727"/>
      <c r="AL7" s="3728"/>
      <c r="AM7" s="1180" t="s">
        <v>453</v>
      </c>
      <c r="AO7" s="434"/>
      <c r="AP7" s="434" t="str">
        <f t="shared" si="0"/>
        <v>Группа потребителей</v>
      </c>
      <c r="AQ7" s="434"/>
      <c r="AR7" s="434"/>
      <c r="AS7" s="1077">
        <v>0</v>
      </c>
    </row>
    <row r="8" spans="1:45" ht="21" hidden="1" customHeight="1">
      <c r="A8" s="1285"/>
      <c r="B8" s="1285"/>
      <c r="C8" s="1285"/>
      <c r="D8" s="1285"/>
      <c r="E8" s="3738"/>
      <c r="F8" s="3738"/>
      <c r="G8" s="3738"/>
      <c r="H8" s="3738"/>
      <c r="I8" s="3758"/>
      <c r="J8" s="3758"/>
      <c r="K8" s="3735" t="e">
        <f>J7&amp;".1"</f>
        <v>#N/A</v>
      </c>
      <c r="L8" s="1286" t="s">
        <v>454</v>
      </c>
      <c r="M8" s="471"/>
      <c r="N8" s="1288"/>
      <c r="O8" s="1288"/>
      <c r="P8" s="3736"/>
      <c r="Q8" s="3736"/>
      <c r="R8" s="291">
        <v>1</v>
      </c>
      <c r="S8" s="1258" t="e">
        <f>$K8</f>
        <v>#N/A</v>
      </c>
      <c r="T8" s="1269"/>
      <c r="U8" s="235"/>
      <c r="V8" s="260"/>
      <c r="W8" s="685"/>
      <c r="X8" s="260"/>
      <c r="Y8" s="318"/>
      <c r="Z8" s="3740"/>
      <c r="AA8" s="3599" t="s">
        <v>50</v>
      </c>
      <c r="AB8" s="3740"/>
      <c r="AC8" s="3599" t="s">
        <v>50</v>
      </c>
      <c r="AD8" s="260"/>
      <c r="AE8" s="685"/>
      <c r="AF8" s="260"/>
      <c r="AG8" s="318"/>
      <c r="AH8" s="3740"/>
      <c r="AI8" s="3599" t="s">
        <v>50</v>
      </c>
      <c r="AJ8" s="3740"/>
      <c r="AK8" s="3599" t="s">
        <v>50</v>
      </c>
      <c r="AL8" s="260"/>
      <c r="AM8" s="3732" t="s">
        <v>455</v>
      </c>
      <c r="AN8" s="445" t="e">
        <f ca="1">STRCHECKDATE(V9:AL9)</f>
        <v>#NAME?</v>
      </c>
      <c r="AO8" s="434"/>
      <c r="AP8" s="434" t="str">
        <f t="shared" si="0"/>
        <v/>
      </c>
      <c r="AQ8" s="434"/>
      <c r="AR8" s="434"/>
      <c r="AS8" s="1077">
        <v>0</v>
      </c>
    </row>
    <row r="9" spans="1:45" ht="0.75" hidden="1" customHeight="1">
      <c r="A9" s="1285"/>
      <c r="B9" s="1285"/>
      <c r="C9" s="1285"/>
      <c r="D9" s="1285"/>
      <c r="E9" s="3738"/>
      <c r="F9" s="3738"/>
      <c r="G9" s="3738"/>
      <c r="H9" s="3738"/>
      <c r="I9" s="3758"/>
      <c r="J9" s="3758"/>
      <c r="K9" s="3735"/>
      <c r="L9" s="1286"/>
      <c r="M9" s="471"/>
      <c r="N9" s="1288"/>
      <c r="O9" s="1288"/>
      <c r="P9" s="3736"/>
      <c r="Q9" s="3736"/>
      <c r="R9" s="291"/>
      <c r="S9" s="1264"/>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434"/>
      <c r="AP9" s="434" t="str">
        <f t="shared" si="0"/>
        <v/>
      </c>
      <c r="AQ9" s="434"/>
      <c r="AR9" s="434"/>
      <c r="AS9" s="1077">
        <v>0</v>
      </c>
    </row>
    <row r="10" spans="1:45" ht="15" hidden="1" customHeight="1">
      <c r="A10" s="1285"/>
      <c r="B10" s="1285"/>
      <c r="C10" s="1285"/>
      <c r="D10" s="1285"/>
      <c r="E10" s="3738"/>
      <c r="F10" s="3738"/>
      <c r="G10" s="3738"/>
      <c r="H10" s="3738"/>
      <c r="I10" s="3758"/>
      <c r="J10" s="3735"/>
      <c r="K10" s="1285"/>
      <c r="L10" s="1286"/>
      <c r="M10" s="471"/>
      <c r="N10" s="1288"/>
      <c r="P10" s="3736"/>
      <c r="Q10" s="3736"/>
      <c r="R10" s="290"/>
      <c r="S10" s="1200"/>
      <c r="T10" s="223" t="s">
        <v>456</v>
      </c>
      <c r="U10" s="301"/>
      <c r="V10" s="301"/>
      <c r="W10" s="301"/>
      <c r="X10" s="301"/>
      <c r="Y10" s="301"/>
      <c r="Z10" s="301"/>
      <c r="AA10" s="301"/>
      <c r="AB10" s="301"/>
      <c r="AC10" s="301"/>
      <c r="AD10" s="301"/>
      <c r="AE10" s="301"/>
      <c r="AF10" s="301"/>
      <c r="AG10" s="301"/>
      <c r="AH10" s="301"/>
      <c r="AI10" s="301"/>
      <c r="AJ10" s="301"/>
      <c r="AK10" s="301"/>
      <c r="AL10" s="259"/>
      <c r="AM10" s="3734"/>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3738"/>
      <c r="F11" s="3738"/>
      <c r="G11" s="3738"/>
      <c r="H11" s="3738"/>
      <c r="I11" s="3735"/>
      <c r="J11" s="1285"/>
      <c r="K11" s="1285"/>
      <c r="L11" s="1286"/>
      <c r="M11" s="471"/>
      <c r="P11" s="3736"/>
      <c r="Q11" s="1253"/>
      <c r="R11" s="290"/>
      <c r="S11" s="1200"/>
      <c r="T11" s="222" t="s">
        <v>457</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3738"/>
      <c r="F12" s="3738"/>
      <c r="G12" s="3738"/>
      <c r="H12" s="3737"/>
      <c r="I12" s="1285"/>
      <c r="J12" s="1285"/>
      <c r="K12" s="1285"/>
      <c r="L12" s="1286"/>
      <c r="M12" s="1287"/>
      <c r="N12" s="1287"/>
      <c r="O12" s="471"/>
      <c r="P12" s="294"/>
      <c r="Q12" s="309"/>
      <c r="R12" s="289"/>
      <c r="S12" s="1200"/>
      <c r="T12" s="299" t="s">
        <v>458</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7">
        <v>0</v>
      </c>
    </row>
    <row r="13" spans="1:45" s="1564" customFormat="1" ht="0.75" hidden="1" customHeight="1">
      <c r="A13" s="1236"/>
      <c r="B13" s="1236"/>
      <c r="C13" s="1236"/>
      <c r="D13" s="1236"/>
      <c r="E13" s="3738"/>
      <c r="F13" s="3738"/>
      <c r="G13" s="3737"/>
      <c r="H13" s="1236"/>
      <c r="I13" s="1236"/>
      <c r="J13" s="1236"/>
      <c r="K13" s="1236"/>
      <c r="L13" s="1261"/>
      <c r="M13" s="1237"/>
      <c r="N13" s="1237"/>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3738"/>
      <c r="F14" s="3737"/>
      <c r="G14" s="1236"/>
      <c r="H14" s="1236"/>
      <c r="I14" s="1236"/>
      <c r="J14" s="1236"/>
      <c r="K14" s="1236"/>
      <c r="L14" s="1261"/>
      <c r="M14" s="1243"/>
      <c r="N14" s="1243"/>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3737"/>
      <c r="F15" s="1236"/>
      <c r="G15" s="1236"/>
      <c r="H15" s="1236"/>
      <c r="I15" s="1236"/>
      <c r="J15" s="1236"/>
      <c r="K15" s="1236"/>
      <c r="L15" s="1261"/>
      <c r="M15" s="1243"/>
      <c r="N15" s="1243"/>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3742"/>
      <c r="AI17" s="3743" t="s">
        <v>50</v>
      </c>
      <c r="AJ17" s="3742"/>
      <c r="AK17" s="3743" t="s">
        <v>50</v>
      </c>
      <c r="AS17" s="1077">
        <v>0</v>
      </c>
    </row>
    <row r="18" spans="1:45" ht="14.25" hidden="1" customHeight="1">
      <c r="AD18" s="1282"/>
      <c r="AE18" s="1282"/>
      <c r="AF18" s="1282"/>
      <c r="AG18" s="263" t="str">
        <f>AH17&amp;"-"&amp;AJ17</f>
        <v>-</v>
      </c>
      <c r="AH18" s="3743"/>
      <c r="AI18" s="3743"/>
      <c r="AJ18" s="3743"/>
      <c r="AK18" s="3743"/>
      <c r="AS18" s="1077">
        <v>0</v>
      </c>
    </row>
    <row r="19" spans="1:45" ht="14.25" hidden="1" customHeight="1">
      <c r="AK19" s="262"/>
      <c r="AS19" s="1077">
        <v>0</v>
      </c>
    </row>
    <row r="20" spans="1:45" s="1288" customFormat="1" ht="22.5" hidden="1" customHeight="1">
      <c r="L20" s="1251"/>
      <c r="M20" s="1284"/>
      <c r="N20" s="1284"/>
      <c r="O20" s="1289" t="s">
        <v>462</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33.75" hidden="1" customHeight="1">
      <c r="L22" s="1251"/>
      <c r="M22" s="1284"/>
      <c r="N22" s="1284"/>
      <c r="O22" s="1286" t="s">
        <v>463</v>
      </c>
      <c r="P22" s="1284"/>
      <c r="Q22" s="1293"/>
      <c r="R22" s="1293"/>
      <c r="S22" s="663"/>
      <c r="T22" s="1082" t="s">
        <v>464</v>
      </c>
      <c r="AA22" s="121" t="s">
        <v>465</v>
      </c>
      <c r="AC22" s="121" t="s">
        <v>466</v>
      </c>
      <c r="AD22" s="1082" t="s">
        <v>464</v>
      </c>
      <c r="AI22" s="121" t="s">
        <v>467</v>
      </c>
      <c r="AK22" s="121" t="s">
        <v>466</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29.25" customHeight="1">
      <c r="Q26" s="310"/>
      <c r="R26" s="310"/>
      <c r="S26" s="37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721"/>
      <c r="U26" s="3721"/>
      <c r="V26" s="3721"/>
      <c r="W26" s="3721"/>
      <c r="X26" s="3721"/>
      <c r="Y26" s="3721"/>
      <c r="Z26" s="3721"/>
      <c r="AA26" s="3721"/>
      <c r="AB26" s="3721"/>
      <c r="AC26" s="3721"/>
      <c r="AD26" s="3721"/>
      <c r="AE26" s="3721"/>
      <c r="AF26" s="3721"/>
      <c r="AG26" s="3721"/>
      <c r="AH26" s="3721"/>
      <c r="AI26" s="3721"/>
      <c r="AJ26" s="3721"/>
      <c r="AK26" s="1165"/>
      <c r="AS26" s="1077">
        <v>28</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42" customFormat="1" ht="25.5" hidden="1" customHeight="1">
      <c r="A29" s="1290"/>
      <c r="B29" s="1290"/>
      <c r="C29" s="1290"/>
      <c r="D29" s="1290"/>
      <c r="E29" s="1290"/>
      <c r="F29" s="1290"/>
      <c r="G29" s="1290"/>
      <c r="H29" s="1290"/>
      <c r="I29" s="1290"/>
      <c r="J29" s="1290"/>
      <c r="K29" s="1290"/>
      <c r="L29" s="1291"/>
      <c r="M29" s="1290"/>
      <c r="N29" s="1290"/>
      <c r="O29" s="129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261"/>
      <c r="AD29" s="3730" t="str">
        <f>IF(TITLE_NAME_OR_PR_CHANGE="",IF(TITLE_NAME_OR_PR="","",TITLE_NAME_OR_PR),TITLE_NAME_OR_PR_CHANGE)</f>
        <v/>
      </c>
      <c r="AE29" s="3730"/>
      <c r="AF29" s="3730"/>
      <c r="AG29" s="3730"/>
      <c r="AH29" s="3730"/>
      <c r="AI29" s="3730"/>
      <c r="AJ29" s="3730"/>
      <c r="AK29" s="261"/>
      <c r="AL29" s="261"/>
      <c r="AM29" s="215"/>
      <c r="AN29" s="302"/>
      <c r="AO29" s="302"/>
      <c r="AP29" s="302"/>
      <c r="AQ29" s="302"/>
      <c r="AR29" s="302"/>
      <c r="AS29" s="352">
        <v>0</v>
      </c>
    </row>
    <row r="30" spans="1:45" s="1742" customFormat="1" ht="18.75" hidden="1" customHeight="1">
      <c r="A30" s="1290"/>
      <c r="B30" s="1290"/>
      <c r="C30" s="1290"/>
      <c r="D30" s="1290"/>
      <c r="E30" s="1290"/>
      <c r="F30" s="1290"/>
      <c r="G30" s="1290"/>
      <c r="H30" s="1290"/>
      <c r="I30" s="1290"/>
      <c r="J30" s="1290"/>
      <c r="K30" s="1290"/>
      <c r="L30" s="1291"/>
      <c r="M30" s="1290"/>
      <c r="N30" s="1290"/>
      <c r="O30" s="129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261"/>
      <c r="AD30" s="3739" t="str">
        <f>IF(TITLE_DATE_PR_CHANGE="",IF(TITLE_DATE_PR="","",TITLE_DATE_PR),TITLE_DATE_PR_CHANGE)</f>
        <v/>
      </c>
      <c r="AE30" s="3739"/>
      <c r="AF30" s="3739"/>
      <c r="AG30" s="3739"/>
      <c r="AH30" s="3739"/>
      <c r="AI30" s="3739"/>
      <c r="AJ30" s="3739"/>
      <c r="AK30" s="261"/>
      <c r="AL30" s="261"/>
      <c r="AM30" s="215"/>
      <c r="AN30" s="302"/>
      <c r="AO30" s="302"/>
      <c r="AP30" s="302"/>
      <c r="AQ30" s="302"/>
      <c r="AR30" s="302"/>
      <c r="AS30" s="352">
        <v>0</v>
      </c>
    </row>
    <row r="31" spans="1:45" s="1742" customFormat="1" ht="18.75" hidden="1" customHeight="1">
      <c r="A31" s="1290"/>
      <c r="B31" s="1290"/>
      <c r="C31" s="1290"/>
      <c r="D31" s="1290"/>
      <c r="E31" s="1290"/>
      <c r="F31" s="1290"/>
      <c r="G31" s="1290"/>
      <c r="H31" s="1290"/>
      <c r="I31" s="1290"/>
      <c r="J31" s="1290"/>
      <c r="K31" s="1290"/>
      <c r="L31" s="1291"/>
      <c r="M31" s="1290"/>
      <c r="N31" s="1290"/>
      <c r="O31" s="129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261"/>
      <c r="AD31" s="3730" t="str">
        <f>IF(TITLE_NUMBER_PR_CHANGE="",IF(TITLE_NUMBER_PR="","",TITLE_NUMBER_PR),TITLE_NUMBER_PR_CHANGE)</f>
        <v/>
      </c>
      <c r="AE31" s="3730"/>
      <c r="AF31" s="3730"/>
      <c r="AG31" s="3730"/>
      <c r="AH31" s="3730"/>
      <c r="AI31" s="3730"/>
      <c r="AJ31" s="3730"/>
      <c r="AK31" s="261"/>
      <c r="AL31" s="261"/>
      <c r="AM31" s="215"/>
      <c r="AN31" s="302"/>
      <c r="AO31" s="302"/>
      <c r="AP31" s="302"/>
      <c r="AQ31" s="302"/>
      <c r="AR31" s="302"/>
      <c r="AS31" s="352">
        <v>0</v>
      </c>
    </row>
    <row r="32" spans="1:45" s="1742" customFormat="1" ht="18.75" hidden="1" customHeight="1">
      <c r="A32" s="1290"/>
      <c r="B32" s="1290"/>
      <c r="C32" s="1290"/>
      <c r="D32" s="1290"/>
      <c r="E32" s="1290"/>
      <c r="F32" s="1290"/>
      <c r="G32" s="1290"/>
      <c r="H32" s="1290"/>
      <c r="I32" s="1290"/>
      <c r="J32" s="1290"/>
      <c r="K32" s="1290"/>
      <c r="L32" s="1291"/>
      <c r="M32" s="1290"/>
      <c r="N32" s="1290"/>
      <c r="O32" s="1290"/>
      <c r="S32" s="3729" t="s">
        <v>30</v>
      </c>
      <c r="T32" s="3729"/>
      <c r="U32" s="1294"/>
      <c r="V32" s="3730" t="str">
        <f>IF(TITLE_IST_PUB_CHANGE="",IF(TITLE_IST_PUB="","",TITLE_IST_PUB),TITLE_IST_PUB_CHANGE)</f>
        <v/>
      </c>
      <c r="W32" s="3730"/>
      <c r="X32" s="3730"/>
      <c r="Y32" s="3730"/>
      <c r="Z32" s="3730"/>
      <c r="AA32" s="3730"/>
      <c r="AB32" s="3730"/>
      <c r="AC32" s="261"/>
      <c r="AD32" s="3730" t="str">
        <f>IF(TITLE_IST_PUB_CHANGE="",IF(TITLE_IST_PUB="","",TITLE_IST_PUB),TITLE_IST_PUB_CHANGE)</f>
        <v/>
      </c>
      <c r="AE32" s="3730"/>
      <c r="AF32" s="3730"/>
      <c r="AG32" s="3730"/>
      <c r="AH32" s="3730"/>
      <c r="AI32" s="3730"/>
      <c r="AJ32" s="3730"/>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42" customFormat="1" ht="18.75" hidden="1" customHeight="1">
      <c r="A34" s="1290"/>
      <c r="B34" s="1290"/>
      <c r="C34" s="1290"/>
      <c r="D34" s="1290"/>
      <c r="E34" s="1290"/>
      <c r="F34" s="1290"/>
      <c r="G34" s="1290"/>
      <c r="H34" s="1290"/>
      <c r="I34" s="1290"/>
      <c r="J34" s="1290"/>
      <c r="K34" s="1290"/>
      <c r="L34" s="1291"/>
      <c r="M34" s="1290"/>
      <c r="N34" s="1290"/>
      <c r="O34" s="129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261"/>
      <c r="AD34" s="3739" t="str">
        <f>IF(TITLE_DATE_PR_CHANGE="",IF(TITLE_DATE_PR="","",TITLE_DATE_PR),TITLE_DATE_PR_CHANGE)</f>
        <v/>
      </c>
      <c r="AE34" s="3739"/>
      <c r="AF34" s="3739"/>
      <c r="AG34" s="3739"/>
      <c r="AH34" s="3739"/>
      <c r="AI34" s="3739"/>
      <c r="AJ34" s="3739"/>
      <c r="AK34" s="261"/>
      <c r="AL34" s="261"/>
      <c r="AM34" s="215"/>
      <c r="AN34" s="302"/>
      <c r="AO34" s="302"/>
      <c r="AP34" s="302"/>
      <c r="AQ34" s="302"/>
      <c r="AR34" s="302"/>
      <c r="AS34" s="352">
        <v>0</v>
      </c>
    </row>
    <row r="35" spans="1:45" s="1742" customFormat="1" ht="18.75" hidden="1" customHeight="1">
      <c r="A35" s="1290"/>
      <c r="B35" s="1290"/>
      <c r="C35" s="1290"/>
      <c r="D35" s="1290"/>
      <c r="E35" s="1290"/>
      <c r="F35" s="1290"/>
      <c r="G35" s="1290"/>
      <c r="H35" s="1290"/>
      <c r="I35" s="1290"/>
      <c r="J35" s="1290"/>
      <c r="K35" s="1290"/>
      <c r="L35" s="1291"/>
      <c r="M35" s="1290"/>
      <c r="N35" s="1290"/>
      <c r="O35" s="129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261"/>
      <c r="AD35" s="3730" t="str">
        <f>IF(TITLE_NUMBER_PR_CHANGE="",IF(TITLE_NUMBER_PR="","",TITLE_NUMBER_PR),TITLE_NUMBER_PR_CHANGE)</f>
        <v/>
      </c>
      <c r="AE35" s="3730"/>
      <c r="AF35" s="3730"/>
      <c r="AG35" s="3730"/>
      <c r="AH35" s="3730"/>
      <c r="AI35" s="3730"/>
      <c r="AJ35" s="3730"/>
      <c r="AK35" s="261"/>
      <c r="AL35" s="261"/>
      <c r="AM35" s="215"/>
      <c r="AN35" s="302"/>
      <c r="AO35" s="302"/>
      <c r="AP35" s="302"/>
      <c r="AQ35" s="302"/>
      <c r="AR35" s="302"/>
      <c r="AS35" s="352">
        <v>0</v>
      </c>
    </row>
    <row r="36" spans="1:45" s="1742"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468</v>
      </c>
      <c r="AD36" s="261"/>
      <c r="AE36" s="261"/>
      <c r="AF36" s="261"/>
      <c r="AG36" s="261"/>
      <c r="AH36" s="261"/>
      <c r="AI36" s="261"/>
      <c r="AJ36" s="261"/>
      <c r="AK36" s="213" t="s">
        <v>468</v>
      </c>
      <c r="AN36" s="302"/>
      <c r="AO36" s="302"/>
      <c r="AP36" s="302"/>
      <c r="AQ36" s="302"/>
      <c r="AR36" s="302"/>
      <c r="AS36" s="352">
        <v>0</v>
      </c>
    </row>
    <row r="37" spans="1:45" ht="14.65" customHeight="1">
      <c r="Q37" s="310"/>
      <c r="R37" s="310"/>
      <c r="S37" s="1197"/>
      <c r="T37" s="297"/>
      <c r="U37" s="1166"/>
      <c r="V37" s="3731"/>
      <c r="W37" s="3731"/>
      <c r="X37" s="3731"/>
      <c r="Y37" s="3731"/>
      <c r="Z37" s="3731"/>
      <c r="AA37" s="3731"/>
      <c r="AB37" s="3731"/>
      <c r="AC37" s="3731"/>
      <c r="AD37" s="3731"/>
      <c r="AE37" s="3731"/>
      <c r="AF37" s="3731"/>
      <c r="AG37" s="3731"/>
      <c r="AH37" s="3731"/>
      <c r="AI37" s="3731"/>
      <c r="AJ37" s="3731"/>
      <c r="AK37" s="3731"/>
      <c r="AS37" s="1077">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077">
        <v>14</v>
      </c>
    </row>
    <row r="39" spans="1:45" ht="14.65" customHeight="1">
      <c r="Q39" s="310"/>
      <c r="R39" s="310"/>
      <c r="S39" s="3745" t="s">
        <v>76</v>
      </c>
      <c r="T39" s="3697" t="s">
        <v>469</v>
      </c>
      <c r="U39" s="236"/>
      <c r="V39" s="3746" t="s">
        <v>470</v>
      </c>
      <c r="W39" s="3747"/>
      <c r="X39" s="3763"/>
      <c r="Y39" s="3763"/>
      <c r="Z39" s="3747"/>
      <c r="AA39" s="3747"/>
      <c r="AB39" s="3748"/>
      <c r="AC39" s="3749" t="s">
        <v>471</v>
      </c>
      <c r="AD39" s="3746" t="s">
        <v>470</v>
      </c>
      <c r="AE39" s="3747"/>
      <c r="AF39" s="3763"/>
      <c r="AG39" s="3763"/>
      <c r="AH39" s="3747"/>
      <c r="AI39" s="3747"/>
      <c r="AJ39" s="3748"/>
      <c r="AK39" s="3749" t="s">
        <v>472</v>
      </c>
      <c r="AL39" s="3752" t="s">
        <v>473</v>
      </c>
      <c r="AM39" s="3618"/>
      <c r="AS39" s="1077">
        <v>14</v>
      </c>
    </row>
    <row r="40" spans="1:45" ht="24" customHeight="1">
      <c r="Q40" s="310"/>
      <c r="R40" s="310"/>
      <c r="S40" s="3745"/>
      <c r="T40" s="3697"/>
      <c r="U40" s="957"/>
      <c r="V40" s="3764" t="s">
        <v>474</v>
      </c>
      <c r="W40" s="3683" t="s">
        <v>475</v>
      </c>
      <c r="X40" s="1298" t="s">
        <v>476</v>
      </c>
      <c r="Y40" s="1298"/>
      <c r="Z40" s="3595" t="s">
        <v>477</v>
      </c>
      <c r="AA40" s="3595"/>
      <c r="AB40" s="3588"/>
      <c r="AC40" s="3750"/>
      <c r="AD40" s="3764" t="s">
        <v>474</v>
      </c>
      <c r="AE40" s="3683" t="s">
        <v>475</v>
      </c>
      <c r="AF40" s="1298" t="s">
        <v>476</v>
      </c>
      <c r="AG40" s="1298"/>
      <c r="AH40" s="3595" t="s">
        <v>477</v>
      </c>
      <c r="AI40" s="3595"/>
      <c r="AJ40" s="3588"/>
      <c r="AK40" s="3750"/>
      <c r="AL40" s="3753"/>
      <c r="AM40" s="3618"/>
      <c r="AS40" s="1077">
        <v>23</v>
      </c>
    </row>
    <row r="41" spans="1:45" s="1188" customFormat="1" ht="24" customHeight="1">
      <c r="A41" s="1292"/>
      <c r="B41" s="1292" t="s">
        <v>188</v>
      </c>
      <c r="C41" s="1292" t="s">
        <v>189</v>
      </c>
      <c r="D41" s="1292" t="s">
        <v>190</v>
      </c>
      <c r="E41" s="1286" t="s">
        <v>478</v>
      </c>
      <c r="F41" s="1286" t="s">
        <v>479</v>
      </c>
      <c r="G41" s="1286" t="s">
        <v>480</v>
      </c>
      <c r="H41" s="1286" t="s">
        <v>481</v>
      </c>
      <c r="I41" s="1286" t="s">
        <v>482</v>
      </c>
      <c r="J41" s="1286" t="s">
        <v>483</v>
      </c>
      <c r="K41" s="1286" t="s">
        <v>484</v>
      </c>
      <c r="L41" s="1286" t="s">
        <v>463</v>
      </c>
      <c r="M41" s="1284"/>
      <c r="N41" s="1284"/>
      <c r="O41" s="1284"/>
      <c r="P41" s="1250"/>
      <c r="Q41" s="310"/>
      <c r="R41" s="310"/>
      <c r="S41" s="3745"/>
      <c r="T41" s="3697"/>
      <c r="U41" s="237"/>
      <c r="V41" s="3765"/>
      <c r="W41" s="3688"/>
      <c r="X41" s="1295" t="s">
        <v>485</v>
      </c>
      <c r="Y41" s="1295" t="s">
        <v>486</v>
      </c>
      <c r="Z41" s="1256" t="s">
        <v>487</v>
      </c>
      <c r="AA41" s="3705" t="s">
        <v>488</v>
      </c>
      <c r="AB41" s="3707"/>
      <c r="AC41" s="3751"/>
      <c r="AD41" s="3765"/>
      <c r="AE41" s="3688"/>
      <c r="AF41" s="1295" t="s">
        <v>485</v>
      </c>
      <c r="AG41" s="1295" t="s">
        <v>486</v>
      </c>
      <c r="AH41" s="1256" t="s">
        <v>487</v>
      </c>
      <c r="AI41" s="3705" t="s">
        <v>488</v>
      </c>
      <c r="AJ41" s="3707"/>
      <c r="AK41" s="3751"/>
      <c r="AL41" s="3754"/>
      <c r="AM41" s="3618"/>
      <c r="AN41" s="445"/>
      <c r="AO41" s="434"/>
      <c r="AP41" s="434"/>
      <c r="AQ41" s="434"/>
      <c r="AR41" s="434"/>
      <c r="AS41" s="516">
        <v>23</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164</v>
      </c>
      <c r="T42" s="1177" t="s">
        <v>89</v>
      </c>
      <c r="U42" s="1167" t="str">
        <f ca="1">OFFSET(U42,0,-1)</f>
        <v>2</v>
      </c>
      <c r="V42" s="1257">
        <f ca="1">OFFSET(V42,0,-1)+1</f>
        <v>3</v>
      </c>
      <c r="W42" s="1257"/>
      <c r="X42" s="1263">
        <f ca="1">OFFSET(X42,0,-1)+1</f>
        <v>1</v>
      </c>
      <c r="Y42" s="1263">
        <f ca="1">OFFSET(Y42,0,-1)+1</f>
        <v>2</v>
      </c>
      <c r="Z42" s="1257">
        <f ca="1">OFFSET(Z42,0,-1)+1</f>
        <v>3</v>
      </c>
      <c r="AA42" s="3744">
        <f ca="1">OFFSET(AA42,0,-1)+1</f>
        <v>4</v>
      </c>
      <c r="AB42" s="3744"/>
      <c r="AC42" s="1257">
        <f ca="1">OFFSET(AC42,0,-2)+1</f>
        <v>5</v>
      </c>
      <c r="AD42" s="1257">
        <f ca="1">OFFSET(AD42,0,-1)+1</f>
        <v>6</v>
      </c>
      <c r="AE42" s="1257"/>
      <c r="AF42" s="1263">
        <f ca="1">OFFSET(AF42,0,-1)+1</f>
        <v>1</v>
      </c>
      <c r="AG42" s="1263">
        <f ca="1">OFFSET(AG42,0,-1)+1</f>
        <v>2</v>
      </c>
      <c r="AH42" s="1257">
        <f ca="1">OFFSET(AH42,0,-1)+1</f>
        <v>3</v>
      </c>
      <c r="AI42" s="3744">
        <f ca="1">OFFSET(AI42,0,-1)+1</f>
        <v>4</v>
      </c>
      <c r="AJ42" s="3744"/>
      <c r="AK42" s="1257">
        <f ca="1">OFFSET(AK42,0,-2)+1</f>
        <v>5</v>
      </c>
      <c r="AL42" s="1167">
        <f ca="1">OFFSET(AL42,0,-1)</f>
        <v>5</v>
      </c>
      <c r="AM42" s="1257">
        <f ca="1">OFFSET(AM42,0,-1)+1</f>
        <v>6</v>
      </c>
      <c r="AN42" s="445"/>
      <c r="AO42" s="445"/>
      <c r="AP42" s="445"/>
      <c r="AQ42" s="445"/>
      <c r="AR42" s="445"/>
      <c r="AS42" s="430">
        <v>0</v>
      </c>
    </row>
    <row r="43" spans="1:45" ht="21.95" customHeight="1">
      <c r="A43" s="1285" t="s">
        <v>239</v>
      </c>
      <c r="B43" s="1285"/>
      <c r="C43" s="1285"/>
      <c r="D43" s="1285"/>
      <c r="E43" s="3737">
        <v>1</v>
      </c>
      <c r="F43" s="1285"/>
      <c r="G43" s="1285"/>
      <c r="H43" s="1285"/>
      <c r="I43" s="1285"/>
      <c r="J43" s="1285"/>
      <c r="K43" s="1285"/>
      <c r="L43" s="1286"/>
      <c r="M43" s="1287"/>
      <c r="N43" s="1287"/>
      <c r="O43" s="1287"/>
      <c r="P43" s="295"/>
      <c r="Q43" s="294"/>
      <c r="R43" s="289"/>
      <c r="S43" s="1258">
        <f>INDEX(PT_DIFFERENTIATION_NUM_NTAR,MATCH(A43,PT_DIFFERENTIATION_NTAR_ID,0))</f>
        <v>0</v>
      </c>
      <c r="T43" s="233"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239</v>
      </c>
      <c r="B44" s="1285" t="s">
        <v>240</v>
      </c>
      <c r="C44" s="1285"/>
      <c r="D44" s="1285"/>
      <c r="E44" s="3738"/>
      <c r="F44" s="3737">
        <v>1</v>
      </c>
      <c r="G44" s="1285"/>
      <c r="H44" s="1285"/>
      <c r="I44" s="1285"/>
      <c r="J44" s="1285"/>
      <c r="K44" s="1285"/>
      <c r="L44" s="1286"/>
      <c r="M44" s="1287"/>
      <c r="N44" s="1287"/>
      <c r="O44" s="1287"/>
      <c r="P44" s="1254"/>
      <c r="Q44" s="286"/>
      <c r="R44" s="287"/>
      <c r="S44" s="1258" t="str">
        <f>INDEX(PT_DIFFERENTIATION_NUM_TER,MATCH(B44,PT_DIFFERENTIATION_TER_ID,0))</f>
        <v>.</v>
      </c>
      <c r="T44" s="243"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434"/>
      <c r="AP44" s="434" t="str">
        <f t="shared" si="1"/>
        <v>Территория действия тарифа</v>
      </c>
      <c r="AQ44" s="434"/>
      <c r="AR44" s="434"/>
      <c r="AS44" s="1077">
        <v>21</v>
      </c>
    </row>
    <row r="45" spans="1:45" ht="24" customHeight="1">
      <c r="A45" s="1285" t="s">
        <v>239</v>
      </c>
      <c r="B45" s="1285" t="s">
        <v>240</v>
      </c>
      <c r="C45" s="1285" t="s">
        <v>241</v>
      </c>
      <c r="D45" s="1285"/>
      <c r="E45" s="3738"/>
      <c r="F45" s="3738"/>
      <c r="G45" s="3737">
        <v>1</v>
      </c>
      <c r="H45" s="1285"/>
      <c r="I45" s="1285"/>
      <c r="J45" s="1285"/>
      <c r="K45" s="1285"/>
      <c r="L45" s="1286"/>
      <c r="M45" s="1287"/>
      <c r="N45" s="1287"/>
      <c r="O45" s="1287"/>
      <c r="P45" s="288"/>
      <c r="Q45" s="286"/>
      <c r="R45" s="287"/>
      <c r="S45" s="1258"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434"/>
      <c r="AP45" s="434" t="str">
        <f t="shared" si="1"/>
        <v xml:space="preserve">Наименование системы теплоснабжения </v>
      </c>
      <c r="AQ45" s="434"/>
      <c r="AR45" s="434"/>
      <c r="AS45" s="1077">
        <v>23</v>
      </c>
    </row>
    <row r="46" spans="1:45" ht="21.95" customHeight="1">
      <c r="A46" s="1285" t="s">
        <v>239</v>
      </c>
      <c r="B46" s="1285" t="s">
        <v>240</v>
      </c>
      <c r="C46" s="1285" t="s">
        <v>241</v>
      </c>
      <c r="D46" s="1285" t="s">
        <v>242</v>
      </c>
      <c r="E46" s="3738"/>
      <c r="F46" s="3738"/>
      <c r="G46" s="3738"/>
      <c r="H46" s="3737">
        <v>1</v>
      </c>
      <c r="I46" s="1285"/>
      <c r="J46" s="1285"/>
      <c r="K46" s="1285"/>
      <c r="L46" s="1286"/>
      <c r="M46" s="1287"/>
      <c r="N46" s="1287"/>
      <c r="O46" s="1287"/>
      <c r="P46" s="288"/>
      <c r="Q46" s="286"/>
      <c r="R46" s="287"/>
      <c r="S46" s="1258"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434"/>
      <c r="AP46" s="434" t="str">
        <f t="shared" si="1"/>
        <v xml:space="preserve">Источник тепловой энергии  </v>
      </c>
      <c r="AQ46" s="434"/>
      <c r="AR46" s="434"/>
      <c r="AS46" s="1077">
        <v>21</v>
      </c>
    </row>
    <row r="47" spans="1:45" ht="49.5" customHeight="1">
      <c r="A47" s="1285" t="s">
        <v>239</v>
      </c>
      <c r="B47" s="1285" t="s">
        <v>240</v>
      </c>
      <c r="C47" s="1285" t="s">
        <v>241</v>
      </c>
      <c r="D47" s="1285" t="s">
        <v>242</v>
      </c>
      <c r="E47" s="3738"/>
      <c r="F47" s="3738"/>
      <c r="G47" s="3738"/>
      <c r="H47" s="3738"/>
      <c r="I47" s="3735" t="str">
        <f>S46&amp;".1"</f>
        <v>....1</v>
      </c>
      <c r="J47" s="1285"/>
      <c r="K47" s="1285"/>
      <c r="L47" s="1286" t="s">
        <v>448</v>
      </c>
      <c r="P47" s="3736">
        <v>1</v>
      </c>
      <c r="Q47" s="1253"/>
      <c r="R47" s="290"/>
      <c r="S47" s="1258" t="str">
        <f>$I47</f>
        <v>....1</v>
      </c>
      <c r="T47" s="220" t="s">
        <v>449</v>
      </c>
      <c r="U47" s="235"/>
      <c r="V47" s="3726"/>
      <c r="W47" s="3727"/>
      <c r="X47" s="3727"/>
      <c r="Y47" s="3727"/>
      <c r="Z47" s="3727"/>
      <c r="AA47" s="3727"/>
      <c r="AB47" s="3727"/>
      <c r="AC47" s="3728"/>
      <c r="AD47" s="3726"/>
      <c r="AE47" s="3727"/>
      <c r="AF47" s="3727"/>
      <c r="AG47" s="3727"/>
      <c r="AH47" s="3727"/>
      <c r="AI47" s="3727"/>
      <c r="AJ47" s="3727"/>
      <c r="AK47" s="3727"/>
      <c r="AL47" s="3728"/>
      <c r="AM47" s="1180" t="s">
        <v>450</v>
      </c>
      <c r="AO47" s="434"/>
      <c r="AP47" s="434" t="str">
        <f t="shared" si="1"/>
        <v>Схема подключения теплопотребляющей установки к коллектору источника тепловой энергии</v>
      </c>
      <c r="AQ47" s="434"/>
      <c r="AR47" s="434"/>
      <c r="AS47" s="1077">
        <v>47</v>
      </c>
    </row>
    <row r="48" spans="1:45" ht="21.95" customHeight="1">
      <c r="A48" s="1285" t="s">
        <v>239</v>
      </c>
      <c r="B48" s="1285" t="s">
        <v>240</v>
      </c>
      <c r="C48" s="1285" t="s">
        <v>241</v>
      </c>
      <c r="D48" s="1285" t="s">
        <v>242</v>
      </c>
      <c r="E48" s="3738"/>
      <c r="F48" s="3738"/>
      <c r="G48" s="3738"/>
      <c r="H48" s="3738"/>
      <c r="I48" s="3758"/>
      <c r="J48" s="3735" t="str">
        <f>I47&amp;".1"</f>
        <v>....1.1</v>
      </c>
      <c r="K48" s="1285"/>
      <c r="L48" s="1286" t="s">
        <v>451</v>
      </c>
      <c r="P48" s="3736"/>
      <c r="Q48" s="3736">
        <v>1</v>
      </c>
      <c r="R48" s="291"/>
      <c r="S48" s="1258" t="str">
        <f>$J48</f>
        <v>....1.1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434"/>
      <c r="AP48" s="434" t="str">
        <f t="shared" si="1"/>
        <v>Группа потребителей</v>
      </c>
      <c r="AQ48" s="434"/>
      <c r="AR48" s="434"/>
      <c r="AS48" s="1077">
        <v>21</v>
      </c>
    </row>
    <row r="49" spans="1:45" ht="21.95" customHeight="1">
      <c r="A49" s="1285" t="s">
        <v>239</v>
      </c>
      <c r="B49" s="1285" t="s">
        <v>240</v>
      </c>
      <c r="C49" s="1285" t="s">
        <v>241</v>
      </c>
      <c r="D49" s="1285" t="s">
        <v>242</v>
      </c>
      <c r="E49" s="3738"/>
      <c r="F49" s="3738"/>
      <c r="G49" s="3738"/>
      <c r="H49" s="3738"/>
      <c r="I49" s="3758"/>
      <c r="J49" s="3758"/>
      <c r="K49" s="3735" t="str">
        <f>J48&amp;".1"</f>
        <v>....1.1.1</v>
      </c>
      <c r="L49" s="1286" t="s">
        <v>454</v>
      </c>
      <c r="P49" s="3736"/>
      <c r="Q49" s="3736"/>
      <c r="R49" s="291">
        <v>1</v>
      </c>
      <c r="S49" s="1258" t="str">
        <f>$K49</f>
        <v>....1.1.1</v>
      </c>
      <c r="T49" s="1269"/>
      <c r="U49" s="235"/>
      <c r="V49" s="260"/>
      <c r="W49" s="685"/>
      <c r="X49" s="260"/>
      <c r="Y49" s="318"/>
      <c r="Z49" s="3740"/>
      <c r="AA49" s="3599" t="s">
        <v>50</v>
      </c>
      <c r="AB49" s="3740"/>
      <c r="AC49" s="3599" t="s">
        <v>50</v>
      </c>
      <c r="AD49" s="260"/>
      <c r="AE49" s="685"/>
      <c r="AF49" s="260"/>
      <c r="AG49" s="318"/>
      <c r="AH49" s="3740"/>
      <c r="AI49" s="3599" t="s">
        <v>50</v>
      </c>
      <c r="AJ49" s="3759"/>
      <c r="AK49" s="3599" t="s">
        <v>50</v>
      </c>
      <c r="AL49" s="1270"/>
      <c r="AM49" s="3732" t="s">
        <v>455</v>
      </c>
      <c r="AN49" s="445" t="e">
        <f ca="1">STRCHECKDATE(V50:AL50)</f>
        <v>#NAME?</v>
      </c>
      <c r="AO49" s="434"/>
      <c r="AP49" s="434" t="str">
        <f t="shared" si="1"/>
        <v/>
      </c>
      <c r="AQ49" s="434"/>
      <c r="AR49" s="434"/>
      <c r="AS49" s="1077">
        <v>21</v>
      </c>
    </row>
    <row r="50" spans="1:45" ht="1.1499999999999999" customHeight="1">
      <c r="A50" s="1285" t="s">
        <v>239</v>
      </c>
      <c r="B50" s="1285" t="s">
        <v>240</v>
      </c>
      <c r="C50" s="1285" t="s">
        <v>241</v>
      </c>
      <c r="D50" s="1285" t="s">
        <v>242</v>
      </c>
      <c r="E50" s="3738"/>
      <c r="F50" s="3738"/>
      <c r="G50" s="3738"/>
      <c r="H50" s="3738"/>
      <c r="I50" s="3758"/>
      <c r="J50" s="3758"/>
      <c r="K50" s="3735"/>
      <c r="L50" s="1286"/>
      <c r="P50" s="3736"/>
      <c r="Q50" s="3736"/>
      <c r="R50" s="291"/>
      <c r="S50" s="1264"/>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434"/>
      <c r="AP50" s="434" t="str">
        <f t="shared" si="1"/>
        <v/>
      </c>
      <c r="AQ50" s="434"/>
      <c r="AR50" s="434"/>
      <c r="AS50" s="1077">
        <v>1</v>
      </c>
    </row>
    <row r="51" spans="1:45" ht="11.45" customHeight="1">
      <c r="A51" s="1285" t="s">
        <v>239</v>
      </c>
      <c r="B51" s="1285" t="s">
        <v>240</v>
      </c>
      <c r="C51" s="1285" t="s">
        <v>241</v>
      </c>
      <c r="D51" s="1285" t="s">
        <v>242</v>
      </c>
      <c r="E51" s="3738"/>
      <c r="F51" s="3738"/>
      <c r="G51" s="3738"/>
      <c r="H51" s="3738"/>
      <c r="I51" s="3758"/>
      <c r="J51" s="3735"/>
      <c r="K51" s="1285"/>
      <c r="L51" s="1286"/>
      <c r="P51" s="3736"/>
      <c r="Q51" s="3736"/>
      <c r="R51" s="290"/>
      <c r="S51" s="1200"/>
      <c r="T51" s="223" t="s">
        <v>456</v>
      </c>
      <c r="U51" s="301"/>
      <c r="V51" s="301"/>
      <c r="W51" s="301"/>
      <c r="X51" s="301"/>
      <c r="Y51" s="301"/>
      <c r="Z51" s="301"/>
      <c r="AA51" s="301"/>
      <c r="AB51" s="301"/>
      <c r="AC51" s="301"/>
      <c r="AD51" s="301"/>
      <c r="AE51" s="301"/>
      <c r="AF51" s="301"/>
      <c r="AG51" s="301"/>
      <c r="AH51" s="301"/>
      <c r="AI51" s="301"/>
      <c r="AJ51" s="301"/>
      <c r="AK51" s="301"/>
      <c r="AL51" s="259"/>
      <c r="AM51" s="3734"/>
      <c r="AO51" s="434"/>
      <c r="AP51" s="434" t="str">
        <f t="shared" si="1"/>
        <v>Добавить вид теплоносителя (параметры теплоносителя)</v>
      </c>
      <c r="AQ51" s="434"/>
      <c r="AR51" s="434"/>
      <c r="AS51" s="1077">
        <v>11</v>
      </c>
    </row>
    <row r="52" spans="1:45" ht="11.45" customHeight="1">
      <c r="A52" s="1285" t="s">
        <v>239</v>
      </c>
      <c r="B52" s="1285" t="s">
        <v>240</v>
      </c>
      <c r="C52" s="1285" t="s">
        <v>241</v>
      </c>
      <c r="D52" s="1285" t="s">
        <v>242</v>
      </c>
      <c r="E52" s="3738"/>
      <c r="F52" s="3738"/>
      <c r="G52" s="3738"/>
      <c r="H52" s="3738"/>
      <c r="I52" s="3735"/>
      <c r="J52" s="1285"/>
      <c r="K52" s="1285"/>
      <c r="L52" s="1286"/>
      <c r="P52" s="3736"/>
      <c r="Q52" s="1253"/>
      <c r="R52" s="290"/>
      <c r="S52" s="1200"/>
      <c r="T52" s="222" t="s">
        <v>457</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14.65" customHeight="1">
      <c r="A53" s="1285" t="s">
        <v>239</v>
      </c>
      <c r="B53" s="1285" t="s">
        <v>240</v>
      </c>
      <c r="C53" s="1285" t="s">
        <v>241</v>
      </c>
      <c r="D53" s="1285" t="s">
        <v>242</v>
      </c>
      <c r="E53" s="3738"/>
      <c r="F53" s="3738"/>
      <c r="G53" s="3738"/>
      <c r="H53" s="3737"/>
      <c r="I53" s="1285"/>
      <c r="J53" s="1285"/>
      <c r="K53" s="1285"/>
      <c r="L53" s="1286"/>
      <c r="M53" s="1287"/>
      <c r="N53" s="1287"/>
      <c r="O53" s="471"/>
      <c r="P53" s="294"/>
      <c r="Q53" s="309"/>
      <c r="R53" s="289"/>
      <c r="S53" s="1200"/>
      <c r="T53" s="299" t="s">
        <v>458</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7">
        <v>14</v>
      </c>
    </row>
    <row r="54" spans="1:45" s="1564" customFormat="1" ht="1.1499999999999999" customHeight="1">
      <c r="A54" s="1265" t="s">
        <v>239</v>
      </c>
      <c r="B54" s="1265" t="s">
        <v>240</v>
      </c>
      <c r="C54" s="1265" t="s">
        <v>241</v>
      </c>
      <c r="D54" s="1236"/>
      <c r="E54" s="3738"/>
      <c r="F54" s="3738"/>
      <c r="G54" s="3737"/>
      <c r="H54" s="1236"/>
      <c r="I54" s="1236"/>
      <c r="J54" s="1236"/>
      <c r="K54" s="1236"/>
      <c r="L54" s="1261"/>
      <c r="M54" s="1237"/>
      <c r="N54" s="1237"/>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239</v>
      </c>
      <c r="B55" s="1265" t="s">
        <v>240</v>
      </c>
      <c r="C55" s="1236"/>
      <c r="D55" s="1236"/>
      <c r="E55" s="3738"/>
      <c r="F55" s="3737"/>
      <c r="G55" s="1236"/>
      <c r="H55" s="1236"/>
      <c r="I55" s="1236"/>
      <c r="J55" s="1236"/>
      <c r="K55" s="1236"/>
      <c r="L55" s="1261"/>
      <c r="M55" s="1243"/>
      <c r="N55" s="1243"/>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239</v>
      </c>
      <c r="B56" s="1265"/>
      <c r="C56" s="1265"/>
      <c r="D56" s="1265"/>
      <c r="E56" s="3737"/>
      <c r="F56" s="1265"/>
      <c r="G56" s="1265"/>
      <c r="H56" s="1265"/>
      <c r="I56" s="1265"/>
      <c r="J56" s="1265"/>
      <c r="K56" s="1265"/>
      <c r="L56" s="1268"/>
      <c r="M56" s="1243"/>
      <c r="N56" s="1243"/>
      <c r="O56" s="452"/>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8.5" customHeight="1">
      <c r="O59" s="471"/>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077">
        <v>27</v>
      </c>
    </row>
    <row r="60" spans="1:45" ht="78.75" customHeight="1">
      <c r="O60" s="471"/>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077">
        <v>75</v>
      </c>
    </row>
    <row r="61" spans="1:45" ht="14.65" customHeight="1">
      <c r="O61" s="471"/>
      <c r="AS61" s="1077">
        <v>14</v>
      </c>
    </row>
    <row r="62" spans="1:45" ht="18.75" customHeight="1">
      <c r="O62" s="471"/>
      <c r="S62" s="1175"/>
      <c r="T62" s="3757"/>
      <c r="U62" s="3757"/>
      <c r="V62" s="3757"/>
      <c r="W62" s="3757"/>
      <c r="X62" s="3757"/>
      <c r="Y62" s="3757"/>
      <c r="Z62" s="3757"/>
      <c r="AA62" s="3757"/>
      <c r="AB62" s="3757"/>
      <c r="AC62" s="3757"/>
      <c r="AD62" s="3757"/>
      <c r="AE62" s="3757"/>
      <c r="AF62" s="3757"/>
      <c r="AG62" s="3757"/>
      <c r="AH62" s="3757"/>
      <c r="AI62" s="3757"/>
      <c r="AJ62" s="3757"/>
      <c r="AK62" s="3757"/>
      <c r="AL62" s="3757"/>
      <c r="AM62" s="3757"/>
      <c r="AS62" s="1077">
        <v>18</v>
      </c>
    </row>
    <row r="63" spans="1:45" ht="18.75" customHeight="1">
      <c r="O63" s="471"/>
      <c r="T63" s="3757"/>
      <c r="U63" s="3757"/>
      <c r="V63" s="3757"/>
      <c r="W63" s="3757"/>
      <c r="X63" s="3757"/>
      <c r="Y63" s="3757"/>
      <c r="Z63" s="3757"/>
      <c r="AA63" s="3757"/>
      <c r="AB63" s="3757"/>
      <c r="AC63" s="3757"/>
      <c r="AD63" s="3757"/>
      <c r="AE63" s="3757"/>
      <c r="AF63" s="3757"/>
      <c r="AG63" s="3757"/>
      <c r="AH63" s="3757"/>
      <c r="AI63" s="3757"/>
      <c r="AJ63" s="3757"/>
      <c r="AK63" s="3757"/>
      <c r="AL63" s="3757"/>
      <c r="AM63" s="3757"/>
      <c r="AS63" s="1077">
        <v>18</v>
      </c>
    </row>
    <row r="64" spans="1:45" ht="39.75" customHeight="1">
      <c r="O64" s="471"/>
      <c r="S64" s="1175"/>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077">
        <v>38</v>
      </c>
    </row>
    <row r="65" spans="1:45" ht="22.5" hidden="1" customHeight="1">
      <c r="A65" s="1082" t="s">
        <v>70</v>
      </c>
      <c r="B65" s="1082">
        <v>0</v>
      </c>
      <c r="C65" s="1082">
        <v>0</v>
      </c>
      <c r="D65" s="1082">
        <v>0</v>
      </c>
      <c r="E65" s="1082">
        <v>0</v>
      </c>
      <c r="F65" s="1082">
        <v>0</v>
      </c>
      <c r="G65" s="1082">
        <v>0</v>
      </c>
      <c r="H65" s="1082">
        <v>0</v>
      </c>
      <c r="I65" s="1082">
        <v>0</v>
      </c>
      <c r="J65" s="1082">
        <v>0</v>
      </c>
      <c r="K65" s="1082">
        <v>0</v>
      </c>
      <c r="L65" s="1251">
        <v>0</v>
      </c>
      <c r="M65" s="1284">
        <v>0</v>
      </c>
      <c r="N65" s="1284">
        <v>0</v>
      </c>
      <c r="O65" s="1284">
        <v>0</v>
      </c>
      <c r="P65" s="1250">
        <v>3</v>
      </c>
      <c r="Q65" s="279">
        <v>3</v>
      </c>
      <c r="R65" s="279">
        <v>3</v>
      </c>
      <c r="S65" s="515">
        <v>12</v>
      </c>
      <c r="T65" s="1077">
        <v>31</v>
      </c>
      <c r="U65" s="1077">
        <v>0</v>
      </c>
      <c r="V65" s="1077">
        <v>0</v>
      </c>
      <c r="W65" s="1077">
        <v>0</v>
      </c>
      <c r="X65" s="1077">
        <v>0</v>
      </c>
      <c r="Y65" s="1077">
        <v>0</v>
      </c>
      <c r="Z65" s="1077">
        <v>0</v>
      </c>
      <c r="AA65" s="1077">
        <v>0</v>
      </c>
      <c r="AB65" s="1077">
        <v>0</v>
      </c>
      <c r="AC65" s="1077">
        <v>0</v>
      </c>
      <c r="AD65" s="1077">
        <v>0</v>
      </c>
      <c r="AE65" s="1077">
        <v>24</v>
      </c>
      <c r="AF65" s="1077">
        <v>0</v>
      </c>
      <c r="AG65" s="1077">
        <v>0</v>
      </c>
      <c r="AH65" s="1077">
        <v>11</v>
      </c>
      <c r="AI65" s="1077">
        <v>3</v>
      </c>
      <c r="AJ65" s="1077">
        <v>11</v>
      </c>
      <c r="AK65" s="1077">
        <v>0</v>
      </c>
      <c r="AL65" s="1077">
        <v>4</v>
      </c>
      <c r="AM65" s="1077">
        <v>115</v>
      </c>
      <c r="AN65" s="445">
        <v>10</v>
      </c>
      <c r="AO65" s="445">
        <v>10</v>
      </c>
      <c r="AP65" s="445">
        <v>10</v>
      </c>
      <c r="AQ65" s="445">
        <v>10</v>
      </c>
      <c r="AR65" s="445">
        <v>10</v>
      </c>
      <c r="AS65" s="1077">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7109375" style="1991" hidden="1" customWidth="1"/>
    <col min="17" max="18" width="3" style="279" customWidth="1"/>
    <col min="19" max="19" width="12" style="1992"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8.42578125" style="1557" hidden="1" customWidth="1"/>
  </cols>
  <sheetData>
    <row r="1" spans="1:45" ht="22.5" hidden="1" customHeight="1">
      <c r="Y1" s="262"/>
      <c r="Z1" s="262"/>
      <c r="AG1" s="262"/>
      <c r="AH1" s="262"/>
      <c r="AS1" s="1077" t="s">
        <v>1</v>
      </c>
    </row>
    <row r="2" spans="1:45" ht="21" hidden="1" customHeight="1">
      <c r="A2" s="1285"/>
      <c r="B2" s="1285"/>
      <c r="C2" s="1285"/>
      <c r="D2" s="1285"/>
      <c r="E2" s="3737">
        <v>1</v>
      </c>
      <c r="F2" s="1285"/>
      <c r="G2" s="1285"/>
      <c r="H2" s="1285"/>
      <c r="I2" s="1285"/>
      <c r="J2" s="1285"/>
      <c r="K2" s="1285"/>
      <c r="L2" s="1286"/>
      <c r="M2" s="1287"/>
      <c r="N2" s="1287"/>
      <c r="O2" s="1287"/>
      <c r="P2" s="295"/>
      <c r="Q2" s="294"/>
      <c r="R2" s="289"/>
      <c r="S2" s="1258" t="e">
        <f>INDEX(PT_DIFFERENTIATION_NUM_NTAR,MATCH(A2,PT_DIFFERENTIATION_NTAR_ID,0))</f>
        <v>#N/A</v>
      </c>
      <c r="T2" s="233"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434"/>
      <c r="AP2" s="434" t="str">
        <f t="shared" ref="AP2:AP15" si="0">IF(T2="","",T2)</f>
        <v>Наименование тарифа</v>
      </c>
      <c r="AQ2" s="434"/>
      <c r="AR2" s="434"/>
      <c r="AS2" s="1077">
        <v>0</v>
      </c>
    </row>
    <row r="3" spans="1:45" ht="21" hidden="1" customHeight="1">
      <c r="A3" s="1285"/>
      <c r="B3" s="1285"/>
      <c r="C3" s="1285"/>
      <c r="D3" s="1285"/>
      <c r="E3" s="3738"/>
      <c r="F3" s="3737">
        <v>1</v>
      </c>
      <c r="G3" s="1285"/>
      <c r="H3" s="1285"/>
      <c r="I3" s="1285"/>
      <c r="J3" s="1285"/>
      <c r="K3" s="1285"/>
      <c r="L3" s="1286"/>
      <c r="M3" s="1287"/>
      <c r="N3" s="1287"/>
      <c r="O3" s="1287"/>
      <c r="P3" s="1254"/>
      <c r="Q3" s="286"/>
      <c r="R3" s="287"/>
      <c r="S3" s="1258" t="e">
        <f>INDEX(PT_DIFFERENTIATION_NUM_TER,MATCH(B3,PT_DIFFERENTIATION_TER_ID,0))</f>
        <v>#N/A</v>
      </c>
      <c r="T3" s="243"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434"/>
      <c r="AP3" s="434" t="str">
        <f t="shared" si="0"/>
        <v>Территория действия тарифа</v>
      </c>
      <c r="AQ3" s="434"/>
      <c r="AR3" s="434"/>
      <c r="AS3" s="1077">
        <v>0</v>
      </c>
    </row>
    <row r="4" spans="1:45" ht="23.25" hidden="1" customHeight="1">
      <c r="A4" s="1285"/>
      <c r="B4" s="1285"/>
      <c r="C4" s="1285"/>
      <c r="D4" s="1285"/>
      <c r="E4" s="3738"/>
      <c r="F4" s="3738"/>
      <c r="G4" s="3737">
        <v>1</v>
      </c>
      <c r="H4" s="1285"/>
      <c r="I4" s="1285"/>
      <c r="J4" s="1285"/>
      <c r="K4" s="1285"/>
      <c r="L4" s="1286"/>
      <c r="M4" s="1287"/>
      <c r="N4" s="1287"/>
      <c r="O4" s="1287"/>
      <c r="P4" s="288"/>
      <c r="Q4" s="286"/>
      <c r="R4" s="287"/>
      <c r="S4" s="1258" t="e">
        <f>INDEX(PT_DIFFERENTIATION_NUM_CS,MATCH(C4,PT_DIFFERENTIATION_CS_ID,0))</f>
        <v>#N/A</v>
      </c>
      <c r="T4" s="244" t="s">
        <v>444</v>
      </c>
      <c r="U4" s="235"/>
      <c r="V4" s="3723"/>
      <c r="W4" s="3724"/>
      <c r="X4" s="3724"/>
      <c r="Y4" s="3724"/>
      <c r="Z4" s="3724"/>
      <c r="AA4" s="3724"/>
      <c r="AB4" s="3724"/>
      <c r="AC4" s="3725"/>
      <c r="AD4" s="3723" t="e">
        <f>INDEX(PT_DIFFERENTIATION_CS,MATCH(C4,PT_DIFFERENTIATION_CS_ID,0))</f>
        <v>#N/A</v>
      </c>
      <c r="AE4" s="3724"/>
      <c r="AF4" s="3724"/>
      <c r="AG4" s="3724"/>
      <c r="AH4" s="3724"/>
      <c r="AI4" s="3724"/>
      <c r="AJ4" s="3724"/>
      <c r="AK4" s="3724"/>
      <c r="AL4" s="3725"/>
      <c r="AM4" s="1180" t="s">
        <v>445</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3738"/>
      <c r="F5" s="3738"/>
      <c r="G5" s="3738"/>
      <c r="H5" s="3737">
        <v>1</v>
      </c>
      <c r="I5" s="1285"/>
      <c r="J5" s="1285"/>
      <c r="K5" s="1285"/>
      <c r="L5" s="1286"/>
      <c r="M5" s="1287"/>
      <c r="N5" s="1287"/>
      <c r="O5" s="1287"/>
      <c r="P5" s="288"/>
      <c r="Q5" s="286"/>
      <c r="R5" s="287"/>
      <c r="S5" s="1258" t="e">
        <f>INDEX(PT_DIFFERENTIATION_NUM_IST_TE,MATCH(D5,PT_DIFFERENTIATION_IST_TE_ID,0))</f>
        <v>#N/A</v>
      </c>
      <c r="T5" s="245" t="s">
        <v>446</v>
      </c>
      <c r="U5" s="235"/>
      <c r="V5" s="3723"/>
      <c r="W5" s="3724"/>
      <c r="X5" s="3724"/>
      <c r="Y5" s="3724"/>
      <c r="Z5" s="3724"/>
      <c r="AA5" s="3724"/>
      <c r="AB5" s="3724"/>
      <c r="AC5" s="3725"/>
      <c r="AD5" s="3723" t="e">
        <f>INDEX(PT_DIFFERENTIATION_IST_TE,MATCH(D5,PT_DIFFERENTIATION_IST_TE_ID,0))</f>
        <v>#N/A</v>
      </c>
      <c r="AE5" s="3724"/>
      <c r="AF5" s="3724"/>
      <c r="AG5" s="3724"/>
      <c r="AH5" s="3724"/>
      <c r="AI5" s="3724"/>
      <c r="AJ5" s="3724"/>
      <c r="AK5" s="3724"/>
      <c r="AL5" s="3725"/>
      <c r="AM5" s="1180" t="s">
        <v>447</v>
      </c>
      <c r="AO5" s="434"/>
      <c r="AP5" s="434" t="str">
        <f t="shared" si="0"/>
        <v xml:space="preserve">Источник тепловой энергии  </v>
      </c>
      <c r="AQ5" s="434"/>
      <c r="AR5" s="434"/>
      <c r="AS5" s="1077">
        <v>0</v>
      </c>
    </row>
    <row r="6" spans="1:45" ht="14.25" hidden="1" customHeight="1">
      <c r="A6" s="1285"/>
      <c r="B6" s="1285"/>
      <c r="C6" s="1285"/>
      <c r="D6" s="1285"/>
      <c r="E6" s="3738"/>
      <c r="F6" s="3738"/>
      <c r="G6" s="3738"/>
      <c r="H6" s="3738"/>
      <c r="I6" s="3735" t="e">
        <f>S5&amp;".1"</f>
        <v>#N/A</v>
      </c>
      <c r="J6" s="1285"/>
      <c r="K6" s="1285"/>
      <c r="L6" s="1286" t="s">
        <v>448</v>
      </c>
      <c r="M6" s="471"/>
      <c r="P6" s="3736">
        <v>1</v>
      </c>
      <c r="Q6" s="1253"/>
      <c r="R6" s="290"/>
      <c r="S6" s="968"/>
      <c r="T6" s="1305"/>
      <c r="U6" s="1306"/>
      <c r="V6" s="3766"/>
      <c r="W6" s="3767"/>
      <c r="X6" s="3767"/>
      <c r="Y6" s="3767"/>
      <c r="Z6" s="3767"/>
      <c r="AA6" s="3767"/>
      <c r="AB6" s="3767"/>
      <c r="AC6" s="3768"/>
      <c r="AD6" s="3766"/>
      <c r="AE6" s="3767"/>
      <c r="AF6" s="3767"/>
      <c r="AG6" s="3767"/>
      <c r="AH6" s="3767"/>
      <c r="AI6" s="3767"/>
      <c r="AJ6" s="3767"/>
      <c r="AK6" s="3767"/>
      <c r="AL6" s="3768"/>
      <c r="AM6" s="1307"/>
      <c r="AO6" s="434"/>
      <c r="AP6" s="434" t="str">
        <f t="shared" si="0"/>
        <v/>
      </c>
      <c r="AQ6" s="434"/>
      <c r="AR6" s="434"/>
      <c r="AS6" s="1077">
        <v>0</v>
      </c>
    </row>
    <row r="7" spans="1:45" ht="21" hidden="1" customHeight="1">
      <c r="A7" s="1285"/>
      <c r="B7" s="1285"/>
      <c r="C7" s="1285"/>
      <c r="D7" s="1285"/>
      <c r="E7" s="3738"/>
      <c r="F7" s="3738"/>
      <c r="G7" s="3738"/>
      <c r="H7" s="3738"/>
      <c r="I7" s="3758"/>
      <c r="J7" s="3735" t="e">
        <f>I6&amp;".1"</f>
        <v>#N/A</v>
      </c>
      <c r="K7" s="1285"/>
      <c r="L7" s="1286" t="s">
        <v>451</v>
      </c>
      <c r="M7" s="471"/>
      <c r="N7" s="1288"/>
      <c r="P7" s="3736"/>
      <c r="Q7" s="3736">
        <v>1</v>
      </c>
      <c r="R7" s="291"/>
      <c r="S7" s="1258" t="e">
        <f>$J7</f>
        <v>#N/A</v>
      </c>
      <c r="T7" s="221" t="s">
        <v>452</v>
      </c>
      <c r="U7" s="235"/>
      <c r="V7" s="3726"/>
      <c r="W7" s="3727"/>
      <c r="X7" s="3727"/>
      <c r="Y7" s="3727"/>
      <c r="Z7" s="3727"/>
      <c r="AA7" s="3727"/>
      <c r="AB7" s="3727"/>
      <c r="AC7" s="3728"/>
      <c r="AD7" s="3726"/>
      <c r="AE7" s="3727"/>
      <c r="AF7" s="3727"/>
      <c r="AG7" s="3727"/>
      <c r="AH7" s="3727"/>
      <c r="AI7" s="3727"/>
      <c r="AJ7" s="3727"/>
      <c r="AK7" s="3727"/>
      <c r="AL7" s="3728"/>
      <c r="AM7" s="1180" t="s">
        <v>453</v>
      </c>
      <c r="AO7" s="434"/>
      <c r="AP7" s="434" t="str">
        <f t="shared" si="0"/>
        <v>Группа потребителей</v>
      </c>
      <c r="AQ7" s="434"/>
      <c r="AR7" s="434"/>
      <c r="AS7" s="1077">
        <v>0</v>
      </c>
    </row>
    <row r="8" spans="1:45" ht="21" hidden="1" customHeight="1">
      <c r="A8" s="1285"/>
      <c r="B8" s="1285"/>
      <c r="C8" s="1285"/>
      <c r="D8" s="1285"/>
      <c r="E8" s="3738"/>
      <c r="F8" s="3738"/>
      <c r="G8" s="3738"/>
      <c r="H8" s="3738"/>
      <c r="I8" s="3758"/>
      <c r="J8" s="3758"/>
      <c r="K8" s="3735" t="e">
        <f>J7&amp;".1"</f>
        <v>#N/A</v>
      </c>
      <c r="L8" s="1286" t="s">
        <v>454</v>
      </c>
      <c r="M8" s="471"/>
      <c r="N8" s="1288"/>
      <c r="O8" s="1288"/>
      <c r="P8" s="3736"/>
      <c r="Q8" s="3736"/>
      <c r="R8" s="291">
        <v>1</v>
      </c>
      <c r="S8" s="1258" t="e">
        <f>$K8</f>
        <v>#N/A</v>
      </c>
      <c r="T8" s="1269"/>
      <c r="U8" s="235"/>
      <c r="V8" s="685"/>
      <c r="W8" s="260"/>
      <c r="X8" s="685"/>
      <c r="Y8" s="1179"/>
      <c r="Z8" s="3740"/>
      <c r="AA8" s="3599" t="s">
        <v>50</v>
      </c>
      <c r="AB8" s="3740"/>
      <c r="AC8" s="3599" t="s">
        <v>50</v>
      </c>
      <c r="AD8" s="685"/>
      <c r="AE8" s="260"/>
      <c r="AF8" s="685"/>
      <c r="AG8" s="1179"/>
      <c r="AH8" s="3740"/>
      <c r="AI8" s="3599" t="s">
        <v>50</v>
      </c>
      <c r="AJ8" s="3740"/>
      <c r="AK8" s="3599" t="s">
        <v>50</v>
      </c>
      <c r="AL8" s="260"/>
      <c r="AM8" s="3732" t="s">
        <v>455</v>
      </c>
      <c r="AN8" s="445" t="e">
        <f ca="1">STRCHECKDATE(V9:AL9)</f>
        <v>#NAME?</v>
      </c>
      <c r="AO8" s="434"/>
      <c r="AP8" s="434" t="str">
        <f t="shared" si="0"/>
        <v/>
      </c>
      <c r="AQ8" s="434"/>
      <c r="AR8" s="434"/>
      <c r="AS8" s="1077">
        <v>0</v>
      </c>
    </row>
    <row r="9" spans="1:45" ht="0.75" hidden="1" customHeight="1">
      <c r="A9" s="1285"/>
      <c r="B9" s="1285"/>
      <c r="C9" s="1285"/>
      <c r="D9" s="1285"/>
      <c r="E9" s="3738"/>
      <c r="F9" s="3738"/>
      <c r="G9" s="3738"/>
      <c r="H9" s="3738"/>
      <c r="I9" s="3758"/>
      <c r="J9" s="3758"/>
      <c r="K9" s="3735"/>
      <c r="L9" s="1286"/>
      <c r="M9" s="471"/>
      <c r="N9" s="1288"/>
      <c r="O9" s="1288"/>
      <c r="P9" s="3736"/>
      <c r="Q9" s="3736"/>
      <c r="R9" s="291"/>
      <c r="S9" s="1264"/>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434"/>
      <c r="AP9" s="434" t="str">
        <f t="shared" si="0"/>
        <v/>
      </c>
      <c r="AQ9" s="434"/>
      <c r="AR9" s="434"/>
      <c r="AS9" s="1077">
        <v>0</v>
      </c>
    </row>
    <row r="10" spans="1:45" ht="15" hidden="1" customHeight="1">
      <c r="A10" s="1285"/>
      <c r="B10" s="1285"/>
      <c r="C10" s="1285"/>
      <c r="D10" s="1285"/>
      <c r="E10" s="3738"/>
      <c r="F10" s="3738"/>
      <c r="G10" s="3738"/>
      <c r="H10" s="3738"/>
      <c r="I10" s="3758"/>
      <c r="J10" s="3735"/>
      <c r="K10" s="1285"/>
      <c r="L10" s="1286"/>
      <c r="M10" s="471"/>
      <c r="N10" s="1288"/>
      <c r="P10" s="3736"/>
      <c r="Q10" s="3736"/>
      <c r="R10" s="290"/>
      <c r="S10" s="1200"/>
      <c r="T10" s="222" t="s">
        <v>456</v>
      </c>
      <c r="U10" s="301"/>
      <c r="V10" s="301"/>
      <c r="W10" s="301"/>
      <c r="X10" s="301"/>
      <c r="Y10" s="301"/>
      <c r="Z10" s="301"/>
      <c r="AA10" s="301"/>
      <c r="AB10" s="301"/>
      <c r="AC10" s="301"/>
      <c r="AD10" s="301"/>
      <c r="AE10" s="301"/>
      <c r="AF10" s="301"/>
      <c r="AG10" s="301"/>
      <c r="AH10" s="301"/>
      <c r="AI10" s="301"/>
      <c r="AJ10" s="301"/>
      <c r="AK10" s="301"/>
      <c r="AL10" s="259"/>
      <c r="AM10" s="3734"/>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3738"/>
      <c r="F11" s="3738"/>
      <c r="G11" s="3738"/>
      <c r="H11" s="3738"/>
      <c r="I11" s="3735"/>
      <c r="J11" s="1285"/>
      <c r="K11" s="1285"/>
      <c r="L11" s="1286"/>
      <c r="M11" s="471"/>
      <c r="P11" s="3736"/>
      <c r="Q11" s="1253"/>
      <c r="R11" s="290"/>
      <c r="S11" s="1200"/>
      <c r="T11" s="299" t="s">
        <v>457</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3738"/>
      <c r="F12" s="3738"/>
      <c r="G12" s="3738"/>
      <c r="H12" s="3737"/>
      <c r="I12" s="1285"/>
      <c r="J12" s="1285"/>
      <c r="K12" s="1285"/>
      <c r="L12" s="1286"/>
      <c r="M12" s="1287"/>
      <c r="N12" s="1287"/>
      <c r="O12" s="471"/>
      <c r="P12" s="294"/>
      <c r="Q12" s="309"/>
      <c r="R12" s="289"/>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4"/>
      <c r="AP12" s="434" t="str">
        <f t="shared" si="0"/>
        <v/>
      </c>
      <c r="AQ12" s="434"/>
      <c r="AR12" s="434"/>
      <c r="AS12" s="1077">
        <v>0</v>
      </c>
    </row>
    <row r="13" spans="1:45" s="1564" customFormat="1" ht="0.75" hidden="1" customHeight="1">
      <c r="A13" s="1236"/>
      <c r="B13" s="1236"/>
      <c r="C13" s="1236"/>
      <c r="D13" s="1236"/>
      <c r="E13" s="3738"/>
      <c r="F13" s="3738"/>
      <c r="G13" s="3737"/>
      <c r="H13" s="1236"/>
      <c r="I13" s="1236"/>
      <c r="J13" s="1236"/>
      <c r="K13" s="1236"/>
      <c r="L13" s="1261"/>
      <c r="M13" s="1237"/>
      <c r="N13" s="1237"/>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3738"/>
      <c r="F14" s="3737"/>
      <c r="G14" s="1236"/>
      <c r="H14" s="1236"/>
      <c r="I14" s="1236"/>
      <c r="J14" s="1236"/>
      <c r="K14" s="1236"/>
      <c r="L14" s="1261"/>
      <c r="M14" s="1243"/>
      <c r="N14" s="1243"/>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3737"/>
      <c r="F15" s="1236"/>
      <c r="G15" s="1236"/>
      <c r="H15" s="1236"/>
      <c r="I15" s="1236"/>
      <c r="J15" s="1236"/>
      <c r="K15" s="1236"/>
      <c r="L15" s="1261"/>
      <c r="M15" s="1243"/>
      <c r="N15" s="1243"/>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3742"/>
      <c r="AI17" s="3743" t="s">
        <v>50</v>
      </c>
      <c r="AJ17" s="3742"/>
      <c r="AK17" s="3743" t="s">
        <v>50</v>
      </c>
      <c r="AS17" s="1077">
        <v>0</v>
      </c>
    </row>
    <row r="18" spans="1:45" ht="14.25" hidden="1" customHeight="1">
      <c r="AD18" s="1282"/>
      <c r="AE18" s="1282"/>
      <c r="AF18" s="1282"/>
      <c r="AG18" s="263" t="str">
        <f>AH17&amp;"-"&amp;AJ17</f>
        <v>-</v>
      </c>
      <c r="AH18" s="3743"/>
      <c r="AI18" s="3743"/>
      <c r="AJ18" s="3743"/>
      <c r="AK18" s="3743"/>
      <c r="AS18" s="1077">
        <v>0</v>
      </c>
    </row>
    <row r="19" spans="1:45" ht="14.25" hidden="1" customHeight="1">
      <c r="AK19" s="262"/>
      <c r="AS19" s="1077">
        <v>0</v>
      </c>
    </row>
    <row r="20" spans="1:45" s="1288" customFormat="1" ht="22.5" hidden="1" customHeight="1">
      <c r="L20" s="1251"/>
      <c r="M20" s="1284"/>
      <c r="N20" s="1284"/>
      <c r="O20" s="1289" t="s">
        <v>462</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463</v>
      </c>
      <c r="P22" s="1284"/>
      <c r="Q22" s="1293"/>
      <c r="R22" s="1293"/>
      <c r="S22" s="663"/>
      <c r="T22" s="1082" t="s">
        <v>464</v>
      </c>
      <c r="AA22" s="121" t="s">
        <v>465</v>
      </c>
      <c r="AC22" s="121" t="s">
        <v>466</v>
      </c>
      <c r="AD22" s="1082" t="s">
        <v>464</v>
      </c>
      <c r="AI22" s="121" t="s">
        <v>467</v>
      </c>
      <c r="AK22" s="121" t="s">
        <v>466</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63" customHeight="1">
      <c r="Q26" s="310"/>
      <c r="R26" s="310"/>
      <c r="S26" s="37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721"/>
      <c r="U26" s="3721"/>
      <c r="V26" s="3721"/>
      <c r="W26" s="3721"/>
      <c r="X26" s="3721"/>
      <c r="Y26" s="3721"/>
      <c r="Z26" s="3721"/>
      <c r="AA26" s="3721"/>
      <c r="AB26" s="3721"/>
      <c r="AC26" s="3721"/>
      <c r="AD26" s="3721"/>
      <c r="AE26" s="3721"/>
      <c r="AF26" s="3721"/>
      <c r="AG26" s="3721"/>
      <c r="AH26" s="3721"/>
      <c r="AI26" s="3721"/>
      <c r="AJ26" s="3721"/>
      <c r="AK26" s="1165"/>
      <c r="AS26" s="1077">
        <v>60</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42" customFormat="1" ht="25.5" hidden="1" customHeight="1">
      <c r="A29" s="1290"/>
      <c r="B29" s="1290"/>
      <c r="C29" s="1290"/>
      <c r="D29" s="1290"/>
      <c r="E29" s="1290"/>
      <c r="F29" s="1290"/>
      <c r="G29" s="1290"/>
      <c r="H29" s="1290"/>
      <c r="I29" s="1290"/>
      <c r="J29" s="1290"/>
      <c r="K29" s="1290"/>
      <c r="L29" s="1291"/>
      <c r="M29" s="1290"/>
      <c r="N29" s="1290"/>
      <c r="O29" s="129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261"/>
      <c r="AD29" s="3730" t="str">
        <f>IF(TITLE_NAME_OR_PR_CHANGE="",IF(TITLE_NAME_OR_PR="","",TITLE_NAME_OR_PR),TITLE_NAME_OR_PR_CHANGE)</f>
        <v/>
      </c>
      <c r="AE29" s="3730"/>
      <c r="AF29" s="3730"/>
      <c r="AG29" s="3730"/>
      <c r="AH29" s="3730"/>
      <c r="AI29" s="3730"/>
      <c r="AJ29" s="3730"/>
      <c r="AK29" s="261"/>
      <c r="AL29" s="261"/>
      <c r="AM29" s="215"/>
      <c r="AN29" s="302"/>
      <c r="AO29" s="302"/>
      <c r="AP29" s="302"/>
      <c r="AQ29" s="302"/>
      <c r="AR29" s="302"/>
      <c r="AS29" s="352">
        <v>0</v>
      </c>
    </row>
    <row r="30" spans="1:45" s="1742" customFormat="1" ht="18.75" hidden="1" customHeight="1">
      <c r="A30" s="1290"/>
      <c r="B30" s="1290"/>
      <c r="C30" s="1290"/>
      <c r="D30" s="1290"/>
      <c r="E30" s="1290"/>
      <c r="F30" s="1290"/>
      <c r="G30" s="1290"/>
      <c r="H30" s="1290"/>
      <c r="I30" s="1290"/>
      <c r="J30" s="1290"/>
      <c r="K30" s="1290"/>
      <c r="L30" s="1291"/>
      <c r="M30" s="1290"/>
      <c r="N30" s="1290"/>
      <c r="O30" s="129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261"/>
      <c r="AD30" s="3739" t="str">
        <f>IF(TITLE_DATE_PR_CHANGE="",IF(TITLE_DATE_PR="","",TITLE_DATE_PR),TITLE_DATE_PR_CHANGE)</f>
        <v/>
      </c>
      <c r="AE30" s="3739"/>
      <c r="AF30" s="3739"/>
      <c r="AG30" s="3739"/>
      <c r="AH30" s="3739"/>
      <c r="AI30" s="3739"/>
      <c r="AJ30" s="3739"/>
      <c r="AK30" s="261"/>
      <c r="AL30" s="261"/>
      <c r="AM30" s="215"/>
      <c r="AN30" s="302"/>
      <c r="AO30" s="302"/>
      <c r="AP30" s="302"/>
      <c r="AQ30" s="302"/>
      <c r="AR30" s="302"/>
      <c r="AS30" s="352">
        <v>0</v>
      </c>
    </row>
    <row r="31" spans="1:45" s="1742" customFormat="1" ht="18.75" hidden="1" customHeight="1">
      <c r="A31" s="1290"/>
      <c r="B31" s="1290"/>
      <c r="C31" s="1290"/>
      <c r="D31" s="1290"/>
      <c r="E31" s="1290"/>
      <c r="F31" s="1290"/>
      <c r="G31" s="1290"/>
      <c r="H31" s="1290"/>
      <c r="I31" s="1290"/>
      <c r="J31" s="1290"/>
      <c r="K31" s="1290"/>
      <c r="L31" s="1291"/>
      <c r="M31" s="1290"/>
      <c r="N31" s="1290"/>
      <c r="O31" s="129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261"/>
      <c r="AD31" s="3730" t="str">
        <f>IF(TITLE_NUMBER_PR_CHANGE="",IF(TITLE_NUMBER_PR="","",TITLE_NUMBER_PR),TITLE_NUMBER_PR_CHANGE)</f>
        <v/>
      </c>
      <c r="AE31" s="3730"/>
      <c r="AF31" s="3730"/>
      <c r="AG31" s="3730"/>
      <c r="AH31" s="3730"/>
      <c r="AI31" s="3730"/>
      <c r="AJ31" s="3730"/>
      <c r="AK31" s="261"/>
      <c r="AL31" s="261"/>
      <c r="AM31" s="215"/>
      <c r="AN31" s="302"/>
      <c r="AO31" s="302"/>
      <c r="AP31" s="302"/>
      <c r="AQ31" s="302"/>
      <c r="AR31" s="302"/>
      <c r="AS31" s="352">
        <v>0</v>
      </c>
    </row>
    <row r="32" spans="1:45" s="1742" customFormat="1" ht="18.75" hidden="1" customHeight="1">
      <c r="A32" s="1290"/>
      <c r="B32" s="1290"/>
      <c r="C32" s="1290"/>
      <c r="D32" s="1290"/>
      <c r="E32" s="1290"/>
      <c r="F32" s="1290"/>
      <c r="G32" s="1290"/>
      <c r="H32" s="1290"/>
      <c r="I32" s="1290"/>
      <c r="J32" s="1290"/>
      <c r="K32" s="1290"/>
      <c r="L32" s="1291"/>
      <c r="M32" s="1290"/>
      <c r="N32" s="1290"/>
      <c r="O32" s="1290"/>
      <c r="S32" s="3729" t="s">
        <v>30</v>
      </c>
      <c r="T32" s="3729"/>
      <c r="U32" s="1294"/>
      <c r="V32" s="3730" t="str">
        <f>IF(TITLE_IST_PUB_CHANGE="",IF(TITLE_IST_PUB="","",TITLE_IST_PUB),TITLE_IST_PUB_CHANGE)</f>
        <v/>
      </c>
      <c r="W32" s="3730"/>
      <c r="X32" s="3730"/>
      <c r="Y32" s="3730"/>
      <c r="Z32" s="3730"/>
      <c r="AA32" s="3730"/>
      <c r="AB32" s="3730"/>
      <c r="AC32" s="261"/>
      <c r="AD32" s="3730" t="str">
        <f>IF(TITLE_IST_PUB_CHANGE="",IF(TITLE_IST_PUB="","",TITLE_IST_PUB),TITLE_IST_PUB_CHANGE)</f>
        <v/>
      </c>
      <c r="AE32" s="3730"/>
      <c r="AF32" s="3730"/>
      <c r="AG32" s="3730"/>
      <c r="AH32" s="3730"/>
      <c r="AI32" s="3730"/>
      <c r="AJ32" s="3730"/>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42" customFormat="1" ht="18.75" hidden="1" customHeight="1">
      <c r="A34" s="1290"/>
      <c r="B34" s="1290"/>
      <c r="C34" s="1290"/>
      <c r="D34" s="1290"/>
      <c r="E34" s="1290"/>
      <c r="F34" s="1290"/>
      <c r="G34" s="1290"/>
      <c r="H34" s="1290"/>
      <c r="I34" s="1290"/>
      <c r="J34" s="1290"/>
      <c r="K34" s="1290"/>
      <c r="L34" s="1291"/>
      <c r="M34" s="1290"/>
      <c r="N34" s="1290"/>
      <c r="O34" s="129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261"/>
      <c r="AD34" s="3739" t="str">
        <f>IF(TITLE_DATE_PR_CHANGE="",IF(TITLE_DATE_PR="","",TITLE_DATE_PR),TITLE_DATE_PR_CHANGE)</f>
        <v/>
      </c>
      <c r="AE34" s="3739"/>
      <c r="AF34" s="3739"/>
      <c r="AG34" s="3739"/>
      <c r="AH34" s="3739"/>
      <c r="AI34" s="3739"/>
      <c r="AJ34" s="3739"/>
      <c r="AK34" s="261"/>
      <c r="AL34" s="261"/>
      <c r="AM34" s="215"/>
      <c r="AN34" s="302"/>
      <c r="AO34" s="302"/>
      <c r="AP34" s="302"/>
      <c r="AQ34" s="302"/>
      <c r="AR34" s="302"/>
      <c r="AS34" s="352">
        <v>0</v>
      </c>
    </row>
    <row r="35" spans="1:45" s="1742" customFormat="1" ht="18.75" hidden="1" customHeight="1">
      <c r="A35" s="1290"/>
      <c r="B35" s="1290"/>
      <c r="C35" s="1290"/>
      <c r="D35" s="1290"/>
      <c r="E35" s="1290"/>
      <c r="F35" s="1290"/>
      <c r="G35" s="1290"/>
      <c r="H35" s="1290"/>
      <c r="I35" s="1290"/>
      <c r="J35" s="1290"/>
      <c r="K35" s="1290"/>
      <c r="L35" s="1291"/>
      <c r="M35" s="1290"/>
      <c r="N35" s="1290"/>
      <c r="O35" s="129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261"/>
      <c r="AD35" s="3730" t="str">
        <f>IF(TITLE_NUMBER_PR_CHANGE="",IF(TITLE_NUMBER_PR="","",TITLE_NUMBER_PR),TITLE_NUMBER_PR_CHANGE)</f>
        <v/>
      </c>
      <c r="AE35" s="3730"/>
      <c r="AF35" s="3730"/>
      <c r="AG35" s="3730"/>
      <c r="AH35" s="3730"/>
      <c r="AI35" s="3730"/>
      <c r="AJ35" s="3730"/>
      <c r="AK35" s="261"/>
      <c r="AL35" s="261"/>
      <c r="AM35" s="215"/>
      <c r="AN35" s="302"/>
      <c r="AO35" s="302"/>
      <c r="AP35" s="302"/>
      <c r="AQ35" s="302"/>
      <c r="AR35" s="302"/>
      <c r="AS35" s="352">
        <v>0</v>
      </c>
    </row>
    <row r="36" spans="1:45" s="1742"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468</v>
      </c>
      <c r="AD36" s="261"/>
      <c r="AE36" s="261"/>
      <c r="AF36" s="261"/>
      <c r="AG36" s="261"/>
      <c r="AH36" s="261"/>
      <c r="AI36" s="261"/>
      <c r="AJ36" s="261"/>
      <c r="AK36" s="213" t="s">
        <v>468</v>
      </c>
      <c r="AN36" s="302"/>
      <c r="AO36" s="302"/>
      <c r="AP36" s="302"/>
      <c r="AQ36" s="302"/>
      <c r="AR36" s="302"/>
      <c r="AS36" s="352">
        <v>0</v>
      </c>
    </row>
    <row r="37" spans="1:45" ht="14.65" customHeight="1">
      <c r="Q37" s="310"/>
      <c r="R37" s="310"/>
      <c r="S37" s="1197"/>
      <c r="T37" s="297"/>
      <c r="U37" s="1166"/>
      <c r="V37" s="3731"/>
      <c r="W37" s="3731"/>
      <c r="X37" s="3731"/>
      <c r="Y37" s="3731"/>
      <c r="Z37" s="3731"/>
      <c r="AA37" s="3731"/>
      <c r="AB37" s="3731"/>
      <c r="AC37" s="3731"/>
      <c r="AD37" s="3731"/>
      <c r="AE37" s="3731"/>
      <c r="AF37" s="3731"/>
      <c r="AG37" s="3731"/>
      <c r="AH37" s="3731"/>
      <c r="AI37" s="3731"/>
      <c r="AJ37" s="3731"/>
      <c r="AK37" s="3731"/>
      <c r="AS37" s="1077">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077">
        <v>14</v>
      </c>
    </row>
    <row r="39" spans="1:45" ht="14.65" customHeight="1">
      <c r="Q39" s="310"/>
      <c r="R39" s="310"/>
      <c r="S39" s="3745" t="s">
        <v>76</v>
      </c>
      <c r="T39" s="3697" t="s">
        <v>469</v>
      </c>
      <c r="U39" s="236"/>
      <c r="V39" s="3746" t="s">
        <v>470</v>
      </c>
      <c r="W39" s="3747"/>
      <c r="X39" s="3747"/>
      <c r="Y39" s="3747"/>
      <c r="Z39" s="3747"/>
      <c r="AA39" s="3747"/>
      <c r="AB39" s="3748"/>
      <c r="AC39" s="3749" t="s">
        <v>471</v>
      </c>
      <c r="AD39" s="3746" t="s">
        <v>470</v>
      </c>
      <c r="AE39" s="3747"/>
      <c r="AF39" s="3747"/>
      <c r="AG39" s="3747"/>
      <c r="AH39" s="3747"/>
      <c r="AI39" s="3747"/>
      <c r="AJ39" s="3748"/>
      <c r="AK39" s="3749" t="s">
        <v>472</v>
      </c>
      <c r="AL39" s="3752" t="s">
        <v>473</v>
      </c>
      <c r="AM39" s="3618"/>
      <c r="AS39" s="1077">
        <v>14</v>
      </c>
    </row>
    <row r="40" spans="1:45" ht="35.65" customHeight="1">
      <c r="Q40" s="310"/>
      <c r="R40" s="310"/>
      <c r="S40" s="3745"/>
      <c r="T40" s="3697"/>
      <c r="U40" s="957"/>
      <c r="V40" s="3666" t="s">
        <v>491</v>
      </c>
      <c r="W40" s="3755"/>
      <c r="X40" s="3589" t="s">
        <v>476</v>
      </c>
      <c r="Y40" s="3588"/>
      <c r="Z40" s="3589" t="s">
        <v>477</v>
      </c>
      <c r="AA40" s="3595"/>
      <c r="AB40" s="3588"/>
      <c r="AC40" s="3750"/>
      <c r="AD40" s="3666" t="s">
        <v>491</v>
      </c>
      <c r="AE40" s="3755"/>
      <c r="AF40" s="3589" t="s">
        <v>476</v>
      </c>
      <c r="AG40" s="3588"/>
      <c r="AH40" s="3589" t="s">
        <v>477</v>
      </c>
      <c r="AI40" s="3595"/>
      <c r="AJ40" s="3588"/>
      <c r="AK40" s="3750"/>
      <c r="AL40" s="3753"/>
      <c r="AM40" s="3618"/>
      <c r="AS40" s="1077">
        <v>34</v>
      </c>
    </row>
    <row r="41" spans="1:45" ht="35.65" customHeight="1">
      <c r="A41" s="1292"/>
      <c r="B41" s="1292" t="s">
        <v>188</v>
      </c>
      <c r="C41" s="1292" t="s">
        <v>189</v>
      </c>
      <c r="D41" s="1292" t="s">
        <v>190</v>
      </c>
      <c r="E41" s="1286" t="s">
        <v>478</v>
      </c>
      <c r="F41" s="1286" t="s">
        <v>479</v>
      </c>
      <c r="G41" s="1286" t="s">
        <v>480</v>
      </c>
      <c r="H41" s="1286" t="s">
        <v>481</v>
      </c>
      <c r="I41" s="1286" t="s">
        <v>482</v>
      </c>
      <c r="J41" s="1286" t="s">
        <v>483</v>
      </c>
      <c r="K41" s="1286" t="s">
        <v>484</v>
      </c>
      <c r="L41" s="1286" t="s">
        <v>463</v>
      </c>
      <c r="Q41" s="310"/>
      <c r="R41" s="310"/>
      <c r="S41" s="3745"/>
      <c r="T41" s="3697"/>
      <c r="U41" s="237"/>
      <c r="V41" s="3716"/>
      <c r="W41" s="3756"/>
      <c r="X41" s="1144" t="s">
        <v>485</v>
      </c>
      <c r="Y41" s="1144" t="s">
        <v>486</v>
      </c>
      <c r="Z41" s="1260" t="s">
        <v>487</v>
      </c>
      <c r="AA41" s="3705" t="s">
        <v>488</v>
      </c>
      <c r="AB41" s="3707"/>
      <c r="AC41" s="3751"/>
      <c r="AD41" s="3716"/>
      <c r="AE41" s="3756"/>
      <c r="AF41" s="1144" t="s">
        <v>485</v>
      </c>
      <c r="AG41" s="1144" t="s">
        <v>486</v>
      </c>
      <c r="AH41" s="1260" t="s">
        <v>487</v>
      </c>
      <c r="AI41" s="3705" t="s">
        <v>488</v>
      </c>
      <c r="AJ41" s="3707"/>
      <c r="AK41" s="3751"/>
      <c r="AL41" s="3754"/>
      <c r="AM41" s="361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164</v>
      </c>
      <c r="T42" s="1177" t="s">
        <v>89</v>
      </c>
      <c r="U42" s="1167" t="str">
        <f ca="1">OFFSET(U42,0,-1)</f>
        <v>2</v>
      </c>
      <c r="V42" s="1257">
        <f ca="1">OFFSET(V42,0,-1)+1</f>
        <v>3</v>
      </c>
      <c r="W42" s="1257"/>
      <c r="X42" s="1257">
        <f ca="1">OFFSET(X42,0,-1)+1</f>
        <v>1</v>
      </c>
      <c r="Y42" s="1257">
        <f ca="1">OFFSET(Y42,0,-1)+1</f>
        <v>2</v>
      </c>
      <c r="Z42" s="1257">
        <f ca="1">OFFSET(Z42,0,-1)+1</f>
        <v>3</v>
      </c>
      <c r="AA42" s="3744">
        <f ca="1">OFFSET(AA42,0,-1)+1</f>
        <v>4</v>
      </c>
      <c r="AB42" s="3744"/>
      <c r="AC42" s="1257">
        <f ca="1">OFFSET(AC42,0,-2)+1</f>
        <v>5</v>
      </c>
      <c r="AD42" s="1257">
        <f ca="1">OFFSET(AD42,0,-1)+1</f>
        <v>6</v>
      </c>
      <c r="AE42" s="1257"/>
      <c r="AF42" s="1257">
        <f ca="1">OFFSET(AF42,0,-1)+1</f>
        <v>1</v>
      </c>
      <c r="AG42" s="1257">
        <f ca="1">OFFSET(AG42,0,-1)+1</f>
        <v>2</v>
      </c>
      <c r="AH42" s="1257">
        <f ca="1">OFFSET(AH42,0,-1)+1</f>
        <v>3</v>
      </c>
      <c r="AI42" s="3744">
        <f ca="1">OFFSET(AI42,0,-1)+1</f>
        <v>4</v>
      </c>
      <c r="AJ42" s="3744"/>
      <c r="AK42" s="1257">
        <f ca="1">OFFSET(AK42,0,-2)+1</f>
        <v>5</v>
      </c>
      <c r="AL42" s="1167">
        <f ca="1">OFFSET(AL42,0,-1)</f>
        <v>5</v>
      </c>
      <c r="AM42" s="1257">
        <f ca="1">OFFSET(AM42,0,-1)+1</f>
        <v>6</v>
      </c>
      <c r="AN42" s="445"/>
      <c r="AO42" s="445"/>
      <c r="AP42" s="445"/>
      <c r="AQ42" s="445"/>
      <c r="AR42" s="445"/>
      <c r="AS42" s="430">
        <v>0</v>
      </c>
    </row>
    <row r="43" spans="1:45" ht="21.95" customHeight="1">
      <c r="A43" s="1285" t="s">
        <v>215</v>
      </c>
      <c r="B43" s="1285"/>
      <c r="C43" s="1285"/>
      <c r="D43" s="1285"/>
      <c r="E43" s="3737">
        <v>1</v>
      </c>
      <c r="F43" s="1285"/>
      <c r="G43" s="1285"/>
      <c r="H43" s="1285"/>
      <c r="I43" s="1285"/>
      <c r="J43" s="1285"/>
      <c r="K43" s="1285"/>
      <c r="L43" s="1286"/>
      <c r="M43" s="1287"/>
      <c r="N43" s="1287"/>
      <c r="O43" s="1287"/>
      <c r="P43" s="295"/>
      <c r="Q43" s="294"/>
      <c r="R43" s="289"/>
      <c r="S43" s="1258">
        <f>INDEX(PT_DIFFERENTIATION_NUM_NTAR,MATCH(A43,PT_DIFFERENTIATION_NTAR_ID,0))</f>
        <v>0</v>
      </c>
      <c r="T43" s="233"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215</v>
      </c>
      <c r="B44" s="1285" t="s">
        <v>216</v>
      </c>
      <c r="C44" s="1285"/>
      <c r="D44" s="1285"/>
      <c r="E44" s="3738"/>
      <c r="F44" s="3737">
        <v>1</v>
      </c>
      <c r="G44" s="1285"/>
      <c r="H44" s="1285"/>
      <c r="I44" s="1285"/>
      <c r="J44" s="1285"/>
      <c r="K44" s="1285"/>
      <c r="L44" s="1286"/>
      <c r="M44" s="1287"/>
      <c r="N44" s="1287"/>
      <c r="O44" s="1287"/>
      <c r="P44" s="1254"/>
      <c r="Q44" s="286"/>
      <c r="R44" s="287"/>
      <c r="S44" s="1258" t="str">
        <f>INDEX(PT_DIFFERENTIATION_NUM_TER,MATCH(B44,PT_DIFFERENTIATION_TER_ID,0))</f>
        <v>.</v>
      </c>
      <c r="T44" s="243"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434"/>
      <c r="AP44" s="434" t="str">
        <f t="shared" si="1"/>
        <v>Территория действия тарифа</v>
      </c>
      <c r="AQ44" s="434"/>
      <c r="AR44" s="434"/>
      <c r="AS44" s="1077">
        <v>21</v>
      </c>
    </row>
    <row r="45" spans="1:45" ht="24" customHeight="1">
      <c r="A45" s="1285" t="s">
        <v>215</v>
      </c>
      <c r="B45" s="1285" t="s">
        <v>216</v>
      </c>
      <c r="C45" s="1285" t="s">
        <v>217</v>
      </c>
      <c r="D45" s="1285"/>
      <c r="E45" s="3738"/>
      <c r="F45" s="3738"/>
      <c r="G45" s="3737">
        <v>1</v>
      </c>
      <c r="H45" s="1285"/>
      <c r="I45" s="1285"/>
      <c r="J45" s="1285"/>
      <c r="K45" s="1285"/>
      <c r="L45" s="1286"/>
      <c r="M45" s="1287"/>
      <c r="N45" s="1287"/>
      <c r="O45" s="1287"/>
      <c r="P45" s="288"/>
      <c r="Q45" s="286"/>
      <c r="R45" s="287"/>
      <c r="S45" s="1258"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434"/>
      <c r="AP45" s="434" t="str">
        <f t="shared" si="1"/>
        <v xml:space="preserve">Наименование системы теплоснабжения </v>
      </c>
      <c r="AQ45" s="434"/>
      <c r="AR45" s="434"/>
      <c r="AS45" s="1077">
        <v>23</v>
      </c>
    </row>
    <row r="46" spans="1:45" ht="21.95" customHeight="1">
      <c r="A46" s="1285" t="s">
        <v>215</v>
      </c>
      <c r="B46" s="1285" t="s">
        <v>216</v>
      </c>
      <c r="C46" s="1285" t="s">
        <v>217</v>
      </c>
      <c r="D46" s="1285" t="s">
        <v>218</v>
      </c>
      <c r="E46" s="3738"/>
      <c r="F46" s="3738"/>
      <c r="G46" s="3738"/>
      <c r="H46" s="3737">
        <v>1</v>
      </c>
      <c r="I46" s="1285"/>
      <c r="J46" s="1285"/>
      <c r="K46" s="1285"/>
      <c r="L46" s="1286"/>
      <c r="M46" s="1287"/>
      <c r="N46" s="1287"/>
      <c r="O46" s="1287"/>
      <c r="P46" s="288"/>
      <c r="Q46" s="286"/>
      <c r="R46" s="287"/>
      <c r="S46" s="1258"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434"/>
      <c r="AP46" s="434" t="str">
        <f t="shared" si="1"/>
        <v xml:space="preserve">Источник тепловой энергии  </v>
      </c>
      <c r="AQ46" s="434"/>
      <c r="AR46" s="434"/>
      <c r="AS46" s="1077">
        <v>21</v>
      </c>
    </row>
    <row r="47" spans="1:45" s="1564" customFormat="1" ht="0" hidden="1" customHeight="1">
      <c r="A47" s="1265" t="s">
        <v>215</v>
      </c>
      <c r="B47" s="1265" t="s">
        <v>216</v>
      </c>
      <c r="C47" s="1265" t="s">
        <v>217</v>
      </c>
      <c r="D47" s="1265" t="s">
        <v>218</v>
      </c>
      <c r="E47" s="3738"/>
      <c r="F47" s="3738"/>
      <c r="G47" s="3738"/>
      <c r="H47" s="3738"/>
      <c r="I47" s="3735" t="str">
        <f>S46&amp;".1"</f>
        <v>....1</v>
      </c>
      <c r="J47" s="1265"/>
      <c r="K47" s="1265"/>
      <c r="L47" s="1268" t="s">
        <v>448</v>
      </c>
      <c r="M47" s="444"/>
      <c r="N47" s="444"/>
      <c r="O47" s="444"/>
      <c r="P47" s="3736">
        <v>1</v>
      </c>
      <c r="Q47" s="1253"/>
      <c r="R47" s="290"/>
      <c r="S47" s="968"/>
      <c r="T47" s="1305"/>
      <c r="U47" s="1306"/>
      <c r="V47" s="3766"/>
      <c r="W47" s="3767"/>
      <c r="X47" s="3767"/>
      <c r="Y47" s="3767"/>
      <c r="Z47" s="3767"/>
      <c r="AA47" s="3767"/>
      <c r="AB47" s="3767"/>
      <c r="AC47" s="3768"/>
      <c r="AD47" s="3766"/>
      <c r="AE47" s="3767"/>
      <c r="AF47" s="3767"/>
      <c r="AG47" s="3767"/>
      <c r="AH47" s="3767"/>
      <c r="AI47" s="3767"/>
      <c r="AJ47" s="3767"/>
      <c r="AK47" s="3767"/>
      <c r="AL47" s="3768"/>
      <c r="AM47" s="1307"/>
      <c r="AO47" s="434"/>
      <c r="AP47" s="434" t="str">
        <f t="shared" si="1"/>
        <v/>
      </c>
      <c r="AQ47" s="434"/>
      <c r="AR47" s="434"/>
      <c r="AS47" s="445">
        <v>0</v>
      </c>
    </row>
    <row r="48" spans="1:45" ht="21.95" customHeight="1">
      <c r="A48" s="1285" t="s">
        <v>215</v>
      </c>
      <c r="B48" s="1285" t="s">
        <v>216</v>
      </c>
      <c r="C48" s="1285" t="s">
        <v>217</v>
      </c>
      <c r="D48" s="1285" t="s">
        <v>218</v>
      </c>
      <c r="E48" s="3738"/>
      <c r="F48" s="3738"/>
      <c r="G48" s="3738"/>
      <c r="H48" s="3738"/>
      <c r="I48" s="3758"/>
      <c r="J48" s="3735" t="str">
        <f>S46&amp;".1"</f>
        <v>....1</v>
      </c>
      <c r="K48" s="1285"/>
      <c r="L48" s="1286" t="s">
        <v>451</v>
      </c>
      <c r="P48" s="3736"/>
      <c r="Q48" s="3736">
        <v>1</v>
      </c>
      <c r="R48" s="291"/>
      <c r="S48" s="1258" t="str">
        <f>$J48</f>
        <v>....1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434"/>
      <c r="AP48" s="434" t="str">
        <f t="shared" si="1"/>
        <v>Группа потребителей</v>
      </c>
      <c r="AQ48" s="434"/>
      <c r="AR48" s="434"/>
      <c r="AS48" s="1077">
        <v>21</v>
      </c>
    </row>
    <row r="49" spans="1:45" ht="21.95" customHeight="1">
      <c r="A49" s="1285" t="s">
        <v>215</v>
      </c>
      <c r="B49" s="1285" t="s">
        <v>216</v>
      </c>
      <c r="C49" s="1285" t="s">
        <v>217</v>
      </c>
      <c r="D49" s="1285" t="s">
        <v>218</v>
      </c>
      <c r="E49" s="3738"/>
      <c r="F49" s="3738"/>
      <c r="G49" s="3738"/>
      <c r="H49" s="3738"/>
      <c r="I49" s="3758"/>
      <c r="J49" s="3758"/>
      <c r="K49" s="3735" t="str">
        <f>J48&amp;".1"</f>
        <v>....1.1</v>
      </c>
      <c r="L49" s="1286" t="s">
        <v>454</v>
      </c>
      <c r="P49" s="3736"/>
      <c r="Q49" s="3736"/>
      <c r="R49" s="291">
        <v>1</v>
      </c>
      <c r="S49" s="1258" t="str">
        <f>$K49</f>
        <v>....1.1</v>
      </c>
      <c r="T49" s="1269"/>
      <c r="U49" s="235"/>
      <c r="V49" s="685"/>
      <c r="W49" s="260"/>
      <c r="X49" s="685"/>
      <c r="Y49" s="1179"/>
      <c r="Z49" s="3740"/>
      <c r="AA49" s="3599" t="s">
        <v>50</v>
      </c>
      <c r="AB49" s="3740"/>
      <c r="AC49" s="3599" t="s">
        <v>50</v>
      </c>
      <c r="AD49" s="685"/>
      <c r="AE49" s="260"/>
      <c r="AF49" s="685"/>
      <c r="AG49" s="1179"/>
      <c r="AH49" s="3740"/>
      <c r="AI49" s="3599" t="s">
        <v>50</v>
      </c>
      <c r="AJ49" s="3759"/>
      <c r="AK49" s="3599" t="s">
        <v>50</v>
      </c>
      <c r="AL49" s="1270"/>
      <c r="AM49" s="3732" t="s">
        <v>492</v>
      </c>
      <c r="AN49" s="445" t="e">
        <f ca="1">STRCHECKDATE(V50:AL50)</f>
        <v>#NAME?</v>
      </c>
      <c r="AO49" s="434"/>
      <c r="AP49" s="434" t="str">
        <f t="shared" si="1"/>
        <v/>
      </c>
      <c r="AQ49" s="434"/>
      <c r="AR49" s="434"/>
      <c r="AS49" s="1077">
        <v>21</v>
      </c>
    </row>
    <row r="50" spans="1:45" ht="1.1499999999999999" customHeight="1">
      <c r="A50" s="1285" t="s">
        <v>215</v>
      </c>
      <c r="B50" s="1285" t="s">
        <v>216</v>
      </c>
      <c r="C50" s="1285" t="s">
        <v>217</v>
      </c>
      <c r="D50" s="1285" t="s">
        <v>218</v>
      </c>
      <c r="E50" s="3738"/>
      <c r="F50" s="3738"/>
      <c r="G50" s="3738"/>
      <c r="H50" s="3738"/>
      <c r="I50" s="3758"/>
      <c r="J50" s="3758"/>
      <c r="K50" s="3735"/>
      <c r="L50" s="1286"/>
      <c r="P50" s="3736"/>
      <c r="Q50" s="3736"/>
      <c r="R50" s="291"/>
      <c r="S50" s="1264"/>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434"/>
      <c r="AP50" s="434" t="str">
        <f t="shared" si="1"/>
        <v/>
      </c>
      <c r="AQ50" s="434"/>
      <c r="AR50" s="434"/>
      <c r="AS50" s="1077">
        <v>1</v>
      </c>
    </row>
    <row r="51" spans="1:45" ht="11.45" customHeight="1">
      <c r="A51" s="1285" t="s">
        <v>215</v>
      </c>
      <c r="B51" s="1285" t="s">
        <v>216</v>
      </c>
      <c r="C51" s="1285" t="s">
        <v>217</v>
      </c>
      <c r="D51" s="1285" t="s">
        <v>218</v>
      </c>
      <c r="E51" s="3738"/>
      <c r="F51" s="3738"/>
      <c r="G51" s="3738"/>
      <c r="H51" s="3738"/>
      <c r="I51" s="3758"/>
      <c r="J51" s="3735"/>
      <c r="K51" s="1285"/>
      <c r="L51" s="1286"/>
      <c r="P51" s="3736"/>
      <c r="Q51" s="3736"/>
      <c r="R51" s="290"/>
      <c r="S51" s="1200"/>
      <c r="T51" s="222" t="s">
        <v>456</v>
      </c>
      <c r="U51" s="301"/>
      <c r="V51" s="301"/>
      <c r="W51" s="301"/>
      <c r="X51" s="301"/>
      <c r="Y51" s="301"/>
      <c r="Z51" s="301"/>
      <c r="AA51" s="301"/>
      <c r="AB51" s="301"/>
      <c r="AC51" s="301"/>
      <c r="AD51" s="301"/>
      <c r="AE51" s="301"/>
      <c r="AF51" s="301"/>
      <c r="AG51" s="301"/>
      <c r="AH51" s="301"/>
      <c r="AI51" s="301"/>
      <c r="AJ51" s="301"/>
      <c r="AK51" s="301"/>
      <c r="AL51" s="259"/>
      <c r="AM51" s="3734"/>
      <c r="AO51" s="434"/>
      <c r="AP51" s="434" t="str">
        <f t="shared" si="1"/>
        <v>Добавить вид теплоносителя (параметры теплоносителя)</v>
      </c>
      <c r="AQ51" s="434"/>
      <c r="AR51" s="434"/>
      <c r="AS51" s="1077">
        <v>11</v>
      </c>
    </row>
    <row r="52" spans="1:45" ht="11.45" customHeight="1">
      <c r="A52" s="1285" t="s">
        <v>215</v>
      </c>
      <c r="B52" s="1285" t="s">
        <v>216</v>
      </c>
      <c r="C52" s="1285" t="s">
        <v>217</v>
      </c>
      <c r="D52" s="1285" t="s">
        <v>218</v>
      </c>
      <c r="E52" s="3738"/>
      <c r="F52" s="3738"/>
      <c r="G52" s="3738"/>
      <c r="H52" s="3738"/>
      <c r="I52" s="3735"/>
      <c r="J52" s="1285"/>
      <c r="K52" s="1285"/>
      <c r="L52" s="1286"/>
      <c r="P52" s="3736"/>
      <c r="Q52" s="1253"/>
      <c r="R52" s="290"/>
      <c r="S52" s="1200"/>
      <c r="T52" s="299" t="s">
        <v>457</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0" hidden="1" customHeight="1">
      <c r="A53" s="1285" t="s">
        <v>215</v>
      </c>
      <c r="B53" s="1285" t="s">
        <v>216</v>
      </c>
      <c r="C53" s="1285" t="s">
        <v>217</v>
      </c>
      <c r="D53" s="1285" t="s">
        <v>218</v>
      </c>
      <c r="E53" s="3738"/>
      <c r="F53" s="3738"/>
      <c r="G53" s="3738"/>
      <c r="H53" s="3737"/>
      <c r="I53" s="1285"/>
      <c r="J53" s="1285"/>
      <c r="K53" s="1285"/>
      <c r="L53" s="1286"/>
      <c r="M53" s="1287"/>
      <c r="N53" s="1287"/>
      <c r="O53" s="471"/>
      <c r="P53" s="294"/>
      <c r="Q53" s="309"/>
      <c r="R53" s="289"/>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4"/>
      <c r="AP53" s="434" t="str">
        <f t="shared" si="1"/>
        <v/>
      </c>
      <c r="AQ53" s="434"/>
      <c r="AR53" s="434"/>
      <c r="AS53" s="1077">
        <v>0</v>
      </c>
    </row>
    <row r="54" spans="1:45" s="1564" customFormat="1" ht="1.1499999999999999" customHeight="1">
      <c r="A54" s="1265" t="s">
        <v>215</v>
      </c>
      <c r="B54" s="1265" t="s">
        <v>216</v>
      </c>
      <c r="C54" s="1265" t="s">
        <v>217</v>
      </c>
      <c r="D54" s="1236"/>
      <c r="E54" s="3738"/>
      <c r="F54" s="3738"/>
      <c r="G54" s="3737"/>
      <c r="H54" s="1236"/>
      <c r="I54" s="1236"/>
      <c r="J54" s="1236"/>
      <c r="K54" s="1236"/>
      <c r="L54" s="1261"/>
      <c r="M54" s="1237"/>
      <c r="N54" s="1237"/>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215</v>
      </c>
      <c r="B55" s="1265" t="s">
        <v>216</v>
      </c>
      <c r="C55" s="1236"/>
      <c r="D55" s="1236"/>
      <c r="E55" s="3738"/>
      <c r="F55" s="3737"/>
      <c r="G55" s="1236"/>
      <c r="H55" s="1236"/>
      <c r="I55" s="1236"/>
      <c r="J55" s="1236"/>
      <c r="K55" s="1236"/>
      <c r="L55" s="1261"/>
      <c r="M55" s="1243"/>
      <c r="N55" s="1243"/>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215</v>
      </c>
      <c r="B56" s="1265"/>
      <c r="C56" s="1265"/>
      <c r="D56" s="1265"/>
      <c r="E56" s="3737"/>
      <c r="F56" s="1265"/>
      <c r="G56" s="1265"/>
      <c r="H56" s="1265"/>
      <c r="I56" s="1265"/>
      <c r="J56" s="1265"/>
      <c r="K56" s="1265"/>
      <c r="L56" s="1268"/>
      <c r="M56" s="1243"/>
      <c r="N56" s="1243"/>
      <c r="O56" s="452"/>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19.899999999999999" customHeight="1">
      <c r="O59" s="471"/>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077">
        <v>19</v>
      </c>
    </row>
    <row r="60" spans="1:45" ht="29.25" customHeight="1">
      <c r="O60" s="471"/>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077">
        <v>28</v>
      </c>
    </row>
    <row r="61" spans="1:45" ht="42" customHeight="1">
      <c r="O61" s="471"/>
      <c r="T61" s="3757"/>
      <c r="U61" s="3757"/>
      <c r="V61" s="3757"/>
      <c r="W61" s="3757"/>
      <c r="X61" s="3757"/>
      <c r="Y61" s="3757"/>
      <c r="Z61" s="3757"/>
      <c r="AA61" s="3757"/>
      <c r="AB61" s="3757"/>
      <c r="AC61" s="3757"/>
      <c r="AD61" s="3757"/>
      <c r="AE61" s="3757"/>
      <c r="AF61" s="3757"/>
      <c r="AG61" s="3757"/>
      <c r="AH61" s="3757"/>
      <c r="AI61" s="3757"/>
      <c r="AJ61" s="3757"/>
      <c r="AK61" s="3757"/>
      <c r="AL61" s="3757"/>
      <c r="AM61" s="3757"/>
      <c r="AS61" s="1077">
        <v>40</v>
      </c>
    </row>
    <row r="62" spans="1:45" ht="14.65" customHeight="1">
      <c r="O62" s="471"/>
      <c r="AS62" s="1077">
        <v>14</v>
      </c>
    </row>
    <row r="63" spans="1:45" ht="21" customHeight="1">
      <c r="O63" s="471"/>
      <c r="S63" s="1175"/>
      <c r="T63" s="3665"/>
      <c r="U63" s="3757"/>
      <c r="V63" s="3757"/>
      <c r="W63" s="3757"/>
      <c r="X63" s="3757"/>
      <c r="Y63" s="3757"/>
      <c r="Z63" s="3757"/>
      <c r="AA63" s="3757"/>
      <c r="AB63" s="3757"/>
      <c r="AC63" s="3757"/>
      <c r="AD63" s="3757"/>
      <c r="AE63" s="3757"/>
      <c r="AF63" s="3757"/>
      <c r="AG63" s="3757"/>
      <c r="AH63" s="3757"/>
      <c r="AI63" s="3757"/>
      <c r="AJ63" s="3757"/>
      <c r="AK63" s="3757"/>
      <c r="AL63" s="3757"/>
      <c r="AM63" s="3757"/>
      <c r="AS63" s="1077">
        <v>20</v>
      </c>
    </row>
    <row r="64" spans="1:45" ht="29.25" customHeight="1">
      <c r="O64" s="471"/>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077">
        <v>28</v>
      </c>
    </row>
    <row r="65" spans="1:45" ht="35.65" customHeight="1">
      <c r="T65" s="3757"/>
      <c r="U65" s="3757"/>
      <c r="V65" s="3757"/>
      <c r="W65" s="3757"/>
      <c r="X65" s="3757"/>
      <c r="Y65" s="3757"/>
      <c r="Z65" s="3757"/>
      <c r="AA65" s="3757"/>
      <c r="AB65" s="3757"/>
      <c r="AC65" s="3757"/>
      <c r="AD65" s="3757"/>
      <c r="AE65" s="3757"/>
      <c r="AF65" s="3757"/>
      <c r="AG65" s="3757"/>
      <c r="AH65" s="3757"/>
      <c r="AI65" s="3757"/>
      <c r="AJ65" s="3757"/>
      <c r="AK65" s="3757"/>
      <c r="AL65" s="3757"/>
      <c r="AM65" s="3757"/>
      <c r="AS65" s="1077">
        <v>34</v>
      </c>
    </row>
    <row r="66" spans="1:45" ht="22.5" hidden="1" customHeight="1">
      <c r="A66" s="1082" t="s">
        <v>70</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79">
        <v>3</v>
      </c>
      <c r="R66" s="279">
        <v>3</v>
      </c>
      <c r="S66" s="515">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5">
        <v>10</v>
      </c>
      <c r="AO66" s="445">
        <v>10</v>
      </c>
      <c r="AP66" s="445">
        <v>10</v>
      </c>
      <c r="AQ66" s="445">
        <v>10</v>
      </c>
      <c r="AR66" s="445">
        <v>10</v>
      </c>
      <c r="AS66" s="1077">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7109375" style="1991" hidden="1" customWidth="1"/>
    <col min="17" max="18" width="3" style="279" customWidth="1"/>
    <col min="19" max="19" width="12" style="1992"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1" s="1760"/>
      <c r="Y1" s="262"/>
      <c r="Z1" s="262"/>
      <c r="AG1" s="262"/>
      <c r="AH1" s="262"/>
      <c r="AS1" s="1077" t="s">
        <v>1</v>
      </c>
    </row>
    <row r="2" spans="1:45" ht="21" hidden="1" customHeight="1">
      <c r="A2" s="1285"/>
      <c r="B2" s="1285"/>
      <c r="C2" s="1285"/>
      <c r="D2" s="1285"/>
      <c r="E2" s="3737">
        <v>1</v>
      </c>
      <c r="F2" s="1285"/>
      <c r="G2" s="1285"/>
      <c r="H2" s="1285"/>
      <c r="I2" s="1285"/>
      <c r="J2" s="1285"/>
      <c r="K2" s="1285"/>
      <c r="L2" s="1286"/>
      <c r="M2" s="1287"/>
      <c r="N2" s="1287"/>
      <c r="O2" s="1287"/>
      <c r="P2" s="295"/>
      <c r="Q2" s="294"/>
      <c r="R2" s="289"/>
      <c r="S2" s="1258" t="e">
        <f>INDEX(PT_DIFFERENTIATION_NUM_NTAR,MATCH(A2,PT_DIFFERENTIATION_NTAR_ID,0))</f>
        <v>#N/A</v>
      </c>
      <c r="T2" s="233"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434"/>
      <c r="AP2" s="434" t="str">
        <f t="shared" ref="AP2:AP15" si="0">IF(T2="","",T2)</f>
        <v>Наименование тарифа</v>
      </c>
      <c r="AQ2" s="434"/>
      <c r="AR2" s="434"/>
      <c r="AS2" s="1077">
        <v>0</v>
      </c>
    </row>
    <row r="3" spans="1:45" ht="21" hidden="1" customHeight="1">
      <c r="A3" s="1285"/>
      <c r="B3" s="1285"/>
      <c r="C3" s="1285"/>
      <c r="D3" s="1285"/>
      <c r="E3" s="3738"/>
      <c r="F3" s="3737">
        <v>1</v>
      </c>
      <c r="G3" s="1285"/>
      <c r="H3" s="1285"/>
      <c r="I3" s="1285"/>
      <c r="J3" s="1285"/>
      <c r="K3" s="1285"/>
      <c r="L3" s="1286"/>
      <c r="M3" s="1287"/>
      <c r="N3" s="1287"/>
      <c r="O3" s="1287"/>
      <c r="P3" s="1254"/>
      <c r="Q3" s="286"/>
      <c r="R3" s="287"/>
      <c r="S3" s="1258" t="e">
        <f>INDEX(PT_DIFFERENTIATION_NUM_TER,MATCH(B3,PT_DIFFERENTIATION_TER_ID,0))</f>
        <v>#N/A</v>
      </c>
      <c r="T3" s="243"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434"/>
      <c r="AP3" s="434" t="str">
        <f t="shared" si="0"/>
        <v>Территория действия тарифа</v>
      </c>
      <c r="AQ3" s="434"/>
      <c r="AR3" s="434"/>
      <c r="AS3" s="1077">
        <v>0</v>
      </c>
    </row>
    <row r="4" spans="1:45" ht="23.25" hidden="1" customHeight="1">
      <c r="A4" s="1285"/>
      <c r="B4" s="1285"/>
      <c r="C4" s="1285"/>
      <c r="D4" s="1285"/>
      <c r="E4" s="3738"/>
      <c r="F4" s="3738"/>
      <c r="G4" s="3737">
        <v>1</v>
      </c>
      <c r="H4" s="1285"/>
      <c r="I4" s="1285"/>
      <c r="J4" s="1285"/>
      <c r="K4" s="1285"/>
      <c r="L4" s="1286"/>
      <c r="M4" s="1287"/>
      <c r="N4" s="1287"/>
      <c r="O4" s="1287"/>
      <c r="P4" s="288"/>
      <c r="Q4" s="286"/>
      <c r="R4" s="287"/>
      <c r="S4" s="1894" t="e">
        <f>INDEX(PT_DIFFERENTIATION_NUM_CS,MATCH(C4,PT_DIFFERENTIATION_CS_ID,0))</f>
        <v>#N/A</v>
      </c>
      <c r="T4" s="1898" t="s">
        <v>444</v>
      </c>
      <c r="U4" s="1899"/>
      <c r="V4" s="3769"/>
      <c r="W4" s="3770"/>
      <c r="X4" s="3770"/>
      <c r="Y4" s="3770"/>
      <c r="Z4" s="3770"/>
      <c r="AA4" s="3770"/>
      <c r="AB4" s="3770"/>
      <c r="AC4" s="3771"/>
      <c r="AD4" s="3769" t="e">
        <f>INDEX(PT_DIFFERENTIATION_CS,MATCH(C4,PT_DIFFERENTIATION_CS_ID,0))</f>
        <v>#N/A</v>
      </c>
      <c r="AE4" s="3770"/>
      <c r="AF4" s="3770"/>
      <c r="AG4" s="3770"/>
      <c r="AH4" s="3770"/>
      <c r="AI4" s="3770"/>
      <c r="AJ4" s="3770"/>
      <c r="AK4" s="3770"/>
      <c r="AL4" s="3771"/>
      <c r="AM4" s="1180" t="s">
        <v>445</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3738"/>
      <c r="F5" s="3738"/>
      <c r="G5" s="3738"/>
      <c r="H5" s="3737">
        <v>1</v>
      </c>
      <c r="I5" s="1285"/>
      <c r="J5" s="1285"/>
      <c r="K5" s="1285"/>
      <c r="L5" s="1286"/>
      <c r="M5" s="1287"/>
      <c r="N5" s="1287"/>
      <c r="O5" s="1287"/>
      <c r="P5" s="288"/>
      <c r="Q5" s="286"/>
      <c r="R5" s="1557"/>
      <c r="S5" s="1893" t="e">
        <f>INDEX(PT_DIFFERENTIATION_NUM_IST_TE,MATCH(D5,PT_DIFFERENTIATION_IST_TE_ID,0))</f>
        <v>#N/A</v>
      </c>
      <c r="T5" s="245" t="s">
        <v>446</v>
      </c>
      <c r="U5" s="235"/>
      <c r="V5" s="3772"/>
      <c r="W5" s="3772"/>
      <c r="X5" s="3772"/>
      <c r="Y5" s="3772"/>
      <c r="Z5" s="3772"/>
      <c r="AA5" s="3772"/>
      <c r="AB5" s="3772"/>
      <c r="AC5" s="3772"/>
      <c r="AD5" s="3772" t="e">
        <f>INDEX(PT_DIFFERENTIATION_IST_TE,MATCH(D5,PT_DIFFERENTIATION_IST_TE_ID,0))</f>
        <v>#N/A</v>
      </c>
      <c r="AE5" s="3772"/>
      <c r="AF5" s="3772"/>
      <c r="AG5" s="3772"/>
      <c r="AH5" s="3772"/>
      <c r="AI5" s="3772"/>
      <c r="AJ5" s="3772"/>
      <c r="AK5" s="3772"/>
      <c r="AL5" s="3772"/>
      <c r="AM5" s="1896" t="s">
        <v>447</v>
      </c>
      <c r="AO5" s="434"/>
      <c r="AP5" s="434" t="str">
        <f t="shared" si="0"/>
        <v xml:space="preserve">Источник тепловой энергии  </v>
      </c>
      <c r="AQ5" s="434"/>
      <c r="AR5" s="434"/>
      <c r="AS5" s="1077">
        <v>0</v>
      </c>
    </row>
    <row r="6" spans="1:45" ht="0.75" hidden="1" customHeight="1">
      <c r="A6" s="1285"/>
      <c r="B6" s="1285"/>
      <c r="C6" s="1285"/>
      <c r="D6" s="1285"/>
      <c r="E6" s="3738"/>
      <c r="F6" s="3738"/>
      <c r="G6" s="3738"/>
      <c r="H6" s="3738"/>
      <c r="I6" s="3735" t="e">
        <f>S5&amp;".1"</f>
        <v>#N/A</v>
      </c>
      <c r="J6" s="1285"/>
      <c r="K6" s="1285"/>
      <c r="L6" s="1286" t="s">
        <v>448</v>
      </c>
      <c r="M6" s="471"/>
      <c r="P6" s="3736">
        <v>1</v>
      </c>
      <c r="Q6" s="1253"/>
      <c r="R6" s="1892"/>
      <c r="S6" s="968"/>
      <c r="T6" s="1305"/>
      <c r="U6" s="1306"/>
      <c r="V6" s="3773"/>
      <c r="W6" s="3773"/>
      <c r="X6" s="3773"/>
      <c r="Y6" s="3773"/>
      <c r="Z6" s="3773"/>
      <c r="AA6" s="3773"/>
      <c r="AB6" s="3773"/>
      <c r="AC6" s="3773"/>
      <c r="AD6" s="3773"/>
      <c r="AE6" s="3773"/>
      <c r="AF6" s="3773"/>
      <c r="AG6" s="3773"/>
      <c r="AH6" s="3773"/>
      <c r="AI6" s="3773"/>
      <c r="AJ6" s="3773"/>
      <c r="AK6" s="3773"/>
      <c r="AL6" s="3773"/>
      <c r="AM6" s="1897"/>
      <c r="AO6" s="434"/>
      <c r="AP6" s="434" t="str">
        <f t="shared" si="0"/>
        <v/>
      </c>
      <c r="AQ6" s="434"/>
      <c r="AR6" s="434"/>
      <c r="AS6" s="1077">
        <v>0</v>
      </c>
    </row>
    <row r="7" spans="1:45" ht="84" hidden="1" customHeight="1">
      <c r="A7" s="1285"/>
      <c r="B7" s="1285"/>
      <c r="C7" s="1285"/>
      <c r="D7" s="1285"/>
      <c r="E7" s="3738"/>
      <c r="F7" s="3738"/>
      <c r="G7" s="3738"/>
      <c r="H7" s="3738"/>
      <c r="I7" s="3758"/>
      <c r="J7" s="3735" t="e">
        <f>I6&amp;".1"</f>
        <v>#N/A</v>
      </c>
      <c r="K7" s="1285"/>
      <c r="L7" s="1286" t="s">
        <v>451</v>
      </c>
      <c r="M7" s="471"/>
      <c r="N7" s="1288"/>
      <c r="P7" s="3736"/>
      <c r="Q7" s="3736">
        <v>1</v>
      </c>
      <c r="R7" s="1564"/>
      <c r="S7" s="1893" t="e">
        <f>$J7</f>
        <v>#N/A</v>
      </c>
      <c r="T7" s="221" t="s">
        <v>452</v>
      </c>
      <c r="U7" s="235"/>
      <c r="V7" s="3774"/>
      <c r="W7" s="3774"/>
      <c r="X7" s="3774"/>
      <c r="Y7" s="3774"/>
      <c r="Z7" s="3774"/>
      <c r="AA7" s="3774"/>
      <c r="AB7" s="3774"/>
      <c r="AC7" s="3774"/>
      <c r="AD7" s="3774"/>
      <c r="AE7" s="3774"/>
      <c r="AF7" s="3774"/>
      <c r="AG7" s="3774"/>
      <c r="AH7" s="3774"/>
      <c r="AI7" s="3774"/>
      <c r="AJ7" s="3774"/>
      <c r="AK7" s="3774"/>
      <c r="AL7" s="3774"/>
      <c r="AM7" s="1896" t="s">
        <v>453</v>
      </c>
      <c r="AO7" s="434"/>
      <c r="AP7" s="434" t="str">
        <f t="shared" si="0"/>
        <v>Группа потребителей</v>
      </c>
      <c r="AQ7" s="434"/>
      <c r="AR7" s="434"/>
      <c r="AS7" s="1077">
        <v>0</v>
      </c>
    </row>
    <row r="8" spans="1:45" ht="11.25" hidden="1" customHeight="1">
      <c r="A8" s="1285"/>
      <c r="B8" s="1285"/>
      <c r="C8" s="1285"/>
      <c r="D8" s="1285"/>
      <c r="E8" s="3738"/>
      <c r="F8" s="3738"/>
      <c r="G8" s="3738"/>
      <c r="H8" s="3738"/>
      <c r="I8" s="3758"/>
      <c r="J8" s="3758"/>
      <c r="K8" s="3735" t="e">
        <f>J7&amp;".1"</f>
        <v>#N/A</v>
      </c>
      <c r="L8" s="1286" t="s">
        <v>454</v>
      </c>
      <c r="M8" s="471"/>
      <c r="N8" s="1288"/>
      <c r="O8" s="1288"/>
      <c r="P8" s="3736"/>
      <c r="Q8" s="3736"/>
      <c r="R8" s="291">
        <v>1</v>
      </c>
      <c r="S8" s="1895" t="e">
        <f>$K8</f>
        <v>#N/A</v>
      </c>
      <c r="T8" s="1900"/>
      <c r="U8" s="1901"/>
      <c r="V8" s="1902"/>
      <c r="W8" s="1271"/>
      <c r="X8" s="1902"/>
      <c r="Y8" s="1903"/>
      <c r="Z8" s="3775"/>
      <c r="AA8" s="3604" t="s">
        <v>50</v>
      </c>
      <c r="AB8" s="3775"/>
      <c r="AC8" s="3604" t="s">
        <v>50</v>
      </c>
      <c r="AD8" s="1902"/>
      <c r="AE8" s="1271"/>
      <c r="AF8" s="1902"/>
      <c r="AG8" s="1903"/>
      <c r="AH8" s="3775"/>
      <c r="AI8" s="3604" t="s">
        <v>50</v>
      </c>
      <c r="AJ8" s="3775"/>
      <c r="AK8" s="3604" t="s">
        <v>50</v>
      </c>
      <c r="AL8" s="1271"/>
      <c r="AM8" s="3732" t="s">
        <v>455</v>
      </c>
      <c r="AN8" s="445" t="e">
        <f ca="1">STRCHECKDATE(V9:AL9)</f>
        <v>#NAME?</v>
      </c>
      <c r="AO8" s="434"/>
      <c r="AP8" s="434" t="str">
        <f t="shared" si="0"/>
        <v/>
      </c>
      <c r="AQ8" s="434"/>
      <c r="AR8" s="434"/>
      <c r="AS8" s="1077">
        <v>0</v>
      </c>
    </row>
    <row r="9" spans="1:45" ht="0.75" hidden="1" customHeight="1">
      <c r="A9" s="1285"/>
      <c r="B9" s="1285"/>
      <c r="C9" s="1285"/>
      <c r="D9" s="1285"/>
      <c r="E9" s="3738"/>
      <c r="F9" s="3738"/>
      <c r="G9" s="3738"/>
      <c r="H9" s="3738"/>
      <c r="I9" s="3758"/>
      <c r="J9" s="3758"/>
      <c r="K9" s="3735"/>
      <c r="L9" s="1286"/>
      <c r="M9" s="471"/>
      <c r="N9" s="1288"/>
      <c r="O9" s="1288"/>
      <c r="P9" s="3736"/>
      <c r="Q9" s="3736"/>
      <c r="R9" s="291"/>
      <c r="S9" s="1264"/>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434"/>
      <c r="AP9" s="434" t="str">
        <f t="shared" si="0"/>
        <v/>
      </c>
      <c r="AQ9" s="434"/>
      <c r="AR9" s="434"/>
      <c r="AS9" s="1077">
        <v>0</v>
      </c>
    </row>
    <row r="10" spans="1:45" ht="11.25" hidden="1" customHeight="1">
      <c r="A10" s="1285"/>
      <c r="B10" s="1285"/>
      <c r="C10" s="1285"/>
      <c r="D10" s="1285"/>
      <c r="E10" s="3738"/>
      <c r="F10" s="3738"/>
      <c r="G10" s="3738"/>
      <c r="H10" s="3738"/>
      <c r="I10" s="3758"/>
      <c r="J10" s="3735"/>
      <c r="K10" s="1285"/>
      <c r="L10" s="1286"/>
      <c r="M10" s="471"/>
      <c r="N10" s="1288"/>
      <c r="P10" s="3736"/>
      <c r="Q10" s="3736"/>
      <c r="R10" s="290"/>
      <c r="S10" s="1200"/>
      <c r="T10" s="222" t="s">
        <v>456</v>
      </c>
      <c r="U10" s="301"/>
      <c r="V10" s="301"/>
      <c r="W10" s="301"/>
      <c r="X10" s="301"/>
      <c r="Y10" s="301"/>
      <c r="Z10" s="301"/>
      <c r="AA10" s="301"/>
      <c r="AB10" s="301"/>
      <c r="AC10" s="301"/>
      <c r="AD10" s="301"/>
      <c r="AE10" s="301"/>
      <c r="AF10" s="301"/>
      <c r="AG10" s="301"/>
      <c r="AH10" s="301"/>
      <c r="AI10" s="301"/>
      <c r="AJ10" s="301"/>
      <c r="AK10" s="301"/>
      <c r="AL10" s="259"/>
      <c r="AM10" s="3734"/>
      <c r="AO10" s="434"/>
      <c r="AP10" s="434" t="str">
        <f t="shared" si="0"/>
        <v>Добавить вид теплоносителя (параметры теплоносителя)</v>
      </c>
      <c r="AQ10" s="434"/>
      <c r="AR10" s="434"/>
      <c r="AS10" s="1077">
        <v>0</v>
      </c>
    </row>
    <row r="11" spans="1:45" ht="11.25" hidden="1" customHeight="1">
      <c r="A11" s="1285"/>
      <c r="B11" s="1285"/>
      <c r="C11" s="1285"/>
      <c r="D11" s="1285"/>
      <c r="E11" s="3738"/>
      <c r="F11" s="3738"/>
      <c r="G11" s="3738"/>
      <c r="H11" s="3738"/>
      <c r="I11" s="3735"/>
      <c r="J11" s="1285"/>
      <c r="K11" s="1285"/>
      <c r="L11" s="1286"/>
      <c r="M11" s="471"/>
      <c r="P11" s="3736"/>
      <c r="Q11" s="1253"/>
      <c r="R11" s="290"/>
      <c r="S11" s="1200"/>
      <c r="T11" s="299" t="s">
        <v>457</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0.75" hidden="1" customHeight="1">
      <c r="A12" s="1285"/>
      <c r="B12" s="1285"/>
      <c r="C12" s="1285"/>
      <c r="D12" s="1285"/>
      <c r="E12" s="3738"/>
      <c r="F12" s="3738"/>
      <c r="G12" s="3738"/>
      <c r="H12" s="3737"/>
      <c r="I12" s="1285"/>
      <c r="J12" s="1285"/>
      <c r="K12" s="1285"/>
      <c r="L12" s="1286"/>
      <c r="M12" s="1287"/>
      <c r="N12" s="1287"/>
      <c r="O12" s="471"/>
      <c r="P12" s="294"/>
      <c r="Q12" s="309"/>
      <c r="R12" s="289"/>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4"/>
      <c r="AP12" s="434" t="str">
        <f t="shared" si="0"/>
        <v/>
      </c>
      <c r="AQ12" s="434"/>
      <c r="AR12" s="434"/>
      <c r="AS12" s="1077">
        <v>0</v>
      </c>
    </row>
    <row r="13" spans="1:45" s="1564" customFormat="1" ht="0.75" hidden="1" customHeight="1">
      <c r="A13" s="1236"/>
      <c r="B13" s="1236"/>
      <c r="C13" s="1236"/>
      <c r="D13" s="1236"/>
      <c r="E13" s="3738"/>
      <c r="F13" s="3738"/>
      <c r="G13" s="3737"/>
      <c r="H13" s="1236"/>
      <c r="I13" s="1236"/>
      <c r="J13" s="1236"/>
      <c r="K13" s="1236"/>
      <c r="L13" s="1261"/>
      <c r="M13" s="1237"/>
      <c r="N13" s="1237"/>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3738"/>
      <c r="F14" s="3737"/>
      <c r="G14" s="1236"/>
      <c r="H14" s="1236"/>
      <c r="I14" s="1236"/>
      <c r="J14" s="1236"/>
      <c r="K14" s="1236"/>
      <c r="L14" s="1261"/>
      <c r="M14" s="1243"/>
      <c r="N14" s="1243"/>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3737"/>
      <c r="F15" s="1236"/>
      <c r="G15" s="1236"/>
      <c r="H15" s="1236"/>
      <c r="I15" s="1236"/>
      <c r="J15" s="1236"/>
      <c r="K15" s="1236"/>
      <c r="L15" s="1261"/>
      <c r="M15" s="1243"/>
      <c r="N15" s="1243"/>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3742"/>
      <c r="AI17" s="3743" t="s">
        <v>50</v>
      </c>
      <c r="AJ17" s="3742"/>
      <c r="AK17" s="3743" t="s">
        <v>50</v>
      </c>
      <c r="AS17" s="1077">
        <v>0</v>
      </c>
    </row>
    <row r="18" spans="1:45" ht="14.25" hidden="1" customHeight="1">
      <c r="AD18" s="1282"/>
      <c r="AE18" s="1282"/>
      <c r="AF18" s="1282"/>
      <c r="AG18" s="263" t="str">
        <f>AH17&amp;"-"&amp;AJ17</f>
        <v>-</v>
      </c>
      <c r="AH18" s="3743"/>
      <c r="AI18" s="3743"/>
      <c r="AJ18" s="3743"/>
      <c r="AK18" s="3743"/>
      <c r="AS18" s="1077">
        <v>0</v>
      </c>
    </row>
    <row r="19" spans="1:45" ht="14.25" hidden="1" customHeight="1">
      <c r="AK19" s="262"/>
      <c r="AS19" s="1077">
        <v>0</v>
      </c>
    </row>
    <row r="20" spans="1:45" s="1288" customFormat="1" ht="22.5" hidden="1" customHeight="1">
      <c r="L20" s="1251"/>
      <c r="M20" s="1284"/>
      <c r="N20" s="1284"/>
      <c r="O20" s="1289" t="s">
        <v>462</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463</v>
      </c>
      <c r="P22" s="1284"/>
      <c r="Q22" s="1293"/>
      <c r="R22" s="1293"/>
      <c r="S22" s="663"/>
      <c r="T22" s="1082" t="s">
        <v>464</v>
      </c>
      <c r="AA22" s="121" t="s">
        <v>465</v>
      </c>
      <c r="AC22" s="121" t="s">
        <v>466</v>
      </c>
      <c r="AD22" s="1082" t="s">
        <v>464</v>
      </c>
      <c r="AI22" s="121" t="s">
        <v>467</v>
      </c>
      <c r="AK22" s="121" t="s">
        <v>466</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54.75" customHeight="1">
      <c r="Q26" s="310"/>
      <c r="R26" s="310"/>
      <c r="S26" s="36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682"/>
      <c r="U26" s="3682"/>
      <c r="V26" s="3682"/>
      <c r="W26" s="3682"/>
      <c r="X26" s="3682"/>
      <c r="Y26" s="3682"/>
      <c r="Z26" s="3682"/>
      <c r="AA26" s="3682"/>
      <c r="AB26" s="3682"/>
      <c r="AC26" s="3682"/>
      <c r="AD26" s="3682"/>
      <c r="AE26" s="3682"/>
      <c r="AF26" s="3682"/>
      <c r="AG26" s="3682"/>
      <c r="AH26" s="3682"/>
      <c r="AI26" s="3682"/>
      <c r="AJ26" s="3682"/>
      <c r="AK26" s="1165"/>
      <c r="AS26" s="1077">
        <v>52</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42" customFormat="1" ht="25.5" hidden="1" customHeight="1">
      <c r="A29" s="1290"/>
      <c r="B29" s="1290"/>
      <c r="C29" s="1290"/>
      <c r="D29" s="1290"/>
      <c r="E29" s="1290"/>
      <c r="F29" s="1290"/>
      <c r="G29" s="1290"/>
      <c r="H29" s="1290"/>
      <c r="I29" s="1290"/>
      <c r="J29" s="1290"/>
      <c r="K29" s="1290"/>
      <c r="L29" s="1291"/>
      <c r="M29" s="1290"/>
      <c r="N29" s="1290"/>
      <c r="O29" s="129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261"/>
      <c r="AD29" s="3730" t="str">
        <f>IF(TITLE_NAME_OR_PR_CHANGE="",IF(TITLE_NAME_OR_PR="","",TITLE_NAME_OR_PR),TITLE_NAME_OR_PR_CHANGE)</f>
        <v/>
      </c>
      <c r="AE29" s="3730"/>
      <c r="AF29" s="3730"/>
      <c r="AG29" s="3730"/>
      <c r="AH29" s="3730"/>
      <c r="AI29" s="3730"/>
      <c r="AJ29" s="3730"/>
      <c r="AK29" s="261"/>
      <c r="AL29" s="261"/>
      <c r="AM29" s="215"/>
      <c r="AN29" s="302"/>
      <c r="AO29" s="302"/>
      <c r="AP29" s="302"/>
      <c r="AQ29" s="302"/>
      <c r="AR29" s="302"/>
      <c r="AS29" s="352">
        <v>0</v>
      </c>
    </row>
    <row r="30" spans="1:45" s="1742" customFormat="1" ht="18.75" hidden="1" customHeight="1">
      <c r="A30" s="1290"/>
      <c r="B30" s="1290"/>
      <c r="C30" s="1290"/>
      <c r="D30" s="1290"/>
      <c r="E30" s="1290"/>
      <c r="F30" s="1290"/>
      <c r="G30" s="1290"/>
      <c r="H30" s="1290"/>
      <c r="I30" s="1290"/>
      <c r="J30" s="1290"/>
      <c r="K30" s="1290"/>
      <c r="L30" s="1291"/>
      <c r="M30" s="1290"/>
      <c r="N30" s="1290"/>
      <c r="O30" s="129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261"/>
      <c r="AD30" s="3739" t="str">
        <f>IF(TITLE_DATE_PR_CHANGE="",IF(TITLE_DATE_PR="","",TITLE_DATE_PR),TITLE_DATE_PR_CHANGE)</f>
        <v/>
      </c>
      <c r="AE30" s="3739"/>
      <c r="AF30" s="3739"/>
      <c r="AG30" s="3739"/>
      <c r="AH30" s="3739"/>
      <c r="AI30" s="3739"/>
      <c r="AJ30" s="3739"/>
      <c r="AK30" s="261"/>
      <c r="AL30" s="261"/>
      <c r="AM30" s="215"/>
      <c r="AN30" s="302"/>
      <c r="AO30" s="302"/>
      <c r="AP30" s="302"/>
      <c r="AQ30" s="302"/>
      <c r="AR30" s="302"/>
      <c r="AS30" s="352">
        <v>0</v>
      </c>
    </row>
    <row r="31" spans="1:45" s="1742" customFormat="1" ht="18.75" hidden="1" customHeight="1">
      <c r="A31" s="1290"/>
      <c r="B31" s="1290"/>
      <c r="C31" s="1290"/>
      <c r="D31" s="1290"/>
      <c r="E31" s="1290"/>
      <c r="F31" s="1290"/>
      <c r="G31" s="1290"/>
      <c r="H31" s="1290"/>
      <c r="I31" s="1290"/>
      <c r="J31" s="1290"/>
      <c r="K31" s="1290"/>
      <c r="L31" s="1291"/>
      <c r="M31" s="1290"/>
      <c r="N31" s="1290"/>
      <c r="O31" s="129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261"/>
      <c r="AD31" s="3730" t="str">
        <f>IF(TITLE_NUMBER_PR_CHANGE="",IF(TITLE_NUMBER_PR="","",TITLE_NUMBER_PR),TITLE_NUMBER_PR_CHANGE)</f>
        <v/>
      </c>
      <c r="AE31" s="3730"/>
      <c r="AF31" s="3730"/>
      <c r="AG31" s="3730"/>
      <c r="AH31" s="3730"/>
      <c r="AI31" s="3730"/>
      <c r="AJ31" s="3730"/>
      <c r="AK31" s="261"/>
      <c r="AL31" s="261"/>
      <c r="AM31" s="215"/>
      <c r="AN31" s="302"/>
      <c r="AO31" s="302"/>
      <c r="AP31" s="302"/>
      <c r="AQ31" s="302"/>
      <c r="AR31" s="302"/>
      <c r="AS31" s="352">
        <v>0</v>
      </c>
    </row>
    <row r="32" spans="1:45" s="1742" customFormat="1" ht="18.75" hidden="1" customHeight="1">
      <c r="A32" s="1290"/>
      <c r="B32" s="1290"/>
      <c r="C32" s="1290"/>
      <c r="D32" s="1290"/>
      <c r="E32" s="1290"/>
      <c r="F32" s="1290"/>
      <c r="G32" s="1290"/>
      <c r="H32" s="1290"/>
      <c r="I32" s="1290"/>
      <c r="J32" s="1290"/>
      <c r="K32" s="1290"/>
      <c r="L32" s="1291"/>
      <c r="M32" s="1290"/>
      <c r="N32" s="1290"/>
      <c r="O32" s="1290"/>
      <c r="S32" s="3729" t="s">
        <v>30</v>
      </c>
      <c r="T32" s="3729"/>
      <c r="U32" s="1294"/>
      <c r="V32" s="3730" t="str">
        <f>IF(TITLE_IST_PUB_CHANGE="",IF(TITLE_IST_PUB="","",TITLE_IST_PUB),TITLE_IST_PUB_CHANGE)</f>
        <v/>
      </c>
      <c r="W32" s="3730"/>
      <c r="X32" s="3730"/>
      <c r="Y32" s="3730"/>
      <c r="Z32" s="3730"/>
      <c r="AA32" s="3730"/>
      <c r="AB32" s="3730"/>
      <c r="AC32" s="261"/>
      <c r="AD32" s="3730" t="str">
        <f>IF(TITLE_IST_PUB_CHANGE="",IF(TITLE_IST_PUB="","",TITLE_IST_PUB),TITLE_IST_PUB_CHANGE)</f>
        <v/>
      </c>
      <c r="AE32" s="3730"/>
      <c r="AF32" s="3730"/>
      <c r="AG32" s="3730"/>
      <c r="AH32" s="3730"/>
      <c r="AI32" s="3730"/>
      <c r="AJ32" s="3730"/>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42" customFormat="1" ht="18.75" hidden="1" customHeight="1">
      <c r="A34" s="1290"/>
      <c r="B34" s="1290"/>
      <c r="C34" s="1290"/>
      <c r="D34" s="1290"/>
      <c r="E34" s="1290"/>
      <c r="F34" s="1290"/>
      <c r="G34" s="1290"/>
      <c r="H34" s="1290"/>
      <c r="I34" s="1290"/>
      <c r="J34" s="1290"/>
      <c r="K34" s="1290"/>
      <c r="L34" s="1291"/>
      <c r="M34" s="1290"/>
      <c r="N34" s="1290"/>
      <c r="O34" s="129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261"/>
      <c r="AD34" s="3739" t="str">
        <f>IF(TITLE_DATE_PR_CHANGE="",IF(TITLE_DATE_PR="","",TITLE_DATE_PR),TITLE_DATE_PR_CHANGE)</f>
        <v/>
      </c>
      <c r="AE34" s="3739"/>
      <c r="AF34" s="3739"/>
      <c r="AG34" s="3739"/>
      <c r="AH34" s="3739"/>
      <c r="AI34" s="3739"/>
      <c r="AJ34" s="3739"/>
      <c r="AK34" s="261"/>
      <c r="AL34" s="261"/>
      <c r="AM34" s="215"/>
      <c r="AN34" s="302"/>
      <c r="AO34" s="302"/>
      <c r="AP34" s="302"/>
      <c r="AQ34" s="302"/>
      <c r="AR34" s="302"/>
      <c r="AS34" s="352">
        <v>0</v>
      </c>
    </row>
    <row r="35" spans="1:45" s="1742" customFormat="1" ht="18.75" hidden="1" customHeight="1">
      <c r="A35" s="1290"/>
      <c r="B35" s="1290"/>
      <c r="C35" s="1290"/>
      <c r="D35" s="1290"/>
      <c r="E35" s="1290"/>
      <c r="F35" s="1290"/>
      <c r="G35" s="1290"/>
      <c r="H35" s="1290"/>
      <c r="I35" s="1290"/>
      <c r="J35" s="1290"/>
      <c r="K35" s="1290"/>
      <c r="L35" s="1291"/>
      <c r="M35" s="1290"/>
      <c r="N35" s="1290"/>
      <c r="O35" s="129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261"/>
      <c r="AD35" s="3730" t="str">
        <f>IF(TITLE_NUMBER_PR_CHANGE="",IF(TITLE_NUMBER_PR="","",TITLE_NUMBER_PR),TITLE_NUMBER_PR_CHANGE)</f>
        <v/>
      </c>
      <c r="AE35" s="3730"/>
      <c r="AF35" s="3730"/>
      <c r="AG35" s="3730"/>
      <c r="AH35" s="3730"/>
      <c r="AI35" s="3730"/>
      <c r="AJ35" s="3730"/>
      <c r="AK35" s="261"/>
      <c r="AL35" s="261"/>
      <c r="AM35" s="215"/>
      <c r="AN35" s="302"/>
      <c r="AO35" s="302"/>
      <c r="AP35" s="302"/>
      <c r="AQ35" s="302"/>
      <c r="AR35" s="302"/>
      <c r="AS35" s="352">
        <v>0</v>
      </c>
    </row>
    <row r="36" spans="1:45" s="1742"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468</v>
      </c>
      <c r="AD36" s="261"/>
      <c r="AE36" s="261"/>
      <c r="AF36" s="261"/>
      <c r="AG36" s="261"/>
      <c r="AH36" s="261"/>
      <c r="AI36" s="261"/>
      <c r="AJ36" s="261"/>
      <c r="AK36" s="213" t="s">
        <v>468</v>
      </c>
      <c r="AN36" s="302"/>
      <c r="AO36" s="302"/>
      <c r="AP36" s="302"/>
      <c r="AQ36" s="302"/>
      <c r="AR36" s="302"/>
      <c r="AS36" s="352">
        <v>0</v>
      </c>
    </row>
    <row r="37" spans="1:45" ht="14.65" customHeight="1">
      <c r="Q37" s="310"/>
      <c r="R37" s="310"/>
      <c r="S37" s="1197"/>
      <c r="T37" s="297"/>
      <c r="U37" s="1166"/>
      <c r="V37" s="3731"/>
      <c r="W37" s="3731"/>
      <c r="X37" s="3731"/>
      <c r="Y37" s="3731"/>
      <c r="Z37" s="3731"/>
      <c r="AA37" s="3731"/>
      <c r="AB37" s="3731"/>
      <c r="AC37" s="3731"/>
      <c r="AD37" s="3731"/>
      <c r="AE37" s="3731"/>
      <c r="AF37" s="3731"/>
      <c r="AG37" s="3731"/>
      <c r="AH37" s="3731"/>
      <c r="AI37" s="3731"/>
      <c r="AJ37" s="3731"/>
      <c r="AK37" s="3731"/>
      <c r="AS37" s="1077">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077">
        <v>14</v>
      </c>
    </row>
    <row r="39" spans="1:45" ht="14.65" customHeight="1">
      <c r="Q39" s="310"/>
      <c r="R39" s="310"/>
      <c r="S39" s="3745" t="s">
        <v>76</v>
      </c>
      <c r="T39" s="3697" t="s">
        <v>469</v>
      </c>
      <c r="U39" s="236"/>
      <c r="V39" s="3746" t="s">
        <v>470</v>
      </c>
      <c r="W39" s="3747"/>
      <c r="X39" s="3747"/>
      <c r="Y39" s="3747"/>
      <c r="Z39" s="3747"/>
      <c r="AA39" s="3747"/>
      <c r="AB39" s="3748"/>
      <c r="AC39" s="3749" t="s">
        <v>471</v>
      </c>
      <c r="AD39" s="3746" t="s">
        <v>470</v>
      </c>
      <c r="AE39" s="3747"/>
      <c r="AF39" s="3747"/>
      <c r="AG39" s="3747"/>
      <c r="AH39" s="3747"/>
      <c r="AI39" s="3747"/>
      <c r="AJ39" s="3748"/>
      <c r="AK39" s="3749" t="s">
        <v>472</v>
      </c>
      <c r="AL39" s="3752" t="s">
        <v>473</v>
      </c>
      <c r="AM39" s="3618"/>
      <c r="AS39" s="1077">
        <v>14</v>
      </c>
    </row>
    <row r="40" spans="1:45" ht="35.65" customHeight="1">
      <c r="Q40" s="310"/>
      <c r="R40" s="310"/>
      <c r="S40" s="3745"/>
      <c r="T40" s="3697"/>
      <c r="U40" s="957"/>
      <c r="V40" s="3666" t="s">
        <v>474</v>
      </c>
      <c r="W40" s="3755"/>
      <c r="X40" s="3589" t="s">
        <v>476</v>
      </c>
      <c r="Y40" s="3588"/>
      <c r="Z40" s="3589" t="s">
        <v>477</v>
      </c>
      <c r="AA40" s="3595"/>
      <c r="AB40" s="3588"/>
      <c r="AC40" s="3750"/>
      <c r="AD40" s="3666" t="s">
        <v>474</v>
      </c>
      <c r="AE40" s="3755"/>
      <c r="AF40" s="3589" t="s">
        <v>476</v>
      </c>
      <c r="AG40" s="3588"/>
      <c r="AH40" s="3589" t="s">
        <v>477</v>
      </c>
      <c r="AI40" s="3595"/>
      <c r="AJ40" s="3588"/>
      <c r="AK40" s="3750"/>
      <c r="AL40" s="3753"/>
      <c r="AM40" s="3618"/>
      <c r="AS40" s="1077">
        <v>34</v>
      </c>
    </row>
    <row r="41" spans="1:45" ht="35.65" customHeight="1">
      <c r="A41" s="1292"/>
      <c r="B41" s="1292" t="s">
        <v>188</v>
      </c>
      <c r="C41" s="1292" t="s">
        <v>189</v>
      </c>
      <c r="D41" s="1292" t="s">
        <v>190</v>
      </c>
      <c r="E41" s="1286" t="s">
        <v>478</v>
      </c>
      <c r="F41" s="1286" t="s">
        <v>479</v>
      </c>
      <c r="G41" s="1286" t="s">
        <v>480</v>
      </c>
      <c r="H41" s="1286" t="s">
        <v>481</v>
      </c>
      <c r="I41" s="1286" t="s">
        <v>482</v>
      </c>
      <c r="J41" s="1286" t="s">
        <v>483</v>
      </c>
      <c r="K41" s="1286" t="s">
        <v>484</v>
      </c>
      <c r="L41" s="1286" t="s">
        <v>463</v>
      </c>
      <c r="Q41" s="310"/>
      <c r="R41" s="310"/>
      <c r="S41" s="3745"/>
      <c r="T41" s="3697"/>
      <c r="U41" s="237"/>
      <c r="V41" s="3716"/>
      <c r="W41" s="3756"/>
      <c r="X41" s="1144" t="s">
        <v>485</v>
      </c>
      <c r="Y41" s="1144" t="s">
        <v>486</v>
      </c>
      <c r="Z41" s="1260" t="s">
        <v>487</v>
      </c>
      <c r="AA41" s="3705" t="s">
        <v>488</v>
      </c>
      <c r="AB41" s="3707"/>
      <c r="AC41" s="3751"/>
      <c r="AD41" s="3716"/>
      <c r="AE41" s="3756"/>
      <c r="AF41" s="1144" t="s">
        <v>485</v>
      </c>
      <c r="AG41" s="1144" t="s">
        <v>486</v>
      </c>
      <c r="AH41" s="1260" t="s">
        <v>487</v>
      </c>
      <c r="AI41" s="3705" t="s">
        <v>488</v>
      </c>
      <c r="AJ41" s="3707"/>
      <c r="AK41" s="3751"/>
      <c r="AL41" s="3754"/>
      <c r="AM41" s="361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164</v>
      </c>
      <c r="T42" s="1177" t="s">
        <v>89</v>
      </c>
      <c r="U42" s="1167" t="str">
        <f ca="1">OFFSET(U42,0,-1)</f>
        <v>2</v>
      </c>
      <c r="V42" s="1257">
        <f ca="1">OFFSET(V42,0,-1)+1</f>
        <v>3</v>
      </c>
      <c r="W42" s="1257"/>
      <c r="X42" s="1257">
        <f ca="1">OFFSET(X42,0,-1)+1</f>
        <v>1</v>
      </c>
      <c r="Y42" s="1257">
        <f ca="1">OFFSET(Y42,0,-1)+1</f>
        <v>2</v>
      </c>
      <c r="Z42" s="1257">
        <f ca="1">OFFSET(Z42,0,-1)+1</f>
        <v>3</v>
      </c>
      <c r="AA42" s="3744">
        <f ca="1">OFFSET(AA42,0,-1)+1</f>
        <v>4</v>
      </c>
      <c r="AB42" s="3744"/>
      <c r="AC42" s="1257">
        <f ca="1">OFFSET(AC42,0,-2)+1</f>
        <v>5</v>
      </c>
      <c r="AD42" s="1257">
        <f ca="1">OFFSET(AD42,0,-1)+1</f>
        <v>6</v>
      </c>
      <c r="AE42" s="1257"/>
      <c r="AF42" s="1257">
        <f ca="1">OFFSET(AF42,0,-1)+1</f>
        <v>1</v>
      </c>
      <c r="AG42" s="1257">
        <f ca="1">OFFSET(AG42,0,-1)+1</f>
        <v>2</v>
      </c>
      <c r="AH42" s="1257">
        <f ca="1">OFFSET(AH42,0,-1)+1</f>
        <v>3</v>
      </c>
      <c r="AI42" s="3744">
        <f ca="1">OFFSET(AI42,0,-1)+1</f>
        <v>4</v>
      </c>
      <c r="AJ42" s="3744"/>
      <c r="AK42" s="1257">
        <f ca="1">OFFSET(AK42,0,-2)+1</f>
        <v>5</v>
      </c>
      <c r="AL42" s="1167">
        <f ca="1">OFFSET(AL42,0,-1)</f>
        <v>5</v>
      </c>
      <c r="AM42" s="1257">
        <f ca="1">OFFSET(AM42,0,-1)+1</f>
        <v>6</v>
      </c>
      <c r="AN42" s="445"/>
      <c r="AO42" s="445"/>
      <c r="AP42" s="445"/>
      <c r="AQ42" s="445"/>
      <c r="AR42" s="445"/>
      <c r="AS42" s="430">
        <v>0</v>
      </c>
    </row>
    <row r="43" spans="1:45" ht="21.95" customHeight="1">
      <c r="A43" s="1285" t="s">
        <v>227</v>
      </c>
      <c r="B43" s="1285"/>
      <c r="C43" s="1285"/>
      <c r="D43" s="1285"/>
      <c r="E43" s="3737">
        <v>1</v>
      </c>
      <c r="F43" s="1285"/>
      <c r="G43" s="1285"/>
      <c r="H43" s="1285"/>
      <c r="I43" s="1285"/>
      <c r="J43" s="1285"/>
      <c r="K43" s="1285"/>
      <c r="L43" s="1286"/>
      <c r="M43" s="1287"/>
      <c r="N43" s="1287"/>
      <c r="O43" s="1287"/>
      <c r="P43" s="295"/>
      <c r="Q43" s="294"/>
      <c r="R43" s="289"/>
      <c r="S43" s="1258">
        <f>INDEX(PT_DIFFERENTIATION_NUM_NTAR,MATCH(A43,PT_DIFFERENTIATION_NTAR_ID,0))</f>
        <v>0</v>
      </c>
      <c r="T43" s="233"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227</v>
      </c>
      <c r="B44" s="1285" t="s">
        <v>228</v>
      </c>
      <c r="C44" s="1285"/>
      <c r="D44" s="1285"/>
      <c r="E44" s="3738"/>
      <c r="F44" s="3737">
        <v>1</v>
      </c>
      <c r="G44" s="1285"/>
      <c r="H44" s="1285"/>
      <c r="I44" s="1285"/>
      <c r="J44" s="1285"/>
      <c r="K44" s="1285"/>
      <c r="L44" s="1286"/>
      <c r="M44" s="1287"/>
      <c r="N44" s="1287"/>
      <c r="O44" s="1287"/>
      <c r="P44" s="1254"/>
      <c r="Q44" s="286"/>
      <c r="R44" s="287"/>
      <c r="S44" s="1258" t="str">
        <f>INDEX(PT_DIFFERENTIATION_NUM_TER,MATCH(B44,PT_DIFFERENTIATION_TER_ID,0))</f>
        <v>.</v>
      </c>
      <c r="T44" s="243"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434"/>
      <c r="AP44" s="434" t="str">
        <f t="shared" si="1"/>
        <v>Территория действия тарифа</v>
      </c>
      <c r="AQ44" s="434"/>
      <c r="AR44" s="434"/>
      <c r="AS44" s="1077">
        <v>21</v>
      </c>
    </row>
    <row r="45" spans="1:45" ht="24" customHeight="1">
      <c r="A45" s="1285" t="s">
        <v>227</v>
      </c>
      <c r="B45" s="1285" t="s">
        <v>228</v>
      </c>
      <c r="C45" s="1285" t="s">
        <v>229</v>
      </c>
      <c r="D45" s="1285"/>
      <c r="E45" s="3738"/>
      <c r="F45" s="3738"/>
      <c r="G45" s="3737">
        <v>1</v>
      </c>
      <c r="H45" s="1285"/>
      <c r="I45" s="1285"/>
      <c r="J45" s="1285"/>
      <c r="K45" s="1285"/>
      <c r="L45" s="1286"/>
      <c r="M45" s="1287"/>
      <c r="N45" s="1287"/>
      <c r="O45" s="1287"/>
      <c r="P45" s="288"/>
      <c r="Q45" s="286"/>
      <c r="R45" s="287"/>
      <c r="S45" s="1258"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434"/>
      <c r="AP45" s="434" t="str">
        <f t="shared" si="1"/>
        <v xml:space="preserve">Наименование системы теплоснабжения </v>
      </c>
      <c r="AQ45" s="434"/>
      <c r="AR45" s="434"/>
      <c r="AS45" s="1077">
        <v>23</v>
      </c>
    </row>
    <row r="46" spans="1:45" ht="21.95" customHeight="1">
      <c r="A46" s="1285" t="s">
        <v>227</v>
      </c>
      <c r="B46" s="1285" t="s">
        <v>228</v>
      </c>
      <c r="C46" s="1285" t="s">
        <v>229</v>
      </c>
      <c r="D46" s="1285" t="s">
        <v>230</v>
      </c>
      <c r="E46" s="3738"/>
      <c r="F46" s="3738"/>
      <c r="G46" s="3738"/>
      <c r="H46" s="3737">
        <v>1</v>
      </c>
      <c r="I46" s="1285"/>
      <c r="J46" s="1285"/>
      <c r="K46" s="1285"/>
      <c r="L46" s="1286"/>
      <c r="M46" s="1287"/>
      <c r="N46" s="1287"/>
      <c r="O46" s="1287"/>
      <c r="P46" s="288"/>
      <c r="Q46" s="286"/>
      <c r="R46" s="287"/>
      <c r="S46" s="1258"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434"/>
      <c r="AP46" s="434" t="str">
        <f t="shared" si="1"/>
        <v xml:space="preserve">Источник тепловой энергии  </v>
      </c>
      <c r="AQ46" s="434"/>
      <c r="AR46" s="434"/>
      <c r="AS46" s="1077">
        <v>21</v>
      </c>
    </row>
    <row r="47" spans="1:45" s="1564" customFormat="1" ht="0" hidden="1" customHeight="1">
      <c r="A47" s="1265" t="s">
        <v>227</v>
      </c>
      <c r="B47" s="1265" t="s">
        <v>228</v>
      </c>
      <c r="C47" s="1265" t="s">
        <v>229</v>
      </c>
      <c r="D47" s="1265" t="s">
        <v>230</v>
      </c>
      <c r="E47" s="3738"/>
      <c r="F47" s="3738"/>
      <c r="G47" s="3738"/>
      <c r="H47" s="3738"/>
      <c r="I47" s="3735" t="str">
        <f>S46&amp;".1"</f>
        <v>....1</v>
      </c>
      <c r="J47" s="1265"/>
      <c r="K47" s="1265"/>
      <c r="L47" s="1268" t="s">
        <v>448</v>
      </c>
      <c r="M47" s="444"/>
      <c r="N47" s="444"/>
      <c r="O47" s="444"/>
      <c r="P47" s="3736">
        <v>1</v>
      </c>
      <c r="Q47" s="1253"/>
      <c r="R47" s="290"/>
      <c r="S47" s="968"/>
      <c r="T47" s="1305"/>
      <c r="U47" s="1306"/>
      <c r="V47" s="3766"/>
      <c r="W47" s="3767"/>
      <c r="X47" s="3767"/>
      <c r="Y47" s="3767"/>
      <c r="Z47" s="3767"/>
      <c r="AA47" s="3767"/>
      <c r="AB47" s="3767"/>
      <c r="AC47" s="3768"/>
      <c r="AD47" s="3766"/>
      <c r="AE47" s="3767"/>
      <c r="AF47" s="3767"/>
      <c r="AG47" s="3767"/>
      <c r="AH47" s="3767"/>
      <c r="AI47" s="3767"/>
      <c r="AJ47" s="3767"/>
      <c r="AK47" s="3767"/>
      <c r="AL47" s="3768"/>
      <c r="AM47" s="1307"/>
      <c r="AO47" s="434"/>
      <c r="AP47" s="434" t="str">
        <f t="shared" si="1"/>
        <v/>
      </c>
      <c r="AQ47" s="434"/>
      <c r="AR47" s="434"/>
      <c r="AS47" s="445">
        <v>0</v>
      </c>
    </row>
    <row r="48" spans="1:45" ht="21.95" customHeight="1">
      <c r="A48" s="1285" t="s">
        <v>227</v>
      </c>
      <c r="B48" s="1285" t="s">
        <v>228</v>
      </c>
      <c r="C48" s="1285" t="s">
        <v>229</v>
      </c>
      <c r="D48" s="1285" t="s">
        <v>230</v>
      </c>
      <c r="E48" s="3738"/>
      <c r="F48" s="3738"/>
      <c r="G48" s="3738"/>
      <c r="H48" s="3738"/>
      <c r="I48" s="3758"/>
      <c r="J48" s="3735" t="str">
        <f>S46&amp;".1"</f>
        <v>....1</v>
      </c>
      <c r="K48" s="1285"/>
      <c r="L48" s="1286" t="s">
        <v>451</v>
      </c>
      <c r="P48" s="3736"/>
      <c r="Q48" s="3736">
        <v>1</v>
      </c>
      <c r="R48" s="291"/>
      <c r="S48" s="1258" t="str">
        <f>$J48</f>
        <v>....1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434"/>
      <c r="AP48" s="434" t="str">
        <f t="shared" si="1"/>
        <v>Группа потребителей</v>
      </c>
      <c r="AQ48" s="434"/>
      <c r="AR48" s="434"/>
      <c r="AS48" s="1077">
        <v>21</v>
      </c>
    </row>
    <row r="49" spans="1:45" ht="21.95" customHeight="1">
      <c r="A49" s="1285" t="s">
        <v>227</v>
      </c>
      <c r="B49" s="1285" t="s">
        <v>228</v>
      </c>
      <c r="C49" s="1285" t="s">
        <v>229</v>
      </c>
      <c r="D49" s="1285" t="s">
        <v>230</v>
      </c>
      <c r="E49" s="3738"/>
      <c r="F49" s="3738"/>
      <c r="G49" s="3738"/>
      <c r="H49" s="3738"/>
      <c r="I49" s="3758"/>
      <c r="J49" s="3758"/>
      <c r="K49" s="3735" t="str">
        <f>J48&amp;".1"</f>
        <v>....1.1</v>
      </c>
      <c r="L49" s="1286" t="s">
        <v>454</v>
      </c>
      <c r="P49" s="3736"/>
      <c r="Q49" s="3736"/>
      <c r="R49" s="291">
        <v>1</v>
      </c>
      <c r="S49" s="1258" t="str">
        <f>$K49</f>
        <v>....1.1</v>
      </c>
      <c r="T49" s="1269"/>
      <c r="U49" s="235"/>
      <c r="V49" s="685"/>
      <c r="W49" s="260"/>
      <c r="X49" s="685"/>
      <c r="Y49" s="1179"/>
      <c r="Z49" s="3740"/>
      <c r="AA49" s="3599" t="s">
        <v>50</v>
      </c>
      <c r="AB49" s="3740"/>
      <c r="AC49" s="3599" t="s">
        <v>50</v>
      </c>
      <c r="AD49" s="685"/>
      <c r="AE49" s="260"/>
      <c r="AF49" s="685"/>
      <c r="AG49" s="1179"/>
      <c r="AH49" s="3740"/>
      <c r="AI49" s="3599" t="s">
        <v>50</v>
      </c>
      <c r="AJ49" s="3759"/>
      <c r="AK49" s="3599" t="s">
        <v>50</v>
      </c>
      <c r="AL49" s="1270"/>
      <c r="AM49" s="3732" t="s">
        <v>492</v>
      </c>
      <c r="AN49" s="445" t="e">
        <f ca="1">STRCHECKDATE(V50:AL50)</f>
        <v>#NAME?</v>
      </c>
      <c r="AO49" s="434"/>
      <c r="AP49" s="434" t="str">
        <f t="shared" si="1"/>
        <v/>
      </c>
      <c r="AQ49" s="434"/>
      <c r="AR49" s="434"/>
      <c r="AS49" s="1077">
        <v>21</v>
      </c>
    </row>
    <row r="50" spans="1:45" ht="1.1499999999999999" customHeight="1">
      <c r="A50" s="1285" t="s">
        <v>227</v>
      </c>
      <c r="B50" s="1285" t="s">
        <v>228</v>
      </c>
      <c r="C50" s="1285" t="s">
        <v>229</v>
      </c>
      <c r="D50" s="1285" t="s">
        <v>230</v>
      </c>
      <c r="E50" s="3738"/>
      <c r="F50" s="3738"/>
      <c r="G50" s="3738"/>
      <c r="H50" s="3738"/>
      <c r="I50" s="3758"/>
      <c r="J50" s="3758"/>
      <c r="K50" s="3735"/>
      <c r="L50" s="1286"/>
      <c r="P50" s="3736"/>
      <c r="Q50" s="3736"/>
      <c r="R50" s="291"/>
      <c r="S50" s="1264"/>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434"/>
      <c r="AP50" s="434" t="str">
        <f t="shared" si="1"/>
        <v/>
      </c>
      <c r="AQ50" s="434"/>
      <c r="AR50" s="434"/>
      <c r="AS50" s="1077">
        <v>1</v>
      </c>
    </row>
    <row r="51" spans="1:45" ht="11.45" customHeight="1">
      <c r="A51" s="1285" t="s">
        <v>227</v>
      </c>
      <c r="B51" s="1285" t="s">
        <v>228</v>
      </c>
      <c r="C51" s="1285" t="s">
        <v>229</v>
      </c>
      <c r="D51" s="1285" t="s">
        <v>230</v>
      </c>
      <c r="E51" s="3738"/>
      <c r="F51" s="3738"/>
      <c r="G51" s="3738"/>
      <c r="H51" s="3738"/>
      <c r="I51" s="3758"/>
      <c r="J51" s="3735"/>
      <c r="K51" s="1285"/>
      <c r="L51" s="1286"/>
      <c r="P51" s="3736"/>
      <c r="Q51" s="3736"/>
      <c r="R51" s="290"/>
      <c r="S51" s="1200"/>
      <c r="T51" s="222" t="s">
        <v>456</v>
      </c>
      <c r="U51" s="301"/>
      <c r="V51" s="301"/>
      <c r="W51" s="301"/>
      <c r="X51" s="301"/>
      <c r="Y51" s="301"/>
      <c r="Z51" s="301"/>
      <c r="AA51" s="301"/>
      <c r="AB51" s="301"/>
      <c r="AC51" s="301"/>
      <c r="AD51" s="301"/>
      <c r="AE51" s="301"/>
      <c r="AF51" s="301"/>
      <c r="AG51" s="301"/>
      <c r="AH51" s="301"/>
      <c r="AI51" s="301"/>
      <c r="AJ51" s="301"/>
      <c r="AK51" s="301"/>
      <c r="AL51" s="259"/>
      <c r="AM51" s="3734"/>
      <c r="AO51" s="434"/>
      <c r="AP51" s="434" t="str">
        <f t="shared" si="1"/>
        <v>Добавить вид теплоносителя (параметры теплоносителя)</v>
      </c>
      <c r="AQ51" s="434"/>
      <c r="AR51" s="434"/>
      <c r="AS51" s="1077">
        <v>11</v>
      </c>
    </row>
    <row r="52" spans="1:45" ht="11.45" customHeight="1">
      <c r="A52" s="1285" t="s">
        <v>227</v>
      </c>
      <c r="B52" s="1285" t="s">
        <v>228</v>
      </c>
      <c r="C52" s="1285" t="s">
        <v>229</v>
      </c>
      <c r="D52" s="1285" t="s">
        <v>230</v>
      </c>
      <c r="E52" s="3738"/>
      <c r="F52" s="3738"/>
      <c r="G52" s="3738"/>
      <c r="H52" s="3738"/>
      <c r="I52" s="3735"/>
      <c r="J52" s="1285"/>
      <c r="K52" s="1285"/>
      <c r="L52" s="1286"/>
      <c r="P52" s="3736"/>
      <c r="Q52" s="1253"/>
      <c r="R52" s="290"/>
      <c r="S52" s="1200"/>
      <c r="T52" s="299" t="s">
        <v>457</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0" hidden="1" customHeight="1">
      <c r="A53" s="1285" t="s">
        <v>227</v>
      </c>
      <c r="B53" s="1285" t="s">
        <v>228</v>
      </c>
      <c r="C53" s="1285" t="s">
        <v>229</v>
      </c>
      <c r="D53" s="1285" t="s">
        <v>230</v>
      </c>
      <c r="E53" s="3738"/>
      <c r="F53" s="3738"/>
      <c r="G53" s="3738"/>
      <c r="H53" s="3737"/>
      <c r="I53" s="1285"/>
      <c r="J53" s="1285"/>
      <c r="K53" s="1285"/>
      <c r="L53" s="1286"/>
      <c r="M53" s="1287"/>
      <c r="N53" s="1287"/>
      <c r="O53" s="471"/>
      <c r="P53" s="294"/>
      <c r="Q53" s="309"/>
      <c r="R53" s="289"/>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4"/>
      <c r="AP53" s="434" t="str">
        <f t="shared" si="1"/>
        <v/>
      </c>
      <c r="AQ53" s="434"/>
      <c r="AR53" s="434"/>
      <c r="AS53" s="1077">
        <v>0</v>
      </c>
    </row>
    <row r="54" spans="1:45" s="1564" customFormat="1" ht="1.1499999999999999" customHeight="1">
      <c r="A54" s="1265" t="s">
        <v>227</v>
      </c>
      <c r="B54" s="1265" t="s">
        <v>228</v>
      </c>
      <c r="C54" s="1265" t="s">
        <v>229</v>
      </c>
      <c r="D54" s="1236"/>
      <c r="E54" s="3738"/>
      <c r="F54" s="3738"/>
      <c r="G54" s="3737"/>
      <c r="H54" s="1236"/>
      <c r="I54" s="1236"/>
      <c r="J54" s="1236"/>
      <c r="K54" s="1236"/>
      <c r="L54" s="1261"/>
      <c r="M54" s="1237"/>
      <c r="N54" s="1237"/>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227</v>
      </c>
      <c r="B55" s="1265" t="s">
        <v>228</v>
      </c>
      <c r="C55" s="1236"/>
      <c r="D55" s="1236"/>
      <c r="E55" s="3738"/>
      <c r="F55" s="3737"/>
      <c r="G55" s="1236"/>
      <c r="H55" s="1236"/>
      <c r="I55" s="1236"/>
      <c r="J55" s="1236"/>
      <c r="K55" s="1236"/>
      <c r="L55" s="1261"/>
      <c r="M55" s="1243"/>
      <c r="N55" s="1243"/>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227</v>
      </c>
      <c r="B56" s="1265"/>
      <c r="C56" s="1265"/>
      <c r="D56" s="1265"/>
      <c r="E56" s="3737"/>
      <c r="F56" s="1265"/>
      <c r="G56" s="1265"/>
      <c r="H56" s="1265"/>
      <c r="I56" s="1265"/>
      <c r="J56" s="1265"/>
      <c r="K56" s="1265"/>
      <c r="L56" s="1268"/>
      <c r="M56" s="1243"/>
      <c r="N56" s="1243"/>
      <c r="O56" s="452"/>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3.25" customHeight="1">
      <c r="O59" s="471"/>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077">
        <v>22</v>
      </c>
    </row>
    <row r="60" spans="1:45" ht="30.4" customHeight="1">
      <c r="O60" s="471"/>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077">
        <v>29</v>
      </c>
    </row>
    <row r="61" spans="1:45" ht="42" customHeight="1">
      <c r="O61" s="471"/>
      <c r="T61" s="3757"/>
      <c r="U61" s="3757"/>
      <c r="V61" s="3757"/>
      <c r="W61" s="3757"/>
      <c r="X61" s="3757"/>
      <c r="Y61" s="3757"/>
      <c r="Z61" s="3757"/>
      <c r="AA61" s="3757"/>
      <c r="AB61" s="3757"/>
      <c r="AC61" s="3757"/>
      <c r="AD61" s="3757"/>
      <c r="AE61" s="3757"/>
      <c r="AF61" s="3757"/>
      <c r="AG61" s="3757"/>
      <c r="AH61" s="3757"/>
      <c r="AI61" s="3757"/>
      <c r="AJ61" s="3757"/>
      <c r="AK61" s="3757"/>
      <c r="AL61" s="3757"/>
      <c r="AM61" s="3757"/>
      <c r="AS61" s="1077">
        <v>40</v>
      </c>
    </row>
    <row r="62" spans="1:45" ht="14.65" customHeight="1">
      <c r="O62" s="471"/>
      <c r="AS62" s="1077">
        <v>14</v>
      </c>
    </row>
    <row r="63" spans="1:45" ht="21" customHeight="1">
      <c r="O63" s="471"/>
      <c r="S63" s="1175"/>
      <c r="T63" s="3665"/>
      <c r="U63" s="3757"/>
      <c r="V63" s="3757"/>
      <c r="W63" s="3757"/>
      <c r="X63" s="3757"/>
      <c r="Y63" s="3757"/>
      <c r="Z63" s="3757"/>
      <c r="AA63" s="3757"/>
      <c r="AB63" s="3757"/>
      <c r="AC63" s="3757"/>
      <c r="AD63" s="3757"/>
      <c r="AE63" s="3757"/>
      <c r="AF63" s="3757"/>
      <c r="AG63" s="3757"/>
      <c r="AH63" s="3757"/>
      <c r="AI63" s="3757"/>
      <c r="AJ63" s="3757"/>
      <c r="AK63" s="3757"/>
      <c r="AL63" s="3757"/>
      <c r="AM63" s="3757"/>
      <c r="AS63" s="1077">
        <v>20</v>
      </c>
    </row>
    <row r="64" spans="1:45" ht="29.25" customHeight="1">
      <c r="O64" s="471"/>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077">
        <v>28</v>
      </c>
    </row>
    <row r="65" spans="1:45" ht="35.65" customHeight="1">
      <c r="T65" s="3757"/>
      <c r="U65" s="3757"/>
      <c r="V65" s="3757"/>
      <c r="W65" s="3757"/>
      <c r="X65" s="3757"/>
      <c r="Y65" s="3757"/>
      <c r="Z65" s="3757"/>
      <c r="AA65" s="3757"/>
      <c r="AB65" s="3757"/>
      <c r="AC65" s="3757"/>
      <c r="AD65" s="3757"/>
      <c r="AE65" s="3757"/>
      <c r="AF65" s="3757"/>
      <c r="AG65" s="3757"/>
      <c r="AH65" s="3757"/>
      <c r="AI65" s="3757"/>
      <c r="AJ65" s="3757"/>
      <c r="AK65" s="3757"/>
      <c r="AL65" s="3757"/>
      <c r="AM65" s="3757"/>
      <c r="AS65" s="1077">
        <v>34</v>
      </c>
    </row>
    <row r="66" spans="1:45" ht="22.5" hidden="1" customHeight="1">
      <c r="A66" s="1082" t="s">
        <v>70</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79">
        <v>3</v>
      </c>
      <c r="R66" s="279">
        <v>3</v>
      </c>
      <c r="S66" s="515">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5">
        <v>10</v>
      </c>
      <c r="AO66" s="445">
        <v>10</v>
      </c>
      <c r="AP66" s="445">
        <v>10</v>
      </c>
      <c r="AQ66" s="445">
        <v>10</v>
      </c>
      <c r="AR66" s="445">
        <v>10</v>
      </c>
      <c r="AS66" s="1077">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7109375" style="1991" hidden="1" customWidth="1"/>
    <col min="17" max="18" width="3" style="279" customWidth="1"/>
    <col min="19" max="19" width="12" style="1992"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v>
      </c>
    </row>
    <row r="2" spans="1:45" ht="21" hidden="1" customHeight="1">
      <c r="A2" s="1285"/>
      <c r="B2" s="1285"/>
      <c r="C2" s="1285"/>
      <c r="D2" s="1285"/>
      <c r="E2" s="3737">
        <v>1</v>
      </c>
      <c r="F2" s="1285"/>
      <c r="G2" s="1285"/>
      <c r="H2" s="1285"/>
      <c r="I2" s="1285"/>
      <c r="J2" s="1285"/>
      <c r="K2" s="1285"/>
      <c r="L2" s="1286"/>
      <c r="M2" s="1287"/>
      <c r="N2" s="1287"/>
      <c r="O2" s="1287"/>
      <c r="P2" s="295"/>
      <c r="Q2" s="294"/>
      <c r="R2" s="289"/>
      <c r="S2" s="1258" t="e">
        <f>INDEX(PT_DIFFERENTIATION_NUM_NTAR,MATCH(A2,PT_DIFFERENTIATION_NTAR_ID,0))</f>
        <v>#N/A</v>
      </c>
      <c r="T2" s="233" t="s">
        <v>176</v>
      </c>
      <c r="U2" s="235"/>
      <c r="V2" s="3723"/>
      <c r="W2" s="3724"/>
      <c r="X2" s="3724"/>
      <c r="Y2" s="3724"/>
      <c r="Z2" s="3724"/>
      <c r="AA2" s="3724"/>
      <c r="AB2" s="3724"/>
      <c r="AC2" s="3725"/>
      <c r="AD2" s="3723" t="e">
        <f>INDEX(PT_DIFFERENTIATION_NTAR,MATCH(A2,PT_DIFFERENTIATION_NTAR_ID,0))</f>
        <v>#N/A</v>
      </c>
      <c r="AE2" s="3724"/>
      <c r="AF2" s="3724"/>
      <c r="AG2" s="3724"/>
      <c r="AH2" s="3724"/>
      <c r="AI2" s="3724"/>
      <c r="AJ2" s="3724"/>
      <c r="AK2" s="3724"/>
      <c r="AL2" s="3725"/>
      <c r="AM2" s="1180" t="s">
        <v>441</v>
      </c>
      <c r="AO2" s="434"/>
      <c r="AP2" s="434" t="str">
        <f t="shared" ref="AP2:AP15" si="0">IF(T2="","",T2)</f>
        <v>Наименование тарифа</v>
      </c>
      <c r="AQ2" s="434"/>
      <c r="AR2" s="434"/>
      <c r="AS2" s="1077">
        <v>0</v>
      </c>
    </row>
    <row r="3" spans="1:45" ht="21" hidden="1" customHeight="1">
      <c r="A3" s="1285"/>
      <c r="B3" s="1285"/>
      <c r="C3" s="1285"/>
      <c r="D3" s="1285"/>
      <c r="E3" s="3738"/>
      <c r="F3" s="3737">
        <v>1</v>
      </c>
      <c r="G3" s="1285"/>
      <c r="H3" s="1285"/>
      <c r="I3" s="1285"/>
      <c r="J3" s="1285"/>
      <c r="K3" s="1285"/>
      <c r="L3" s="1286"/>
      <c r="M3" s="1287"/>
      <c r="N3" s="1287"/>
      <c r="O3" s="1287"/>
      <c r="P3" s="1254"/>
      <c r="Q3" s="286"/>
      <c r="R3" s="287"/>
      <c r="S3" s="1258" t="e">
        <f>INDEX(PT_DIFFERENTIATION_NUM_TER,MATCH(B3,PT_DIFFERENTIATION_TER_ID,0))</f>
        <v>#N/A</v>
      </c>
      <c r="T3" s="243" t="s">
        <v>442</v>
      </c>
      <c r="U3" s="235"/>
      <c r="V3" s="3723"/>
      <c r="W3" s="3724"/>
      <c r="X3" s="3724"/>
      <c r="Y3" s="3724"/>
      <c r="Z3" s="3724"/>
      <c r="AA3" s="3724"/>
      <c r="AB3" s="3724"/>
      <c r="AC3" s="3725"/>
      <c r="AD3" s="3723" t="e">
        <f>INDEX(PT_DIFFERENTIATION_TER,MATCH(B3,PT_DIFFERENTIATION_TER_ID,0))</f>
        <v>#N/A</v>
      </c>
      <c r="AE3" s="3724"/>
      <c r="AF3" s="3724"/>
      <c r="AG3" s="3724"/>
      <c r="AH3" s="3724"/>
      <c r="AI3" s="3724"/>
      <c r="AJ3" s="3724"/>
      <c r="AK3" s="3724"/>
      <c r="AL3" s="3725"/>
      <c r="AM3" s="1180" t="s">
        <v>443</v>
      </c>
      <c r="AO3" s="434"/>
      <c r="AP3" s="434" t="str">
        <f t="shared" si="0"/>
        <v>Территория действия тарифа</v>
      </c>
      <c r="AQ3" s="434"/>
      <c r="AR3" s="434"/>
      <c r="AS3" s="1077">
        <v>0</v>
      </c>
    </row>
    <row r="4" spans="1:45" ht="23.25" hidden="1" customHeight="1">
      <c r="A4" s="1285"/>
      <c r="B4" s="1285"/>
      <c r="C4" s="1285"/>
      <c r="D4" s="1285"/>
      <c r="E4" s="3738"/>
      <c r="F4" s="3738"/>
      <c r="G4" s="3737">
        <v>1</v>
      </c>
      <c r="H4" s="1285"/>
      <c r="I4" s="1285"/>
      <c r="J4" s="1285"/>
      <c r="K4" s="1285"/>
      <c r="L4" s="1286"/>
      <c r="M4" s="1287"/>
      <c r="N4" s="1287"/>
      <c r="O4" s="1287"/>
      <c r="P4" s="288"/>
      <c r="Q4" s="286"/>
      <c r="R4" s="287"/>
      <c r="S4" s="1258" t="e">
        <f>INDEX(PT_DIFFERENTIATION_NUM_CS,MATCH(C4,PT_DIFFERENTIATION_CS_ID,0))</f>
        <v>#N/A</v>
      </c>
      <c r="T4" s="244" t="s">
        <v>444</v>
      </c>
      <c r="U4" s="235"/>
      <c r="V4" s="3723"/>
      <c r="W4" s="3724"/>
      <c r="X4" s="3724"/>
      <c r="Y4" s="3724"/>
      <c r="Z4" s="3724"/>
      <c r="AA4" s="3724"/>
      <c r="AB4" s="3724"/>
      <c r="AC4" s="3725"/>
      <c r="AD4" s="3723" t="e">
        <f>INDEX(PT_DIFFERENTIATION_CS,MATCH(C4,PT_DIFFERENTIATION_CS_ID,0))</f>
        <v>#N/A</v>
      </c>
      <c r="AE4" s="3724"/>
      <c r="AF4" s="3724"/>
      <c r="AG4" s="3724"/>
      <c r="AH4" s="3724"/>
      <c r="AI4" s="3724"/>
      <c r="AJ4" s="3724"/>
      <c r="AK4" s="3724"/>
      <c r="AL4" s="3725"/>
      <c r="AM4" s="1180" t="s">
        <v>445</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3738"/>
      <c r="F5" s="3738"/>
      <c r="G5" s="3738"/>
      <c r="H5" s="3737">
        <v>1</v>
      </c>
      <c r="I5" s="1285"/>
      <c r="J5" s="1285"/>
      <c r="K5" s="1285"/>
      <c r="L5" s="1286"/>
      <c r="M5" s="1287"/>
      <c r="N5" s="1287"/>
      <c r="O5" s="1287"/>
      <c r="P5" s="288"/>
      <c r="Q5" s="286"/>
      <c r="R5" s="287"/>
      <c r="S5" s="1258" t="e">
        <f>INDEX(PT_DIFFERENTIATION_NUM_IST_TE,MATCH(D5,PT_DIFFERENTIATION_IST_TE_ID,0))</f>
        <v>#N/A</v>
      </c>
      <c r="T5" s="245" t="s">
        <v>446</v>
      </c>
      <c r="U5" s="235"/>
      <c r="V5" s="3723"/>
      <c r="W5" s="3724"/>
      <c r="X5" s="3724"/>
      <c r="Y5" s="3724"/>
      <c r="Z5" s="3724"/>
      <c r="AA5" s="3724"/>
      <c r="AB5" s="3724"/>
      <c r="AC5" s="3725"/>
      <c r="AD5" s="3723" t="e">
        <f>INDEX(PT_DIFFERENTIATION_IST_TE,MATCH(D5,PT_DIFFERENTIATION_IST_TE_ID,0))</f>
        <v>#N/A</v>
      </c>
      <c r="AE5" s="3724"/>
      <c r="AF5" s="3724"/>
      <c r="AG5" s="3724"/>
      <c r="AH5" s="3724"/>
      <c r="AI5" s="3724"/>
      <c r="AJ5" s="3724"/>
      <c r="AK5" s="3724"/>
      <c r="AL5" s="3725"/>
      <c r="AM5" s="1180" t="s">
        <v>447</v>
      </c>
      <c r="AO5" s="434"/>
      <c r="AP5" s="434" t="str">
        <f t="shared" si="0"/>
        <v xml:space="preserve">Источник тепловой энергии  </v>
      </c>
      <c r="AQ5" s="434"/>
      <c r="AR5" s="434"/>
      <c r="AS5" s="1077">
        <v>0</v>
      </c>
    </row>
    <row r="6" spans="1:45" ht="14.25" hidden="1" customHeight="1">
      <c r="A6" s="1285"/>
      <c r="B6" s="1285"/>
      <c r="C6" s="1285"/>
      <c r="D6" s="1285"/>
      <c r="E6" s="3738"/>
      <c r="F6" s="3738"/>
      <c r="G6" s="3738"/>
      <c r="H6" s="3738"/>
      <c r="I6" s="3735" t="e">
        <f>S5&amp;".1"</f>
        <v>#N/A</v>
      </c>
      <c r="J6" s="1285"/>
      <c r="K6" s="1285"/>
      <c r="L6" s="1286" t="s">
        <v>448</v>
      </c>
      <c r="M6" s="471"/>
      <c r="P6" s="3736">
        <v>1</v>
      </c>
      <c r="Q6" s="1253"/>
      <c r="R6" s="290"/>
      <c r="S6" s="968"/>
      <c r="T6" s="1305"/>
      <c r="U6" s="1306"/>
      <c r="V6" s="3766"/>
      <c r="W6" s="3767"/>
      <c r="X6" s="3767"/>
      <c r="Y6" s="3767"/>
      <c r="Z6" s="3767"/>
      <c r="AA6" s="3767"/>
      <c r="AB6" s="3767"/>
      <c r="AC6" s="3768"/>
      <c r="AD6" s="3766"/>
      <c r="AE6" s="3767"/>
      <c r="AF6" s="3767"/>
      <c r="AG6" s="3767"/>
      <c r="AH6" s="3767"/>
      <c r="AI6" s="3767"/>
      <c r="AJ6" s="3767"/>
      <c r="AK6" s="3767"/>
      <c r="AL6" s="3768"/>
      <c r="AM6" s="1307"/>
      <c r="AO6" s="434"/>
      <c r="AP6" s="434" t="str">
        <f t="shared" si="0"/>
        <v/>
      </c>
      <c r="AQ6" s="434"/>
      <c r="AR6" s="434"/>
      <c r="AS6" s="1077">
        <v>0</v>
      </c>
    </row>
    <row r="7" spans="1:45" ht="21" hidden="1" customHeight="1">
      <c r="A7" s="1285"/>
      <c r="B7" s="1285"/>
      <c r="C7" s="1285"/>
      <c r="D7" s="1285"/>
      <c r="E7" s="3738"/>
      <c r="F7" s="3738"/>
      <c r="G7" s="3738"/>
      <c r="H7" s="3738"/>
      <c r="I7" s="3758"/>
      <c r="J7" s="3735" t="e">
        <f>I6&amp;".1"</f>
        <v>#N/A</v>
      </c>
      <c r="K7" s="1285"/>
      <c r="L7" s="1286" t="s">
        <v>451</v>
      </c>
      <c r="M7" s="471"/>
      <c r="N7" s="1288"/>
      <c r="P7" s="3736"/>
      <c r="Q7" s="3736">
        <v>1</v>
      </c>
      <c r="R7" s="291"/>
      <c r="S7" s="1258" t="e">
        <f>$J7</f>
        <v>#N/A</v>
      </c>
      <c r="T7" s="221" t="s">
        <v>452</v>
      </c>
      <c r="U7" s="235"/>
      <c r="V7" s="3726"/>
      <c r="W7" s="3727"/>
      <c r="X7" s="3727"/>
      <c r="Y7" s="3727"/>
      <c r="Z7" s="3727"/>
      <c r="AA7" s="3727"/>
      <c r="AB7" s="3727"/>
      <c r="AC7" s="3728"/>
      <c r="AD7" s="3726"/>
      <c r="AE7" s="3727"/>
      <c r="AF7" s="3727"/>
      <c r="AG7" s="3727"/>
      <c r="AH7" s="3727"/>
      <c r="AI7" s="3727"/>
      <c r="AJ7" s="3727"/>
      <c r="AK7" s="3727"/>
      <c r="AL7" s="3728"/>
      <c r="AM7" s="1180" t="s">
        <v>453</v>
      </c>
      <c r="AO7" s="434"/>
      <c r="AP7" s="434" t="str">
        <f t="shared" si="0"/>
        <v>Группа потребителей</v>
      </c>
      <c r="AQ7" s="434"/>
      <c r="AR7" s="434"/>
      <c r="AS7" s="1077">
        <v>0</v>
      </c>
    </row>
    <row r="8" spans="1:45" ht="21" hidden="1" customHeight="1">
      <c r="A8" s="1285"/>
      <c r="B8" s="1285"/>
      <c r="C8" s="1285"/>
      <c r="D8" s="1285"/>
      <c r="E8" s="3738"/>
      <c r="F8" s="3738"/>
      <c r="G8" s="3738"/>
      <c r="H8" s="3738"/>
      <c r="I8" s="3758"/>
      <c r="J8" s="3758"/>
      <c r="K8" s="3735" t="e">
        <f>J7&amp;".1"</f>
        <v>#N/A</v>
      </c>
      <c r="L8" s="1286" t="s">
        <v>454</v>
      </c>
      <c r="M8" s="471"/>
      <c r="N8" s="1288"/>
      <c r="O8" s="1288"/>
      <c r="P8" s="3736"/>
      <c r="Q8" s="3736"/>
      <c r="R8" s="291">
        <v>1</v>
      </c>
      <c r="S8" s="1258" t="e">
        <f>$K8</f>
        <v>#N/A</v>
      </c>
      <c r="T8" s="1269"/>
      <c r="U8" s="235"/>
      <c r="V8" s="685"/>
      <c r="W8" s="260"/>
      <c r="X8" s="685"/>
      <c r="Y8" s="1179"/>
      <c r="Z8" s="3740"/>
      <c r="AA8" s="3599" t="s">
        <v>50</v>
      </c>
      <c r="AB8" s="3740"/>
      <c r="AC8" s="3599" t="s">
        <v>50</v>
      </c>
      <c r="AD8" s="685"/>
      <c r="AE8" s="260"/>
      <c r="AF8" s="685"/>
      <c r="AG8" s="1179"/>
      <c r="AH8" s="3740"/>
      <c r="AI8" s="3599" t="s">
        <v>50</v>
      </c>
      <c r="AJ8" s="3740"/>
      <c r="AK8" s="3599" t="s">
        <v>50</v>
      </c>
      <c r="AL8" s="260"/>
      <c r="AM8" s="3732" t="s">
        <v>455</v>
      </c>
      <c r="AN8" s="445" t="e">
        <f ca="1">STRCHECKDATE(V9:AL9)</f>
        <v>#NAME?</v>
      </c>
      <c r="AO8" s="434"/>
      <c r="AP8" s="434" t="str">
        <f t="shared" si="0"/>
        <v/>
      </c>
      <c r="AQ8" s="434"/>
      <c r="AR8" s="434"/>
      <c r="AS8" s="1077">
        <v>0</v>
      </c>
    </row>
    <row r="9" spans="1:45" ht="14.25" hidden="1" customHeight="1">
      <c r="A9" s="1285"/>
      <c r="B9" s="1285"/>
      <c r="C9" s="1285"/>
      <c r="D9" s="1285"/>
      <c r="E9" s="3738"/>
      <c r="F9" s="3738"/>
      <c r="G9" s="3738"/>
      <c r="H9" s="3738"/>
      <c r="I9" s="3758"/>
      <c r="J9" s="3758"/>
      <c r="K9" s="3735"/>
      <c r="L9" s="1286"/>
      <c r="M9" s="471"/>
      <c r="N9" s="1288"/>
      <c r="O9" s="1288"/>
      <c r="P9" s="3736"/>
      <c r="Q9" s="3736"/>
      <c r="R9" s="291"/>
      <c r="S9" s="1264"/>
      <c r="T9" s="235"/>
      <c r="U9" s="235"/>
      <c r="V9" s="260"/>
      <c r="W9" s="260"/>
      <c r="X9" s="260"/>
      <c r="Y9" s="263" t="str">
        <f>Z8&amp;"-"&amp;AB8</f>
        <v>-</v>
      </c>
      <c r="Z9" s="3741"/>
      <c r="AA9" s="3599"/>
      <c r="AB9" s="3741"/>
      <c r="AC9" s="3599"/>
      <c r="AD9" s="260"/>
      <c r="AE9" s="260"/>
      <c r="AF9" s="260"/>
      <c r="AG9" s="263" t="str">
        <f>AH8&amp;"-"&amp;AJ8</f>
        <v>-</v>
      </c>
      <c r="AH9" s="3741"/>
      <c r="AI9" s="3599"/>
      <c r="AJ9" s="3741"/>
      <c r="AK9" s="3599"/>
      <c r="AL9" s="260"/>
      <c r="AM9" s="3733"/>
      <c r="AO9" s="434"/>
      <c r="AP9" s="434" t="str">
        <f t="shared" si="0"/>
        <v/>
      </c>
      <c r="AQ9" s="434"/>
      <c r="AR9" s="434"/>
      <c r="AS9" s="1077">
        <v>0</v>
      </c>
    </row>
    <row r="10" spans="1:45" ht="15" hidden="1" customHeight="1">
      <c r="A10" s="1285"/>
      <c r="B10" s="1285"/>
      <c r="C10" s="1285"/>
      <c r="D10" s="1285"/>
      <c r="E10" s="3738"/>
      <c r="F10" s="3738"/>
      <c r="G10" s="3738"/>
      <c r="H10" s="3738"/>
      <c r="I10" s="3758"/>
      <c r="J10" s="3735"/>
      <c r="K10" s="1285"/>
      <c r="L10" s="1286"/>
      <c r="M10" s="471"/>
      <c r="N10" s="1288"/>
      <c r="P10" s="3736"/>
      <c r="Q10" s="3736"/>
      <c r="R10" s="290"/>
      <c r="S10" s="1200"/>
      <c r="T10" s="222" t="s">
        <v>456</v>
      </c>
      <c r="U10" s="301"/>
      <c r="V10" s="301"/>
      <c r="W10" s="301"/>
      <c r="X10" s="301"/>
      <c r="Y10" s="301"/>
      <c r="Z10" s="301"/>
      <c r="AA10" s="301"/>
      <c r="AB10" s="301"/>
      <c r="AC10" s="301"/>
      <c r="AD10" s="301"/>
      <c r="AE10" s="301"/>
      <c r="AF10" s="301"/>
      <c r="AG10" s="301"/>
      <c r="AH10" s="301"/>
      <c r="AI10" s="301"/>
      <c r="AJ10" s="301"/>
      <c r="AK10" s="301"/>
      <c r="AL10" s="259"/>
      <c r="AM10" s="3734"/>
      <c r="AO10" s="434"/>
      <c r="AP10" s="434" t="str">
        <f t="shared" si="0"/>
        <v>Добавить вид теплоносителя (параметры теплоносителя)</v>
      </c>
      <c r="AQ10" s="434"/>
      <c r="AR10" s="434"/>
      <c r="AS10" s="1077">
        <v>0</v>
      </c>
    </row>
    <row r="11" spans="1:45" ht="11.25" hidden="1" customHeight="1">
      <c r="A11" s="1285"/>
      <c r="B11" s="1285"/>
      <c r="C11" s="1285"/>
      <c r="D11" s="1285"/>
      <c r="E11" s="3738"/>
      <c r="F11" s="3738"/>
      <c r="G11" s="3738"/>
      <c r="H11" s="3738"/>
      <c r="I11" s="3735"/>
      <c r="J11" s="1285"/>
      <c r="K11" s="1285"/>
      <c r="L11" s="1286"/>
      <c r="M11" s="471"/>
      <c r="P11" s="3736"/>
      <c r="Q11" s="1253"/>
      <c r="R11" s="290"/>
      <c r="S11" s="1200"/>
      <c r="T11" s="299" t="s">
        <v>457</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3738"/>
      <c r="F12" s="3738"/>
      <c r="G12" s="3738"/>
      <c r="H12" s="3737"/>
      <c r="I12" s="1285"/>
      <c r="J12" s="1285"/>
      <c r="K12" s="1285"/>
      <c r="L12" s="1286"/>
      <c r="M12" s="1287"/>
      <c r="N12" s="1287"/>
      <c r="O12" s="471"/>
      <c r="P12" s="294"/>
      <c r="Q12" s="309"/>
      <c r="R12" s="289"/>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4"/>
      <c r="AP12" s="434" t="str">
        <f t="shared" si="0"/>
        <v/>
      </c>
      <c r="AQ12" s="434"/>
      <c r="AR12" s="434"/>
      <c r="AS12" s="1077">
        <v>0</v>
      </c>
    </row>
    <row r="13" spans="1:45" s="1564" customFormat="1" ht="14.25" hidden="1" customHeight="1">
      <c r="A13" s="1236"/>
      <c r="B13" s="1236"/>
      <c r="C13" s="1236"/>
      <c r="D13" s="1236"/>
      <c r="E13" s="3738"/>
      <c r="F13" s="3738"/>
      <c r="G13" s="3737"/>
      <c r="H13" s="1236"/>
      <c r="I13" s="1236"/>
      <c r="J13" s="1236"/>
      <c r="K13" s="1236"/>
      <c r="L13" s="1261"/>
      <c r="M13" s="1237"/>
      <c r="N13" s="1237"/>
      <c r="P13" s="1238"/>
      <c r="Q13" s="1239"/>
      <c r="R13" s="1238"/>
      <c r="S13" s="1240"/>
      <c r="T13" s="1241" t="s">
        <v>459</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14.25" hidden="1" customHeight="1">
      <c r="A14" s="1236"/>
      <c r="B14" s="1236"/>
      <c r="C14" s="1236"/>
      <c r="D14" s="1236"/>
      <c r="E14" s="3738"/>
      <c r="F14" s="3737"/>
      <c r="G14" s="1236"/>
      <c r="H14" s="1236"/>
      <c r="I14" s="1236"/>
      <c r="J14" s="1236"/>
      <c r="K14" s="1236"/>
      <c r="L14" s="1261"/>
      <c r="M14" s="1243"/>
      <c r="N14" s="1243"/>
      <c r="P14" s="1238"/>
      <c r="Q14" s="1239"/>
      <c r="R14" s="1238"/>
      <c r="S14" s="1244"/>
      <c r="T14" s="1245" t="s">
        <v>460</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14.25" hidden="1" customHeight="1">
      <c r="A15" s="1236"/>
      <c r="B15" s="1236"/>
      <c r="C15" s="1236"/>
      <c r="D15" s="1236"/>
      <c r="E15" s="3737"/>
      <c r="F15" s="1236"/>
      <c r="G15" s="1236"/>
      <c r="H15" s="1236"/>
      <c r="I15" s="1236"/>
      <c r="J15" s="1236"/>
      <c r="K15" s="1236"/>
      <c r="L15" s="1261"/>
      <c r="M15" s="1243"/>
      <c r="N15" s="1243"/>
      <c r="P15" s="1238"/>
      <c r="Q15" s="1239"/>
      <c r="R15" s="1238"/>
      <c r="S15" s="1244"/>
      <c r="T15" s="1247" t="s">
        <v>461</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3742"/>
      <c r="AI17" s="3743" t="s">
        <v>50</v>
      </c>
      <c r="AJ17" s="3742"/>
      <c r="AK17" s="3743" t="s">
        <v>50</v>
      </c>
      <c r="AS17" s="1077">
        <v>0</v>
      </c>
    </row>
    <row r="18" spans="1:45" ht="14.25" hidden="1" customHeight="1">
      <c r="AD18" s="1282"/>
      <c r="AE18" s="1282"/>
      <c r="AF18" s="1282"/>
      <c r="AG18" s="263" t="str">
        <f>AH17&amp;"-"&amp;AJ17</f>
        <v>-</v>
      </c>
      <c r="AH18" s="3743"/>
      <c r="AI18" s="3743"/>
      <c r="AJ18" s="3743"/>
      <c r="AK18" s="3743"/>
      <c r="AS18" s="1077">
        <v>0</v>
      </c>
    </row>
    <row r="19" spans="1:45" ht="14.25" hidden="1" customHeight="1">
      <c r="AK19" s="262"/>
      <c r="AS19" s="1077">
        <v>0</v>
      </c>
    </row>
    <row r="20" spans="1:45" s="1288" customFormat="1" ht="22.5" hidden="1" customHeight="1">
      <c r="L20" s="1251"/>
      <c r="M20" s="1284"/>
      <c r="N20" s="1284"/>
      <c r="O20" s="1289" t="s">
        <v>462</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463</v>
      </c>
      <c r="P22" s="1284"/>
      <c r="Q22" s="1293"/>
      <c r="R22" s="1293"/>
      <c r="S22" s="663"/>
      <c r="T22" s="1082" t="s">
        <v>464</v>
      </c>
      <c r="AA22" s="121" t="s">
        <v>465</v>
      </c>
      <c r="AC22" s="121" t="s">
        <v>466</v>
      </c>
      <c r="AD22" s="1082" t="s">
        <v>464</v>
      </c>
      <c r="AI22" s="121" t="s">
        <v>467</v>
      </c>
      <c r="AK22" s="121" t="s">
        <v>466</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53.45" customHeight="1">
      <c r="Q26" s="310"/>
      <c r="R26" s="310"/>
      <c r="S26" s="37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721"/>
      <c r="U26" s="3721"/>
      <c r="V26" s="3721"/>
      <c r="W26" s="3721"/>
      <c r="X26" s="3721"/>
      <c r="Y26" s="3721"/>
      <c r="Z26" s="3721"/>
      <c r="AA26" s="3721"/>
      <c r="AB26" s="3721"/>
      <c r="AC26" s="3721"/>
      <c r="AD26" s="3721"/>
      <c r="AE26" s="3721"/>
      <c r="AF26" s="3721"/>
      <c r="AG26" s="3721"/>
      <c r="AH26" s="3721"/>
      <c r="AI26" s="3721"/>
      <c r="AJ26" s="3721"/>
      <c r="AK26" s="1165"/>
      <c r="AS26" s="1077">
        <v>51</v>
      </c>
    </row>
    <row r="27" spans="1:45" ht="14.65" customHeight="1">
      <c r="Q27" s="310"/>
      <c r="R27" s="310"/>
      <c r="S27" s="3667" t="str">
        <f>IF(org=0,"Не определено",org)</f>
        <v>ООО "Смоленскрегионтеплоэнерго"</v>
      </c>
      <c r="T27" s="3667"/>
      <c r="U27" s="3667"/>
      <c r="V27" s="3667"/>
      <c r="W27" s="3667"/>
      <c r="X27" s="3667"/>
      <c r="Y27" s="3667"/>
      <c r="Z27" s="3667"/>
      <c r="AA27" s="3667"/>
      <c r="AB27" s="3667"/>
      <c r="AC27" s="3667"/>
      <c r="AD27" s="3667"/>
      <c r="AE27" s="3667"/>
      <c r="AF27" s="3667"/>
      <c r="AG27" s="3667"/>
      <c r="AH27" s="3667"/>
      <c r="AI27" s="3667"/>
      <c r="AJ27" s="3667"/>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42" customFormat="1" ht="25.5" hidden="1" customHeight="1">
      <c r="A29" s="1290"/>
      <c r="B29" s="1290"/>
      <c r="C29" s="1290"/>
      <c r="D29" s="1290"/>
      <c r="E29" s="1290"/>
      <c r="F29" s="1290"/>
      <c r="G29" s="1290"/>
      <c r="H29" s="1290"/>
      <c r="I29" s="1290"/>
      <c r="J29" s="1290"/>
      <c r="K29" s="1290"/>
      <c r="L29" s="1291"/>
      <c r="M29" s="1290"/>
      <c r="N29" s="1290"/>
      <c r="O29" s="1290"/>
      <c r="S29"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729"/>
      <c r="U29" s="1294"/>
      <c r="V29" s="3730" t="str">
        <f>IF(TITLE_NAME_OR_PR_CHANGE="",IF(TITLE_NAME_OR_PR="","",TITLE_NAME_OR_PR),TITLE_NAME_OR_PR_CHANGE)</f>
        <v/>
      </c>
      <c r="W29" s="3730"/>
      <c r="X29" s="3730"/>
      <c r="Y29" s="3730"/>
      <c r="Z29" s="3730"/>
      <c r="AA29" s="3730"/>
      <c r="AB29" s="3730"/>
      <c r="AC29" s="261"/>
      <c r="AD29" s="3730" t="str">
        <f>IF(TITLE_NAME_OR_PR_CHANGE="",IF(TITLE_NAME_OR_PR="","",TITLE_NAME_OR_PR),TITLE_NAME_OR_PR_CHANGE)</f>
        <v/>
      </c>
      <c r="AE29" s="3730"/>
      <c r="AF29" s="3730"/>
      <c r="AG29" s="3730"/>
      <c r="AH29" s="3730"/>
      <c r="AI29" s="3730"/>
      <c r="AJ29" s="3730"/>
      <c r="AK29" s="261"/>
      <c r="AL29" s="261"/>
      <c r="AM29" s="215"/>
      <c r="AN29" s="302"/>
      <c r="AO29" s="302"/>
      <c r="AP29" s="302"/>
      <c r="AQ29" s="302"/>
      <c r="AR29" s="302"/>
      <c r="AS29" s="352">
        <v>0</v>
      </c>
    </row>
    <row r="30" spans="1:45" s="1742" customFormat="1" ht="18.75" hidden="1" customHeight="1">
      <c r="A30" s="1290"/>
      <c r="B30" s="1290"/>
      <c r="C30" s="1290"/>
      <c r="D30" s="1290"/>
      <c r="E30" s="1290"/>
      <c r="F30" s="1290"/>
      <c r="G30" s="1290"/>
      <c r="H30" s="1290"/>
      <c r="I30" s="1290"/>
      <c r="J30" s="1290"/>
      <c r="K30" s="1290"/>
      <c r="L30" s="1291"/>
      <c r="M30" s="1290"/>
      <c r="N30" s="1290"/>
      <c r="O30" s="1290"/>
      <c r="S30" s="3729" t="str">
        <f>"Дата документа об "&amp;IF(TITLE_DATE_PR_CHANGE="","утверждении","изменении")&amp;" тарифов"</f>
        <v>Дата документа об утверждении тарифов</v>
      </c>
      <c r="T30" s="3729"/>
      <c r="U30" s="1294"/>
      <c r="V30" s="3739" t="str">
        <f>IF(TITLE_DATE_PR_CHANGE="",IF(TITLE_DATE_PR="","",TITLE_DATE_PR),TITLE_DATE_PR_CHANGE)</f>
        <v/>
      </c>
      <c r="W30" s="3739"/>
      <c r="X30" s="3739"/>
      <c r="Y30" s="3739"/>
      <c r="Z30" s="3739"/>
      <c r="AA30" s="3739"/>
      <c r="AB30" s="3739"/>
      <c r="AC30" s="261"/>
      <c r="AD30" s="3739" t="str">
        <f>IF(TITLE_DATE_PR_CHANGE="",IF(TITLE_DATE_PR="","",TITLE_DATE_PR),TITLE_DATE_PR_CHANGE)</f>
        <v/>
      </c>
      <c r="AE30" s="3739"/>
      <c r="AF30" s="3739"/>
      <c r="AG30" s="3739"/>
      <c r="AH30" s="3739"/>
      <c r="AI30" s="3739"/>
      <c r="AJ30" s="3739"/>
      <c r="AK30" s="261"/>
      <c r="AL30" s="261"/>
      <c r="AM30" s="215"/>
      <c r="AN30" s="302"/>
      <c r="AO30" s="302"/>
      <c r="AP30" s="302"/>
      <c r="AQ30" s="302"/>
      <c r="AR30" s="302"/>
      <c r="AS30" s="352">
        <v>0</v>
      </c>
    </row>
    <row r="31" spans="1:45" s="1742" customFormat="1" ht="18.75" hidden="1" customHeight="1">
      <c r="A31" s="1290"/>
      <c r="B31" s="1290"/>
      <c r="C31" s="1290"/>
      <c r="D31" s="1290"/>
      <c r="E31" s="1290"/>
      <c r="F31" s="1290"/>
      <c r="G31" s="1290"/>
      <c r="H31" s="1290"/>
      <c r="I31" s="1290"/>
      <c r="J31" s="1290"/>
      <c r="K31" s="1290"/>
      <c r="L31" s="1291"/>
      <c r="M31" s="1290"/>
      <c r="N31" s="1290"/>
      <c r="O31" s="1290"/>
      <c r="S31" s="3729" t="str">
        <f>"Номер документа об "&amp;IF(TITLE_DATE_PR_CHANGE="","утверждении","изменении")&amp;" тарифов"</f>
        <v>Номер документа об утверждении тарифов</v>
      </c>
      <c r="T31" s="3729"/>
      <c r="U31" s="1294"/>
      <c r="V31" s="3730" t="str">
        <f>IF(TITLE_NUMBER_PR_CHANGE="",IF(TITLE_NUMBER_PR="","",TITLE_NUMBER_PR),TITLE_NUMBER_PR_CHANGE)</f>
        <v/>
      </c>
      <c r="W31" s="3730"/>
      <c r="X31" s="3730"/>
      <c r="Y31" s="3730"/>
      <c r="Z31" s="3730"/>
      <c r="AA31" s="3730"/>
      <c r="AB31" s="3730"/>
      <c r="AC31" s="261"/>
      <c r="AD31" s="3730" t="str">
        <f>IF(TITLE_NUMBER_PR_CHANGE="",IF(TITLE_NUMBER_PR="","",TITLE_NUMBER_PR),TITLE_NUMBER_PR_CHANGE)</f>
        <v/>
      </c>
      <c r="AE31" s="3730"/>
      <c r="AF31" s="3730"/>
      <c r="AG31" s="3730"/>
      <c r="AH31" s="3730"/>
      <c r="AI31" s="3730"/>
      <c r="AJ31" s="3730"/>
      <c r="AK31" s="261"/>
      <c r="AL31" s="261"/>
      <c r="AM31" s="215"/>
      <c r="AN31" s="302"/>
      <c r="AO31" s="302"/>
      <c r="AP31" s="302"/>
      <c r="AQ31" s="302"/>
      <c r="AR31" s="302"/>
      <c r="AS31" s="352">
        <v>0</v>
      </c>
    </row>
    <row r="32" spans="1:45" s="1742" customFormat="1" ht="18.75" hidden="1" customHeight="1">
      <c r="A32" s="1290"/>
      <c r="B32" s="1290"/>
      <c r="C32" s="1290"/>
      <c r="D32" s="1290"/>
      <c r="E32" s="1290"/>
      <c r="F32" s="1290"/>
      <c r="G32" s="1290"/>
      <c r="H32" s="1290"/>
      <c r="I32" s="1290"/>
      <c r="J32" s="1290"/>
      <c r="K32" s="1290"/>
      <c r="L32" s="1291"/>
      <c r="M32" s="1290"/>
      <c r="N32" s="1290"/>
      <c r="O32" s="1290"/>
      <c r="S32" s="3729" t="s">
        <v>30</v>
      </c>
      <c r="T32" s="3729"/>
      <c r="U32" s="1294"/>
      <c r="V32" s="3730" t="str">
        <f>IF(TITLE_IST_PUB_CHANGE="",IF(TITLE_IST_PUB="","",TITLE_IST_PUB),TITLE_IST_PUB_CHANGE)</f>
        <v/>
      </c>
      <c r="W32" s="3730"/>
      <c r="X32" s="3730"/>
      <c r="Y32" s="3730"/>
      <c r="Z32" s="3730"/>
      <c r="AA32" s="3730"/>
      <c r="AB32" s="3730"/>
      <c r="AC32" s="261"/>
      <c r="AD32" s="3730" t="str">
        <f>IF(TITLE_IST_PUB_CHANGE="",IF(TITLE_IST_PUB="","",TITLE_IST_PUB),TITLE_IST_PUB_CHANGE)</f>
        <v/>
      </c>
      <c r="AE32" s="3730"/>
      <c r="AF32" s="3730"/>
      <c r="AG32" s="3730"/>
      <c r="AH32" s="3730"/>
      <c r="AI32" s="3730"/>
      <c r="AJ32" s="3730"/>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42" customFormat="1" ht="18.75" hidden="1" customHeight="1">
      <c r="A34" s="1290"/>
      <c r="B34" s="1290"/>
      <c r="C34" s="1290"/>
      <c r="D34" s="1290"/>
      <c r="E34" s="1290"/>
      <c r="F34" s="1290"/>
      <c r="G34" s="1290"/>
      <c r="H34" s="1290"/>
      <c r="I34" s="1290"/>
      <c r="J34" s="1290"/>
      <c r="K34" s="1290"/>
      <c r="L34" s="1291"/>
      <c r="M34" s="1290"/>
      <c r="N34" s="1290"/>
      <c r="O34" s="1290"/>
      <c r="S34" s="3729" t="str">
        <f>"Дата подачи заявления об "&amp;IF(TITLE_DATE_PR_CHANGE="","утверждении","изменении")&amp;" тарифов"</f>
        <v>Дата подачи заявления об утверждении тарифов</v>
      </c>
      <c r="T34" s="3729"/>
      <c r="U34" s="1294"/>
      <c r="V34" s="3739" t="str">
        <f>IF(TITLE_DATE_PR_CHANGE="",IF(TITLE_DATE_PR="","",TITLE_DATE_PR),TITLE_DATE_PR_CHANGE)</f>
        <v/>
      </c>
      <c r="W34" s="3739"/>
      <c r="X34" s="3739"/>
      <c r="Y34" s="3739"/>
      <c r="Z34" s="3739"/>
      <c r="AA34" s="3739"/>
      <c r="AB34" s="3739"/>
      <c r="AC34" s="261"/>
      <c r="AD34" s="3739" t="str">
        <f>IF(TITLE_DATE_PR_CHANGE="",IF(TITLE_DATE_PR="","",TITLE_DATE_PR),TITLE_DATE_PR_CHANGE)</f>
        <v/>
      </c>
      <c r="AE34" s="3739"/>
      <c r="AF34" s="3739"/>
      <c r="AG34" s="3739"/>
      <c r="AH34" s="3739"/>
      <c r="AI34" s="3739"/>
      <c r="AJ34" s="3739"/>
      <c r="AK34" s="261"/>
      <c r="AL34" s="261"/>
      <c r="AM34" s="215"/>
      <c r="AN34" s="302"/>
      <c r="AO34" s="302"/>
      <c r="AP34" s="302"/>
      <c r="AQ34" s="302"/>
      <c r="AR34" s="302"/>
      <c r="AS34" s="352">
        <v>0</v>
      </c>
    </row>
    <row r="35" spans="1:45" s="1742" customFormat="1" ht="25.5" hidden="1" customHeight="1">
      <c r="A35" s="1290"/>
      <c r="B35" s="1290"/>
      <c r="C35" s="1290"/>
      <c r="D35" s="1290"/>
      <c r="E35" s="1290"/>
      <c r="F35" s="1290"/>
      <c r="G35" s="1290"/>
      <c r="H35" s="1290"/>
      <c r="I35" s="1290"/>
      <c r="J35" s="1290"/>
      <c r="K35" s="1290"/>
      <c r="L35" s="1291"/>
      <c r="M35" s="1290"/>
      <c r="N35" s="1290"/>
      <c r="O35" s="1290"/>
      <c r="S35" s="3729" t="str">
        <f>"Номер подачи заявления об "&amp;IF(TITLE_DATE_PR_CHANGE="","утверждении","изменении")&amp;" тарифов"</f>
        <v>Номер подачи заявления об утверждении тарифов</v>
      </c>
      <c r="T35" s="3729"/>
      <c r="U35" s="1294"/>
      <c r="V35" s="3730" t="str">
        <f>IF(TITLE_NUMBER_PR_CHANGE="",IF(TITLE_NUMBER_PR="","",TITLE_NUMBER_PR),TITLE_NUMBER_PR_CHANGE)</f>
        <v/>
      </c>
      <c r="W35" s="3730"/>
      <c r="X35" s="3730"/>
      <c r="Y35" s="3730"/>
      <c r="Z35" s="3730"/>
      <c r="AA35" s="3730"/>
      <c r="AB35" s="3730"/>
      <c r="AC35" s="261"/>
      <c r="AD35" s="3730" t="str">
        <f>IF(TITLE_NUMBER_PR_CHANGE="",IF(TITLE_NUMBER_PR="","",TITLE_NUMBER_PR),TITLE_NUMBER_PR_CHANGE)</f>
        <v/>
      </c>
      <c r="AE35" s="3730"/>
      <c r="AF35" s="3730"/>
      <c r="AG35" s="3730"/>
      <c r="AH35" s="3730"/>
      <c r="AI35" s="3730"/>
      <c r="AJ35" s="3730"/>
      <c r="AK35" s="261"/>
      <c r="AL35" s="261"/>
      <c r="AM35" s="215"/>
      <c r="AN35" s="302"/>
      <c r="AO35" s="302"/>
      <c r="AP35" s="302"/>
      <c r="AQ35" s="302"/>
      <c r="AR35" s="302"/>
      <c r="AS35" s="352">
        <v>0</v>
      </c>
    </row>
    <row r="36" spans="1:45" s="1742"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468</v>
      </c>
      <c r="AD36" s="261"/>
      <c r="AE36" s="261"/>
      <c r="AF36" s="261"/>
      <c r="AG36" s="261"/>
      <c r="AH36" s="261"/>
      <c r="AI36" s="261"/>
      <c r="AJ36" s="261"/>
      <c r="AK36" s="213" t="s">
        <v>468</v>
      </c>
      <c r="AN36" s="302"/>
      <c r="AO36" s="302"/>
      <c r="AP36" s="302"/>
      <c r="AQ36" s="302"/>
      <c r="AR36" s="302"/>
      <c r="AS36" s="352">
        <v>0</v>
      </c>
    </row>
    <row r="37" spans="1:45" ht="14.65" customHeight="1">
      <c r="Q37" s="310"/>
      <c r="R37" s="310"/>
      <c r="S37" s="1197"/>
      <c r="T37" s="297"/>
      <c r="U37" s="1166"/>
      <c r="V37" s="3731"/>
      <c r="W37" s="3731"/>
      <c r="X37" s="3731"/>
      <c r="Y37" s="3731"/>
      <c r="Z37" s="3731"/>
      <c r="AA37" s="3731"/>
      <c r="AB37" s="3731"/>
      <c r="AC37" s="3731"/>
      <c r="AD37" s="3731"/>
      <c r="AE37" s="3731"/>
      <c r="AF37" s="3731"/>
      <c r="AG37" s="3731"/>
      <c r="AH37" s="3731"/>
      <c r="AI37" s="3731"/>
      <c r="AJ37" s="3731"/>
      <c r="AK37" s="3731"/>
      <c r="AS37" s="1077">
        <v>14</v>
      </c>
    </row>
    <row r="38" spans="1:45" ht="14.65" customHeight="1">
      <c r="Q38" s="310"/>
      <c r="R38" s="310"/>
      <c r="S38" s="3618" t="s">
        <v>345</v>
      </c>
      <c r="T38" s="3618"/>
      <c r="U38" s="3618"/>
      <c r="V38" s="3618"/>
      <c r="W38" s="3618"/>
      <c r="X38" s="3618"/>
      <c r="Y38" s="3618"/>
      <c r="Z38" s="3618"/>
      <c r="AA38" s="3618"/>
      <c r="AB38" s="3618"/>
      <c r="AC38" s="3618"/>
      <c r="AD38" s="3618"/>
      <c r="AE38" s="3618"/>
      <c r="AF38" s="3618"/>
      <c r="AG38" s="3618"/>
      <c r="AH38" s="3618"/>
      <c r="AI38" s="3618"/>
      <c r="AJ38" s="3618"/>
      <c r="AK38" s="3618"/>
      <c r="AL38" s="3618"/>
      <c r="AM38" s="3618" t="s">
        <v>346</v>
      </c>
      <c r="AS38" s="1077">
        <v>14</v>
      </c>
    </row>
    <row r="39" spans="1:45" ht="14.65" customHeight="1">
      <c r="Q39" s="310"/>
      <c r="R39" s="310"/>
      <c r="S39" s="3745" t="s">
        <v>76</v>
      </c>
      <c r="T39" s="3697" t="s">
        <v>469</v>
      </c>
      <c r="U39" s="236"/>
      <c r="V39" s="3746" t="s">
        <v>470</v>
      </c>
      <c r="W39" s="3747"/>
      <c r="X39" s="3747"/>
      <c r="Y39" s="3747"/>
      <c r="Z39" s="3747"/>
      <c r="AA39" s="3747"/>
      <c r="AB39" s="3748"/>
      <c r="AC39" s="3749" t="s">
        <v>471</v>
      </c>
      <c r="AD39" s="3746" t="s">
        <v>470</v>
      </c>
      <c r="AE39" s="3747"/>
      <c r="AF39" s="3747"/>
      <c r="AG39" s="3747"/>
      <c r="AH39" s="3747"/>
      <c r="AI39" s="3747"/>
      <c r="AJ39" s="3748"/>
      <c r="AK39" s="3749" t="s">
        <v>472</v>
      </c>
      <c r="AL39" s="3752" t="s">
        <v>473</v>
      </c>
      <c r="AM39" s="3618"/>
      <c r="AS39" s="1077">
        <v>14</v>
      </c>
    </row>
    <row r="40" spans="1:45" ht="35.65" customHeight="1">
      <c r="Q40" s="310"/>
      <c r="R40" s="310"/>
      <c r="S40" s="3745"/>
      <c r="T40" s="3697"/>
      <c r="U40" s="957"/>
      <c r="V40" s="3666" t="s">
        <v>474</v>
      </c>
      <c r="W40" s="3755"/>
      <c r="X40" s="3589" t="s">
        <v>476</v>
      </c>
      <c r="Y40" s="3588"/>
      <c r="Z40" s="3589" t="s">
        <v>477</v>
      </c>
      <c r="AA40" s="3595"/>
      <c r="AB40" s="3588"/>
      <c r="AC40" s="3750"/>
      <c r="AD40" s="3666" t="s">
        <v>491</v>
      </c>
      <c r="AE40" s="3755"/>
      <c r="AF40" s="3589" t="s">
        <v>476</v>
      </c>
      <c r="AG40" s="3588"/>
      <c r="AH40" s="3589" t="s">
        <v>477</v>
      </c>
      <c r="AI40" s="3595"/>
      <c r="AJ40" s="3588"/>
      <c r="AK40" s="3750"/>
      <c r="AL40" s="3753"/>
      <c r="AM40" s="3618"/>
      <c r="AS40" s="1077">
        <v>34</v>
      </c>
    </row>
    <row r="41" spans="1:45" ht="35.65" customHeight="1">
      <c r="A41" s="1292"/>
      <c r="B41" s="1292" t="s">
        <v>188</v>
      </c>
      <c r="C41" s="1292" t="s">
        <v>189</v>
      </c>
      <c r="D41" s="1292" t="s">
        <v>190</v>
      </c>
      <c r="E41" s="1286" t="s">
        <v>478</v>
      </c>
      <c r="F41" s="1286" t="s">
        <v>479</v>
      </c>
      <c r="G41" s="1286" t="s">
        <v>480</v>
      </c>
      <c r="H41" s="1286" t="s">
        <v>481</v>
      </c>
      <c r="I41" s="1286" t="s">
        <v>482</v>
      </c>
      <c r="J41" s="1286" t="s">
        <v>483</v>
      </c>
      <c r="K41" s="1286" t="s">
        <v>484</v>
      </c>
      <c r="L41" s="1286" t="s">
        <v>463</v>
      </c>
      <c r="Q41" s="310"/>
      <c r="R41" s="310"/>
      <c r="S41" s="3745"/>
      <c r="T41" s="3697"/>
      <c r="U41" s="237"/>
      <c r="V41" s="3716"/>
      <c r="W41" s="3756"/>
      <c r="X41" s="1144" t="s">
        <v>485</v>
      </c>
      <c r="Y41" s="1144" t="s">
        <v>486</v>
      </c>
      <c r="Z41" s="1260" t="s">
        <v>487</v>
      </c>
      <c r="AA41" s="3705" t="s">
        <v>488</v>
      </c>
      <c r="AB41" s="3707"/>
      <c r="AC41" s="3751"/>
      <c r="AD41" s="3716"/>
      <c r="AE41" s="3756"/>
      <c r="AF41" s="1144" t="s">
        <v>485</v>
      </c>
      <c r="AG41" s="1144" t="s">
        <v>486</v>
      </c>
      <c r="AH41" s="1260" t="s">
        <v>487</v>
      </c>
      <c r="AI41" s="3705" t="s">
        <v>488</v>
      </c>
      <c r="AJ41" s="3707"/>
      <c r="AK41" s="3751"/>
      <c r="AL41" s="3754"/>
      <c r="AM41" s="361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164</v>
      </c>
      <c r="T42" s="1177" t="s">
        <v>89</v>
      </c>
      <c r="U42" s="1167" t="str">
        <f ca="1">OFFSET(U42,0,-1)</f>
        <v>2</v>
      </c>
      <c r="V42" s="1257">
        <f ca="1">OFFSET(V42,0,-1)+1</f>
        <v>3</v>
      </c>
      <c r="W42" s="1257"/>
      <c r="X42" s="1257">
        <f ca="1">OFFSET(X42,0,-1)+1</f>
        <v>1</v>
      </c>
      <c r="Y42" s="1257">
        <f ca="1">OFFSET(Y42,0,-1)+1</f>
        <v>2</v>
      </c>
      <c r="Z42" s="1257">
        <f ca="1">OFFSET(Z42,0,-1)+1</f>
        <v>3</v>
      </c>
      <c r="AA42" s="3744">
        <f ca="1">OFFSET(AA42,0,-1)+1</f>
        <v>4</v>
      </c>
      <c r="AB42" s="3744"/>
      <c r="AC42" s="1257">
        <f ca="1">OFFSET(AC42,0,-2)+1</f>
        <v>5</v>
      </c>
      <c r="AD42" s="1257">
        <f ca="1">OFFSET(AD42,0,-1)+1</f>
        <v>6</v>
      </c>
      <c r="AE42" s="1257"/>
      <c r="AF42" s="1257">
        <f ca="1">OFFSET(AF42,0,-1)+1</f>
        <v>1</v>
      </c>
      <c r="AG42" s="1257">
        <f ca="1">OFFSET(AG42,0,-1)+1</f>
        <v>2</v>
      </c>
      <c r="AH42" s="1257">
        <f ca="1">OFFSET(AH42,0,-1)+1</f>
        <v>3</v>
      </c>
      <c r="AI42" s="3744">
        <f ca="1">OFFSET(AI42,0,-1)+1</f>
        <v>4</v>
      </c>
      <c r="AJ42" s="3744"/>
      <c r="AK42" s="1257">
        <f ca="1">OFFSET(AK42,0,-2)+1</f>
        <v>5</v>
      </c>
      <c r="AL42" s="1167">
        <f ca="1">OFFSET(AL42,0,-1)</f>
        <v>5</v>
      </c>
      <c r="AM42" s="1257">
        <f ca="1">OFFSET(AM42,0,-1)+1</f>
        <v>6</v>
      </c>
      <c r="AN42" s="445"/>
      <c r="AO42" s="445"/>
      <c r="AP42" s="445"/>
      <c r="AQ42" s="445"/>
      <c r="AR42" s="445"/>
      <c r="AS42" s="430">
        <v>0</v>
      </c>
    </row>
    <row r="43" spans="1:45" ht="21.95" customHeight="1">
      <c r="A43" s="1285" t="s">
        <v>233</v>
      </c>
      <c r="B43" s="1285"/>
      <c r="C43" s="1285"/>
      <c r="D43" s="1285"/>
      <c r="E43" s="3737">
        <v>1</v>
      </c>
      <c r="F43" s="1285"/>
      <c r="G43" s="1285"/>
      <c r="H43" s="1285"/>
      <c r="I43" s="1285"/>
      <c r="J43" s="1285"/>
      <c r="K43" s="1285"/>
      <c r="L43" s="1286"/>
      <c r="M43" s="1287"/>
      <c r="N43" s="1287"/>
      <c r="O43" s="1287"/>
      <c r="P43" s="295"/>
      <c r="Q43" s="294"/>
      <c r="R43" s="289"/>
      <c r="S43" s="1258">
        <f>INDEX(PT_DIFFERENTIATION_NUM_NTAR,MATCH(A43,PT_DIFFERENTIATION_NTAR_ID,0))</f>
        <v>0</v>
      </c>
      <c r="T43" s="233" t="s">
        <v>176</v>
      </c>
      <c r="U43" s="235"/>
      <c r="V43" s="3723"/>
      <c r="W43" s="3724"/>
      <c r="X43" s="3724"/>
      <c r="Y43" s="3724"/>
      <c r="Z43" s="3724"/>
      <c r="AA43" s="3724"/>
      <c r="AB43" s="3724"/>
      <c r="AC43" s="3725"/>
      <c r="AD43" s="3723" t="str">
        <f>INDEX(PT_DIFFERENTIATION_NTAR,MATCH(A43,PT_DIFFERENTIATION_NTAR_ID,0))</f>
        <v/>
      </c>
      <c r="AE43" s="3724"/>
      <c r="AF43" s="3724"/>
      <c r="AG43" s="3724"/>
      <c r="AH43" s="3724"/>
      <c r="AI43" s="3724"/>
      <c r="AJ43" s="3724"/>
      <c r="AK43" s="3724"/>
      <c r="AL43" s="3725"/>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233</v>
      </c>
      <c r="B44" s="1285" t="s">
        <v>234</v>
      </c>
      <c r="C44" s="1285"/>
      <c r="D44" s="1285"/>
      <c r="E44" s="3738"/>
      <c r="F44" s="3737">
        <v>1</v>
      </c>
      <c r="G44" s="1285"/>
      <c r="H44" s="1285"/>
      <c r="I44" s="1285"/>
      <c r="J44" s="1285"/>
      <c r="K44" s="1285"/>
      <c r="L44" s="1286"/>
      <c r="M44" s="1287"/>
      <c r="N44" s="1287"/>
      <c r="O44" s="1287"/>
      <c r="P44" s="1254"/>
      <c r="Q44" s="286"/>
      <c r="R44" s="287"/>
      <c r="S44" s="1258" t="str">
        <f>INDEX(PT_DIFFERENTIATION_NUM_TER,MATCH(B44,PT_DIFFERENTIATION_TER_ID,0))</f>
        <v>.</v>
      </c>
      <c r="T44" s="243" t="s">
        <v>442</v>
      </c>
      <c r="U44" s="235"/>
      <c r="V44" s="3723"/>
      <c r="W44" s="3724"/>
      <c r="X44" s="3724"/>
      <c r="Y44" s="3724"/>
      <c r="Z44" s="3724"/>
      <c r="AA44" s="3724"/>
      <c r="AB44" s="3724"/>
      <c r="AC44" s="3725"/>
      <c r="AD44" s="3723" t="str">
        <f>INDEX(PT_DIFFERENTIATION_TER,MATCH(B44,PT_DIFFERENTIATION_TER_ID,0))</f>
        <v/>
      </c>
      <c r="AE44" s="3724"/>
      <c r="AF44" s="3724"/>
      <c r="AG44" s="3724"/>
      <c r="AH44" s="3724"/>
      <c r="AI44" s="3724"/>
      <c r="AJ44" s="3724"/>
      <c r="AK44" s="3724"/>
      <c r="AL44" s="3725"/>
      <c r="AM44" s="1180" t="s">
        <v>443</v>
      </c>
      <c r="AO44" s="434"/>
      <c r="AP44" s="434" t="str">
        <f t="shared" si="1"/>
        <v>Территория действия тарифа</v>
      </c>
      <c r="AQ44" s="434"/>
      <c r="AR44" s="434"/>
      <c r="AS44" s="1077">
        <v>21</v>
      </c>
    </row>
    <row r="45" spans="1:45" ht="24" customHeight="1">
      <c r="A45" s="1285" t="s">
        <v>233</v>
      </c>
      <c r="B45" s="1285" t="s">
        <v>234</v>
      </c>
      <c r="C45" s="1285" t="s">
        <v>235</v>
      </c>
      <c r="D45" s="1285"/>
      <c r="E45" s="3738"/>
      <c r="F45" s="3738"/>
      <c r="G45" s="3737">
        <v>1</v>
      </c>
      <c r="H45" s="1285"/>
      <c r="I45" s="1285"/>
      <c r="J45" s="1285"/>
      <c r="K45" s="1285"/>
      <c r="L45" s="1286"/>
      <c r="M45" s="1287"/>
      <c r="N45" s="1287"/>
      <c r="O45" s="1287"/>
      <c r="P45" s="288"/>
      <c r="Q45" s="286"/>
      <c r="R45" s="287"/>
      <c r="S45" s="1258" t="str">
        <f>INDEX(PT_DIFFERENTIATION_NUM_CS,MATCH(C45,PT_DIFFERENTIATION_CS_ID,0))</f>
        <v>..</v>
      </c>
      <c r="T45" s="244" t="s">
        <v>444</v>
      </c>
      <c r="U45" s="235"/>
      <c r="V45" s="3723"/>
      <c r="W45" s="3724"/>
      <c r="X45" s="3724"/>
      <c r="Y45" s="3724"/>
      <c r="Z45" s="3724"/>
      <c r="AA45" s="3724"/>
      <c r="AB45" s="3724"/>
      <c r="AC45" s="3725"/>
      <c r="AD45" s="3723" t="str">
        <f>INDEX(PT_DIFFERENTIATION_CS,MATCH(C45,PT_DIFFERENTIATION_CS_ID,0))</f>
        <v/>
      </c>
      <c r="AE45" s="3724"/>
      <c r="AF45" s="3724"/>
      <c r="AG45" s="3724"/>
      <c r="AH45" s="3724"/>
      <c r="AI45" s="3724"/>
      <c r="AJ45" s="3724"/>
      <c r="AK45" s="3724"/>
      <c r="AL45" s="3725"/>
      <c r="AM45" s="1180" t="s">
        <v>445</v>
      </c>
      <c r="AO45" s="434"/>
      <c r="AP45" s="434" t="str">
        <f t="shared" si="1"/>
        <v xml:space="preserve">Наименование системы теплоснабжения </v>
      </c>
      <c r="AQ45" s="434"/>
      <c r="AR45" s="434"/>
      <c r="AS45" s="1077">
        <v>23</v>
      </c>
    </row>
    <row r="46" spans="1:45" ht="21.95" customHeight="1">
      <c r="A46" s="1285" t="s">
        <v>233</v>
      </c>
      <c r="B46" s="1285" t="s">
        <v>234</v>
      </c>
      <c r="C46" s="1285" t="s">
        <v>235</v>
      </c>
      <c r="D46" s="1285" t="s">
        <v>236</v>
      </c>
      <c r="E46" s="3738"/>
      <c r="F46" s="3738"/>
      <c r="G46" s="3738"/>
      <c r="H46" s="3737">
        <v>1</v>
      </c>
      <c r="I46" s="1285"/>
      <c r="J46" s="1285"/>
      <c r="K46" s="1285"/>
      <c r="L46" s="1286"/>
      <c r="M46" s="1287"/>
      <c r="N46" s="1287"/>
      <c r="O46" s="1287"/>
      <c r="P46" s="288"/>
      <c r="Q46" s="286"/>
      <c r="R46" s="287"/>
      <c r="S46" s="1258" t="str">
        <f>INDEX(PT_DIFFERENTIATION_NUM_IST_TE,MATCH(D46,PT_DIFFERENTIATION_IST_TE_ID,0))</f>
        <v>...</v>
      </c>
      <c r="T46" s="245" t="s">
        <v>446</v>
      </c>
      <c r="U46" s="235"/>
      <c r="V46" s="3723"/>
      <c r="W46" s="3724"/>
      <c r="X46" s="3724"/>
      <c r="Y46" s="3724"/>
      <c r="Z46" s="3724"/>
      <c r="AA46" s="3724"/>
      <c r="AB46" s="3724"/>
      <c r="AC46" s="3725"/>
      <c r="AD46" s="3723" t="str">
        <f>INDEX(PT_DIFFERENTIATION_IST_TE,MATCH(D46,PT_DIFFERENTIATION_IST_TE_ID,0))</f>
        <v/>
      </c>
      <c r="AE46" s="3724"/>
      <c r="AF46" s="3724"/>
      <c r="AG46" s="3724"/>
      <c r="AH46" s="3724"/>
      <c r="AI46" s="3724"/>
      <c r="AJ46" s="3724"/>
      <c r="AK46" s="3724"/>
      <c r="AL46" s="3725"/>
      <c r="AM46" s="1180" t="s">
        <v>447</v>
      </c>
      <c r="AO46" s="434"/>
      <c r="AP46" s="434" t="str">
        <f t="shared" si="1"/>
        <v xml:space="preserve">Источник тепловой энергии  </v>
      </c>
      <c r="AQ46" s="434"/>
      <c r="AR46" s="434"/>
      <c r="AS46" s="1077">
        <v>21</v>
      </c>
    </row>
    <row r="47" spans="1:45" s="1564" customFormat="1" ht="0" hidden="1" customHeight="1">
      <c r="A47" s="1265" t="s">
        <v>233</v>
      </c>
      <c r="B47" s="1265" t="s">
        <v>234</v>
      </c>
      <c r="C47" s="1265" t="s">
        <v>235</v>
      </c>
      <c r="D47" s="1265" t="s">
        <v>236</v>
      </c>
      <c r="E47" s="3738"/>
      <c r="F47" s="3738"/>
      <c r="G47" s="3738"/>
      <c r="H47" s="3738"/>
      <c r="I47" s="3735" t="str">
        <f>S46&amp;".1"</f>
        <v>....1</v>
      </c>
      <c r="J47" s="1265"/>
      <c r="K47" s="1265"/>
      <c r="L47" s="1268" t="s">
        <v>448</v>
      </c>
      <c r="M47" s="444"/>
      <c r="N47" s="444"/>
      <c r="O47" s="444"/>
      <c r="P47" s="3736">
        <v>1</v>
      </c>
      <c r="Q47" s="1253"/>
      <c r="R47" s="290"/>
      <c r="S47" s="968"/>
      <c r="T47" s="1305"/>
      <c r="U47" s="1306"/>
      <c r="V47" s="3766"/>
      <c r="W47" s="3767"/>
      <c r="X47" s="3767"/>
      <c r="Y47" s="3767"/>
      <c r="Z47" s="3767"/>
      <c r="AA47" s="3767"/>
      <c r="AB47" s="3767"/>
      <c r="AC47" s="3768"/>
      <c r="AD47" s="3766"/>
      <c r="AE47" s="3767"/>
      <c r="AF47" s="3767"/>
      <c r="AG47" s="3767"/>
      <c r="AH47" s="3767"/>
      <c r="AI47" s="3767"/>
      <c r="AJ47" s="3767"/>
      <c r="AK47" s="3767"/>
      <c r="AL47" s="3768"/>
      <c r="AM47" s="1307"/>
      <c r="AO47" s="434"/>
      <c r="AP47" s="434" t="str">
        <f t="shared" si="1"/>
        <v/>
      </c>
      <c r="AQ47" s="434"/>
      <c r="AR47" s="434"/>
      <c r="AS47" s="445">
        <v>0</v>
      </c>
    </row>
    <row r="48" spans="1:45" ht="21.95" customHeight="1">
      <c r="A48" s="1285" t="s">
        <v>233</v>
      </c>
      <c r="B48" s="1285" t="s">
        <v>234</v>
      </c>
      <c r="C48" s="1285" t="s">
        <v>235</v>
      </c>
      <c r="D48" s="1285" t="s">
        <v>236</v>
      </c>
      <c r="E48" s="3738"/>
      <c r="F48" s="3738"/>
      <c r="G48" s="3738"/>
      <c r="H48" s="3738"/>
      <c r="I48" s="3758"/>
      <c r="J48" s="3735" t="str">
        <f>S46&amp;".1"</f>
        <v>....1</v>
      </c>
      <c r="K48" s="1285"/>
      <c r="L48" s="1286" t="s">
        <v>451</v>
      </c>
      <c r="P48" s="3736"/>
      <c r="Q48" s="3736">
        <v>1</v>
      </c>
      <c r="R48" s="291"/>
      <c r="S48" s="1258" t="str">
        <f>$J48</f>
        <v>....1</v>
      </c>
      <c r="T48" s="221" t="s">
        <v>452</v>
      </c>
      <c r="U48" s="235"/>
      <c r="V48" s="3726"/>
      <c r="W48" s="3727"/>
      <c r="X48" s="3727"/>
      <c r="Y48" s="3727"/>
      <c r="Z48" s="3727"/>
      <c r="AA48" s="3727"/>
      <c r="AB48" s="3727"/>
      <c r="AC48" s="3728"/>
      <c r="AD48" s="3726"/>
      <c r="AE48" s="3727"/>
      <c r="AF48" s="3727"/>
      <c r="AG48" s="3727"/>
      <c r="AH48" s="3727"/>
      <c r="AI48" s="3727"/>
      <c r="AJ48" s="3727"/>
      <c r="AK48" s="3727"/>
      <c r="AL48" s="3728"/>
      <c r="AM48" s="1180" t="s">
        <v>453</v>
      </c>
      <c r="AO48" s="434"/>
      <c r="AP48" s="434" t="str">
        <f t="shared" si="1"/>
        <v>Группа потребителей</v>
      </c>
      <c r="AQ48" s="434"/>
      <c r="AR48" s="434"/>
      <c r="AS48" s="1077">
        <v>21</v>
      </c>
    </row>
    <row r="49" spans="1:45" ht="21.95" customHeight="1">
      <c r="A49" s="1285" t="s">
        <v>233</v>
      </c>
      <c r="B49" s="1285" t="s">
        <v>234</v>
      </c>
      <c r="C49" s="1285" t="s">
        <v>235</v>
      </c>
      <c r="D49" s="1285" t="s">
        <v>236</v>
      </c>
      <c r="E49" s="3738"/>
      <c r="F49" s="3738"/>
      <c r="G49" s="3738"/>
      <c r="H49" s="3738"/>
      <c r="I49" s="3758"/>
      <c r="J49" s="3758"/>
      <c r="K49" s="3735" t="str">
        <f>J48&amp;".1"</f>
        <v>....1.1</v>
      </c>
      <c r="L49" s="1286" t="s">
        <v>454</v>
      </c>
      <c r="P49" s="3736"/>
      <c r="Q49" s="3736"/>
      <c r="R49" s="291">
        <v>1</v>
      </c>
      <c r="S49" s="1258" t="str">
        <f>$K49</f>
        <v>....1.1</v>
      </c>
      <c r="T49" s="1269"/>
      <c r="U49" s="235"/>
      <c r="V49" s="685"/>
      <c r="W49" s="260"/>
      <c r="X49" s="685"/>
      <c r="Y49" s="1179"/>
      <c r="Z49" s="3740"/>
      <c r="AA49" s="3599" t="s">
        <v>50</v>
      </c>
      <c r="AB49" s="3740"/>
      <c r="AC49" s="3599" t="s">
        <v>50</v>
      </c>
      <c r="AD49" s="685"/>
      <c r="AE49" s="260"/>
      <c r="AF49" s="685"/>
      <c r="AG49" s="1179"/>
      <c r="AH49" s="3740"/>
      <c r="AI49" s="3599" t="s">
        <v>50</v>
      </c>
      <c r="AJ49" s="3759"/>
      <c r="AK49" s="3599" t="s">
        <v>50</v>
      </c>
      <c r="AL49" s="1270"/>
      <c r="AM49" s="3732" t="s">
        <v>492</v>
      </c>
      <c r="AN49" s="445" t="e">
        <f ca="1">STRCHECKDATE(V50:AL50)</f>
        <v>#NAME?</v>
      </c>
      <c r="AO49" s="434"/>
      <c r="AP49" s="434" t="str">
        <f t="shared" si="1"/>
        <v/>
      </c>
      <c r="AQ49" s="434"/>
      <c r="AR49" s="434"/>
      <c r="AS49" s="1077">
        <v>21</v>
      </c>
    </row>
    <row r="50" spans="1:45" ht="0" hidden="1" customHeight="1">
      <c r="A50" s="1285" t="s">
        <v>233</v>
      </c>
      <c r="B50" s="1285" t="s">
        <v>234</v>
      </c>
      <c r="C50" s="1285" t="s">
        <v>235</v>
      </c>
      <c r="D50" s="1285" t="s">
        <v>236</v>
      </c>
      <c r="E50" s="3738"/>
      <c r="F50" s="3738"/>
      <c r="G50" s="3738"/>
      <c r="H50" s="3738"/>
      <c r="I50" s="3758"/>
      <c r="J50" s="3758"/>
      <c r="K50" s="3735"/>
      <c r="L50" s="1286"/>
      <c r="P50" s="3736"/>
      <c r="Q50" s="3736"/>
      <c r="R50" s="291"/>
      <c r="S50" s="1264"/>
      <c r="T50" s="235"/>
      <c r="U50" s="235"/>
      <c r="V50" s="260"/>
      <c r="W50" s="260"/>
      <c r="X50" s="260"/>
      <c r="Y50" s="263" t="str">
        <f>Z49&amp;"-"&amp;AB49</f>
        <v>-</v>
      </c>
      <c r="Z50" s="3741"/>
      <c r="AA50" s="3599"/>
      <c r="AB50" s="3741"/>
      <c r="AC50" s="3599"/>
      <c r="AD50" s="260"/>
      <c r="AE50" s="260"/>
      <c r="AF50" s="260"/>
      <c r="AG50" s="263" t="str">
        <f>AH49&amp;"-"&amp;AJ49</f>
        <v>-</v>
      </c>
      <c r="AH50" s="3741"/>
      <c r="AI50" s="3599"/>
      <c r="AJ50" s="3760"/>
      <c r="AK50" s="3599"/>
      <c r="AL50" s="1271"/>
      <c r="AM50" s="3733"/>
      <c r="AO50" s="434"/>
      <c r="AP50" s="434" t="str">
        <f t="shared" si="1"/>
        <v/>
      </c>
      <c r="AQ50" s="434"/>
      <c r="AR50" s="434"/>
      <c r="AS50" s="1077">
        <v>0</v>
      </c>
    </row>
    <row r="51" spans="1:45" ht="11.45" customHeight="1">
      <c r="A51" s="1285" t="s">
        <v>233</v>
      </c>
      <c r="B51" s="1285" t="s">
        <v>234</v>
      </c>
      <c r="C51" s="1285" t="s">
        <v>235</v>
      </c>
      <c r="D51" s="1285" t="s">
        <v>236</v>
      </c>
      <c r="E51" s="3738"/>
      <c r="F51" s="3738"/>
      <c r="G51" s="3738"/>
      <c r="H51" s="3738"/>
      <c r="I51" s="3758"/>
      <c r="J51" s="3735"/>
      <c r="K51" s="1285"/>
      <c r="L51" s="1286"/>
      <c r="P51" s="3736"/>
      <c r="Q51" s="3736"/>
      <c r="R51" s="290"/>
      <c r="S51" s="1200"/>
      <c r="T51" s="222" t="s">
        <v>456</v>
      </c>
      <c r="U51" s="301"/>
      <c r="V51" s="301"/>
      <c r="W51" s="301"/>
      <c r="X51" s="301"/>
      <c r="Y51" s="301"/>
      <c r="Z51" s="301"/>
      <c r="AA51" s="301"/>
      <c r="AB51" s="301"/>
      <c r="AC51" s="301"/>
      <c r="AD51" s="301"/>
      <c r="AE51" s="301"/>
      <c r="AF51" s="301"/>
      <c r="AG51" s="301"/>
      <c r="AH51" s="301"/>
      <c r="AI51" s="301"/>
      <c r="AJ51" s="301"/>
      <c r="AK51" s="301"/>
      <c r="AL51" s="259"/>
      <c r="AM51" s="3734"/>
      <c r="AO51" s="434"/>
      <c r="AP51" s="434" t="str">
        <f t="shared" si="1"/>
        <v>Добавить вид теплоносителя (параметры теплоносителя)</v>
      </c>
      <c r="AQ51" s="434"/>
      <c r="AR51" s="434"/>
      <c r="AS51" s="1077">
        <v>11</v>
      </c>
    </row>
    <row r="52" spans="1:45" ht="11.45" customHeight="1">
      <c r="A52" s="1285" t="s">
        <v>233</v>
      </c>
      <c r="B52" s="1285" t="s">
        <v>234</v>
      </c>
      <c r="C52" s="1285" t="s">
        <v>235</v>
      </c>
      <c r="D52" s="1285" t="s">
        <v>236</v>
      </c>
      <c r="E52" s="3738"/>
      <c r="F52" s="3738"/>
      <c r="G52" s="3738"/>
      <c r="H52" s="3738"/>
      <c r="I52" s="3735"/>
      <c r="J52" s="1285"/>
      <c r="K52" s="1285"/>
      <c r="L52" s="1286"/>
      <c r="P52" s="3736"/>
      <c r="Q52" s="1253"/>
      <c r="R52" s="290"/>
      <c r="S52" s="1200"/>
      <c r="T52" s="299" t="s">
        <v>457</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0" hidden="1" customHeight="1">
      <c r="A53" s="1285" t="s">
        <v>233</v>
      </c>
      <c r="B53" s="1285" t="s">
        <v>234</v>
      </c>
      <c r="C53" s="1285" t="s">
        <v>235</v>
      </c>
      <c r="D53" s="1285" t="s">
        <v>236</v>
      </c>
      <c r="E53" s="3738"/>
      <c r="F53" s="3738"/>
      <c r="G53" s="3738"/>
      <c r="H53" s="3737"/>
      <c r="I53" s="1285"/>
      <c r="J53" s="1285"/>
      <c r="K53" s="1285"/>
      <c r="L53" s="1286"/>
      <c r="M53" s="1287"/>
      <c r="N53" s="1287"/>
      <c r="O53" s="471"/>
      <c r="P53" s="294"/>
      <c r="Q53" s="309"/>
      <c r="R53" s="289"/>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4"/>
      <c r="AP53" s="434" t="str">
        <f t="shared" si="1"/>
        <v/>
      </c>
      <c r="AQ53" s="434"/>
      <c r="AR53" s="434"/>
      <c r="AS53" s="1077">
        <v>0</v>
      </c>
    </row>
    <row r="54" spans="1:45" s="1564" customFormat="1" ht="0" hidden="1" customHeight="1">
      <c r="A54" s="1265" t="s">
        <v>233</v>
      </c>
      <c r="B54" s="1265" t="s">
        <v>234</v>
      </c>
      <c r="C54" s="1265" t="s">
        <v>235</v>
      </c>
      <c r="D54" s="1236"/>
      <c r="E54" s="3738"/>
      <c r="F54" s="3738"/>
      <c r="G54" s="3737"/>
      <c r="H54" s="1236"/>
      <c r="I54" s="1236"/>
      <c r="J54" s="1236"/>
      <c r="K54" s="1236"/>
      <c r="L54" s="1261"/>
      <c r="M54" s="1237"/>
      <c r="N54" s="1237"/>
      <c r="P54" s="1238"/>
      <c r="Q54" s="1239"/>
      <c r="R54" s="1238"/>
      <c r="S54" s="1244"/>
      <c r="T54" s="1247" t="s">
        <v>459</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0</v>
      </c>
    </row>
    <row r="55" spans="1:45" s="1564" customFormat="1" ht="0" hidden="1" customHeight="1">
      <c r="A55" s="1265" t="s">
        <v>233</v>
      </c>
      <c r="B55" s="1265" t="s">
        <v>234</v>
      </c>
      <c r="C55" s="1236"/>
      <c r="D55" s="1236"/>
      <c r="E55" s="3738"/>
      <c r="F55" s="3737"/>
      <c r="G55" s="1236"/>
      <c r="H55" s="1236"/>
      <c r="I55" s="1236"/>
      <c r="J55" s="1236"/>
      <c r="K55" s="1236"/>
      <c r="L55" s="1261"/>
      <c r="M55" s="1243"/>
      <c r="N55" s="1243"/>
      <c r="P55" s="1238"/>
      <c r="Q55" s="1239"/>
      <c r="R55" s="1238"/>
      <c r="S55" s="1244"/>
      <c r="T55" s="1247" t="s">
        <v>460</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0</v>
      </c>
    </row>
    <row r="56" spans="1:45" s="1564" customFormat="1" ht="0" hidden="1" customHeight="1">
      <c r="A56" s="1265" t="s">
        <v>233</v>
      </c>
      <c r="B56" s="1265"/>
      <c r="C56" s="1265"/>
      <c r="D56" s="1265"/>
      <c r="E56" s="3737"/>
      <c r="F56" s="1265"/>
      <c r="G56" s="1265"/>
      <c r="H56" s="1265"/>
      <c r="I56" s="1265"/>
      <c r="J56" s="1265"/>
      <c r="K56" s="1265"/>
      <c r="L56" s="1268"/>
      <c r="M56" s="1243"/>
      <c r="N56" s="1243"/>
      <c r="O56" s="452"/>
      <c r="P56" s="314"/>
      <c r="Q56" s="1266"/>
      <c r="R56" s="314"/>
      <c r="S56" s="1244"/>
      <c r="T56" s="1247" t="s">
        <v>461</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0</v>
      </c>
    </row>
    <row r="57" spans="1:45" s="1564" customFormat="1" ht="4.1500000000000004" customHeight="1">
      <c r="A57" s="1236"/>
      <c r="B57" s="1236"/>
      <c r="C57" s="1236"/>
      <c r="D57" s="1236"/>
      <c r="E57" s="1265"/>
      <c r="F57" s="1236"/>
      <c r="G57" s="1236"/>
      <c r="H57" s="1236"/>
      <c r="I57" s="1236"/>
      <c r="J57" s="1236"/>
      <c r="K57" s="1236"/>
      <c r="L57" s="1261"/>
      <c r="M57" s="1243"/>
      <c r="N57" s="1243"/>
      <c r="P57" s="1238"/>
      <c r="Q57" s="1239"/>
      <c r="R57" s="1238"/>
      <c r="S57" s="1244"/>
      <c r="T57" s="1247" t="s">
        <v>489</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4</v>
      </c>
    </row>
    <row r="58" spans="1:45" ht="11.45" customHeight="1">
      <c r="M58" s="1082"/>
      <c r="N58" s="1082"/>
      <c r="O58" s="471"/>
      <c r="P58" s="1077"/>
      <c r="Q58" s="1077"/>
      <c r="R58" s="1077"/>
      <c r="S58" s="1077"/>
      <c r="AN58" s="1077"/>
      <c r="AO58" s="1077"/>
      <c r="AP58" s="1077"/>
      <c r="AQ58" s="1077"/>
      <c r="AR58" s="1077"/>
      <c r="AS58" s="1077">
        <v>11</v>
      </c>
    </row>
    <row r="59" spans="1:45" ht="14.65" customHeight="1">
      <c r="O59" s="471"/>
      <c r="S59" s="1175"/>
      <c r="T59" s="3757"/>
      <c r="U59" s="3757"/>
      <c r="V59" s="3757"/>
      <c r="W59" s="3757"/>
      <c r="X59" s="3757"/>
      <c r="Y59" s="3757"/>
      <c r="Z59" s="3757"/>
      <c r="AA59" s="3757"/>
      <c r="AB59" s="3757"/>
      <c r="AC59" s="3757"/>
      <c r="AD59" s="3757"/>
      <c r="AE59" s="3757"/>
      <c r="AF59" s="3757"/>
      <c r="AG59" s="3757"/>
      <c r="AH59" s="3757"/>
      <c r="AI59" s="3757"/>
      <c r="AJ59" s="3757"/>
      <c r="AK59" s="3757"/>
      <c r="AL59" s="3757"/>
      <c r="AM59" s="3757"/>
      <c r="AS59" s="1077">
        <v>14</v>
      </c>
    </row>
    <row r="60" spans="1:45" ht="14.65" customHeight="1">
      <c r="O60" s="471"/>
      <c r="T60" s="3757"/>
      <c r="U60" s="3757"/>
      <c r="V60" s="3757"/>
      <c r="W60" s="3757"/>
      <c r="X60" s="3757"/>
      <c r="Y60" s="3757"/>
      <c r="Z60" s="3757"/>
      <c r="AA60" s="3757"/>
      <c r="AB60" s="3757"/>
      <c r="AC60" s="3757"/>
      <c r="AD60" s="3757"/>
      <c r="AE60" s="3757"/>
      <c r="AF60" s="3757"/>
      <c r="AG60" s="3757"/>
      <c r="AH60" s="3757"/>
      <c r="AI60" s="3757"/>
      <c r="AJ60" s="3757"/>
      <c r="AK60" s="3757"/>
      <c r="AL60" s="3757"/>
      <c r="AM60" s="3757"/>
      <c r="AS60" s="1077">
        <v>14</v>
      </c>
    </row>
    <row r="61" spans="1:45" ht="14.65" customHeight="1">
      <c r="O61" s="471"/>
      <c r="T61" s="3757"/>
      <c r="U61" s="3757"/>
      <c r="V61" s="3757"/>
      <c r="W61" s="3757"/>
      <c r="X61" s="3757"/>
      <c r="Y61" s="3757"/>
      <c r="Z61" s="3757"/>
      <c r="AA61" s="3757"/>
      <c r="AB61" s="3757"/>
      <c r="AC61" s="3757"/>
      <c r="AD61" s="3757"/>
      <c r="AE61" s="3757"/>
      <c r="AF61" s="3757"/>
      <c r="AG61" s="3757"/>
      <c r="AH61" s="3757"/>
      <c r="AI61" s="3757"/>
      <c r="AJ61" s="3757"/>
      <c r="AK61" s="3757"/>
      <c r="AL61" s="3757"/>
      <c r="AM61" s="3757"/>
      <c r="AS61" s="1077">
        <v>14</v>
      </c>
    </row>
    <row r="62" spans="1:45" ht="14.65" customHeight="1">
      <c r="O62" s="471"/>
      <c r="AS62" s="1077">
        <v>14</v>
      </c>
    </row>
    <row r="63" spans="1:45" ht="14.65" customHeight="1">
      <c r="O63" s="471"/>
      <c r="S63" s="1175"/>
      <c r="T63" s="3665"/>
      <c r="U63" s="3757"/>
      <c r="V63" s="3757"/>
      <c r="W63" s="3757"/>
      <c r="X63" s="3757"/>
      <c r="Y63" s="3757"/>
      <c r="Z63" s="3757"/>
      <c r="AA63" s="3757"/>
      <c r="AB63" s="3757"/>
      <c r="AC63" s="3757"/>
      <c r="AD63" s="3757"/>
      <c r="AE63" s="3757"/>
      <c r="AF63" s="3757"/>
      <c r="AG63" s="3757"/>
      <c r="AH63" s="3757"/>
      <c r="AI63" s="3757"/>
      <c r="AJ63" s="3757"/>
      <c r="AK63" s="3757"/>
      <c r="AL63" s="3757"/>
      <c r="AM63" s="3757"/>
      <c r="AS63" s="1077">
        <v>14</v>
      </c>
    </row>
    <row r="64" spans="1:45" ht="14.65" customHeight="1">
      <c r="O64" s="471"/>
      <c r="T64" s="3757"/>
      <c r="U64" s="3757"/>
      <c r="V64" s="3757"/>
      <c r="W64" s="3757"/>
      <c r="X64" s="3757"/>
      <c r="Y64" s="3757"/>
      <c r="Z64" s="3757"/>
      <c r="AA64" s="3757"/>
      <c r="AB64" s="3757"/>
      <c r="AC64" s="3757"/>
      <c r="AD64" s="3757"/>
      <c r="AE64" s="3757"/>
      <c r="AF64" s="3757"/>
      <c r="AG64" s="3757"/>
      <c r="AH64" s="3757"/>
      <c r="AI64" s="3757"/>
      <c r="AJ64" s="3757"/>
      <c r="AK64" s="3757"/>
      <c r="AL64" s="3757"/>
      <c r="AM64" s="3757"/>
      <c r="AS64" s="1077">
        <v>14</v>
      </c>
    </row>
    <row r="65" spans="1:45" ht="14.65" customHeight="1">
      <c r="T65" s="3757"/>
      <c r="U65" s="3757"/>
      <c r="V65" s="3757"/>
      <c r="W65" s="3757"/>
      <c r="X65" s="3757"/>
      <c r="Y65" s="3757"/>
      <c r="Z65" s="3757"/>
      <c r="AA65" s="3757"/>
      <c r="AB65" s="3757"/>
      <c r="AC65" s="3757"/>
      <c r="AD65" s="3757"/>
      <c r="AE65" s="3757"/>
      <c r="AF65" s="3757"/>
      <c r="AG65" s="3757"/>
      <c r="AH65" s="3757"/>
      <c r="AI65" s="3757"/>
      <c r="AJ65" s="3757"/>
      <c r="AK65" s="3757"/>
      <c r="AL65" s="3757"/>
      <c r="AM65" s="3757"/>
      <c r="AS65" s="1077">
        <v>14</v>
      </c>
    </row>
    <row r="66" spans="1:45" ht="22.5" hidden="1" customHeight="1">
      <c r="A66" s="1082" t="s">
        <v>70</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79">
        <v>3</v>
      </c>
      <c r="R66" s="279">
        <v>3</v>
      </c>
      <c r="S66" s="515">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5">
        <v>10</v>
      </c>
      <c r="AO66" s="445">
        <v>10</v>
      </c>
      <c r="AP66" s="445">
        <v>10</v>
      </c>
      <c r="AQ66" s="445">
        <v>10</v>
      </c>
      <c r="AR66" s="445">
        <v>10</v>
      </c>
      <c r="AS66" s="1077">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2" width="11.42578125" style="1557" hidden="1" customWidth="1"/>
    <col min="13" max="13" width="19.140625" style="1985" hidden="1" customWidth="1"/>
    <col min="14" max="15" width="12.28515625" style="1991" hidden="1" customWidth="1"/>
    <col min="16" max="16" width="23.42578125" style="1991" hidden="1" customWidth="1"/>
    <col min="17" max="17" width="3.7109375" style="1991" hidden="1" customWidth="1"/>
    <col min="18" max="20" width="3" style="279" customWidth="1"/>
    <col min="21" max="21" width="12" style="1992" customWidth="1"/>
    <col min="22" max="22" width="31" style="1557" customWidth="1"/>
    <col min="23" max="23" width="0.140625" style="1557" customWidth="1"/>
    <col min="24" max="28" width="21.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21.7109375" style="1557" customWidth="1"/>
    <col min="34" max="37" width="21" style="1557" customWidth="1"/>
    <col min="38" max="38" width="11" style="1557" customWidth="1"/>
    <col min="39" max="39" width="3.7109375" style="1557" customWidth="1"/>
    <col min="40" max="40" width="11" style="1557" customWidth="1"/>
    <col min="41" max="41" width="8.5703125" style="1557" hidden="1" customWidth="1"/>
    <col min="42" max="42" width="4" style="1557" customWidth="1"/>
    <col min="43" max="43" width="115" style="1557" customWidth="1"/>
    <col min="44" max="48" width="10" style="1564" customWidth="1"/>
    <col min="49" max="49" width="10.5703125" style="1557" hidden="1"/>
  </cols>
  <sheetData>
    <row r="1" spans="1:49" ht="22.5" hidden="1" customHeight="1">
      <c r="AB1" s="262"/>
      <c r="AC1" s="262"/>
      <c r="AK1" s="262"/>
      <c r="AL1" s="262"/>
      <c r="AW1" s="1077" t="s">
        <v>1</v>
      </c>
    </row>
    <row r="2" spans="1:49" ht="21" hidden="1" customHeight="1">
      <c r="A2" s="1189"/>
      <c r="B2" s="1189"/>
      <c r="C2" s="1189"/>
      <c r="D2" s="1189"/>
      <c r="E2" s="3761">
        <v>1</v>
      </c>
      <c r="F2" s="1189"/>
      <c r="G2" s="1189"/>
      <c r="H2" s="1189"/>
      <c r="I2" s="1189"/>
      <c r="J2" s="1189"/>
      <c r="K2" s="1189"/>
      <c r="L2" s="1189"/>
      <c r="M2" s="1232"/>
      <c r="N2" s="622"/>
      <c r="O2" s="622"/>
      <c r="P2" s="622"/>
      <c r="Q2" s="295"/>
      <c r="R2" s="294"/>
      <c r="S2" s="294"/>
      <c r="T2" s="289"/>
      <c r="U2" s="1258" t="e">
        <f>INDEX(PT_DIFFERENTIATION_NUM_NTAR,MATCH(A2,PT_DIFFERENTIATION_NTAR_ID,0))</f>
        <v>#N/A</v>
      </c>
      <c r="V2" s="233" t="s">
        <v>176</v>
      </c>
      <c r="W2" s="235"/>
      <c r="X2" s="3723"/>
      <c r="Y2" s="3724"/>
      <c r="Z2" s="3724"/>
      <c r="AA2" s="3724"/>
      <c r="AB2" s="3724"/>
      <c r="AC2" s="3724"/>
      <c r="AD2" s="3724"/>
      <c r="AE2" s="3724"/>
      <c r="AF2" s="3725"/>
      <c r="AG2" s="3723" t="e">
        <f>INDEX(PT_DIFFERENTIATION_NTAR,MATCH(A2,PT_DIFFERENTIATION_NTAR_ID,0))</f>
        <v>#N/A</v>
      </c>
      <c r="AH2" s="3724"/>
      <c r="AI2" s="3724"/>
      <c r="AJ2" s="3724"/>
      <c r="AK2" s="3724"/>
      <c r="AL2" s="3724"/>
      <c r="AM2" s="3724"/>
      <c r="AN2" s="3724"/>
      <c r="AO2" s="3724"/>
      <c r="AP2" s="3725"/>
      <c r="AQ2" s="1180" t="s">
        <v>441</v>
      </c>
      <c r="AS2" s="434"/>
      <c r="AT2" s="434" t="str">
        <f t="shared" ref="AT2:AT8" si="0">IF(V2="","",V2)</f>
        <v>Наименование тарифа</v>
      </c>
      <c r="AU2" s="434"/>
      <c r="AV2" s="434"/>
      <c r="AW2" s="1077">
        <v>0</v>
      </c>
    </row>
    <row r="3" spans="1:49" ht="21" hidden="1" customHeight="1">
      <c r="A3" s="1189"/>
      <c r="B3" s="1189"/>
      <c r="C3" s="1189"/>
      <c r="D3" s="1189"/>
      <c r="E3" s="3762"/>
      <c r="F3" s="3761">
        <v>1</v>
      </c>
      <c r="G3" s="1189"/>
      <c r="H3" s="1189"/>
      <c r="I3" s="1189"/>
      <c r="J3" s="1189"/>
      <c r="K3" s="1189"/>
      <c r="L3" s="1189"/>
      <c r="M3" s="1232"/>
      <c r="N3" s="622"/>
      <c r="O3" s="622"/>
      <c r="P3" s="622"/>
      <c r="Q3" s="1254"/>
      <c r="R3" s="286"/>
      <c r="S3" s="443"/>
      <c r="T3" s="287"/>
      <c r="U3" s="1258" t="e">
        <f>INDEX(PT_DIFFERENTIATION_NUM_TER,MATCH(B3,PT_DIFFERENTIATION_TER_ID,0))</f>
        <v>#N/A</v>
      </c>
      <c r="V3" s="243" t="s">
        <v>442</v>
      </c>
      <c r="W3" s="235"/>
      <c r="X3" s="3723"/>
      <c r="Y3" s="3724"/>
      <c r="Z3" s="3724"/>
      <c r="AA3" s="3724"/>
      <c r="AB3" s="3724"/>
      <c r="AC3" s="3724"/>
      <c r="AD3" s="3724"/>
      <c r="AE3" s="3724"/>
      <c r="AF3" s="3725"/>
      <c r="AG3" s="3723" t="e">
        <f>INDEX(PT_DIFFERENTIATION_TER,MATCH(B3,PT_DIFFERENTIATION_TER_ID,0))</f>
        <v>#N/A</v>
      </c>
      <c r="AH3" s="3724"/>
      <c r="AI3" s="3724"/>
      <c r="AJ3" s="3724"/>
      <c r="AK3" s="3724"/>
      <c r="AL3" s="3724"/>
      <c r="AM3" s="3724"/>
      <c r="AN3" s="3724"/>
      <c r="AO3" s="3724"/>
      <c r="AP3" s="3725"/>
      <c r="AQ3" s="1180" t="s">
        <v>443</v>
      </c>
      <c r="AS3" s="434"/>
      <c r="AT3" s="434" t="str">
        <f t="shared" si="0"/>
        <v>Территория действия тарифа</v>
      </c>
      <c r="AU3" s="434"/>
      <c r="AV3" s="434"/>
      <c r="AW3" s="1077">
        <v>0</v>
      </c>
    </row>
    <row r="4" spans="1:49" ht="22.5" hidden="1" customHeight="1">
      <c r="A4" s="1189"/>
      <c r="B4" s="1189"/>
      <c r="C4" s="1189"/>
      <c r="D4" s="1189"/>
      <c r="E4" s="3762"/>
      <c r="F4" s="3762"/>
      <c r="G4" s="3761">
        <v>1</v>
      </c>
      <c r="H4" s="1189"/>
      <c r="I4" s="1189"/>
      <c r="J4" s="1189"/>
      <c r="K4" s="1189"/>
      <c r="L4" s="1189"/>
      <c r="M4" s="1232"/>
      <c r="N4" s="622"/>
      <c r="O4" s="622"/>
      <c r="P4" s="622"/>
      <c r="Q4" s="288"/>
      <c r="R4" s="286"/>
      <c r="S4" s="443"/>
      <c r="T4" s="287"/>
      <c r="U4" s="1258" t="e">
        <f>INDEX(PT_DIFFERENTIATION_NUM_CS,MATCH(C4,PT_DIFFERENTIATION_CS_ID,0))</f>
        <v>#N/A</v>
      </c>
      <c r="V4" s="244" t="s">
        <v>444</v>
      </c>
      <c r="W4" s="235"/>
      <c r="X4" s="3723"/>
      <c r="Y4" s="3724"/>
      <c r="Z4" s="3724"/>
      <c r="AA4" s="3724"/>
      <c r="AB4" s="3724"/>
      <c r="AC4" s="3724"/>
      <c r="AD4" s="3724"/>
      <c r="AE4" s="3724"/>
      <c r="AF4" s="3725"/>
      <c r="AG4" s="3723" t="e">
        <f>INDEX(PT_DIFFERENTIATION_CS,MATCH(C4,PT_DIFFERENTIATION_CS_ID,0))</f>
        <v>#N/A</v>
      </c>
      <c r="AH4" s="3724"/>
      <c r="AI4" s="3724"/>
      <c r="AJ4" s="3724"/>
      <c r="AK4" s="3724"/>
      <c r="AL4" s="3724"/>
      <c r="AM4" s="3724"/>
      <c r="AN4" s="3724"/>
      <c r="AO4" s="3724"/>
      <c r="AP4" s="3725"/>
      <c r="AQ4" s="1180" t="s">
        <v>445</v>
      </c>
      <c r="AS4" s="434"/>
      <c r="AT4" s="434" t="str">
        <f t="shared" si="0"/>
        <v xml:space="preserve">Наименование системы теплоснабжения </v>
      </c>
      <c r="AU4" s="434"/>
      <c r="AV4" s="434"/>
      <c r="AW4" s="1077">
        <v>0</v>
      </c>
    </row>
    <row r="5" spans="1:49" ht="21" hidden="1" customHeight="1">
      <c r="A5" s="1189"/>
      <c r="B5" s="1189"/>
      <c r="C5" s="1189"/>
      <c r="D5" s="1189"/>
      <c r="E5" s="3762"/>
      <c r="F5" s="3762"/>
      <c r="G5" s="3762"/>
      <c r="H5" s="3761">
        <v>1</v>
      </c>
      <c r="I5" s="1189"/>
      <c r="J5" s="1189"/>
      <c r="K5" s="1189"/>
      <c r="L5" s="1189"/>
      <c r="M5" s="1232"/>
      <c r="N5" s="622"/>
      <c r="O5" s="622"/>
      <c r="P5" s="622"/>
      <c r="Q5" s="288"/>
      <c r="R5" s="286"/>
      <c r="S5" s="443"/>
      <c r="T5" s="287"/>
      <c r="U5" s="1258" t="e">
        <f>INDEX(PT_DIFFERENTIATION_NUM_IST_TE,MATCH(D5,PT_DIFFERENTIATION_IST_TE_ID,0))</f>
        <v>#N/A</v>
      </c>
      <c r="V5" s="245" t="s">
        <v>446</v>
      </c>
      <c r="W5" s="235"/>
      <c r="X5" s="3723"/>
      <c r="Y5" s="3724"/>
      <c r="Z5" s="3724"/>
      <c r="AA5" s="3724"/>
      <c r="AB5" s="3724"/>
      <c r="AC5" s="3724"/>
      <c r="AD5" s="3724"/>
      <c r="AE5" s="3724"/>
      <c r="AF5" s="3725"/>
      <c r="AG5" s="3723" t="e">
        <f>INDEX(PT_DIFFERENTIATION_IST_TE,MATCH(D5,PT_DIFFERENTIATION_IST_TE_ID,0))</f>
        <v>#N/A</v>
      </c>
      <c r="AH5" s="3724"/>
      <c r="AI5" s="3724"/>
      <c r="AJ5" s="3724"/>
      <c r="AK5" s="3724"/>
      <c r="AL5" s="3724"/>
      <c r="AM5" s="3724"/>
      <c r="AN5" s="3724"/>
      <c r="AO5" s="3724"/>
      <c r="AP5" s="3725"/>
      <c r="AQ5" s="1180" t="s">
        <v>447</v>
      </c>
      <c r="AS5" s="434"/>
      <c r="AT5" s="434" t="str">
        <f t="shared" si="0"/>
        <v xml:space="preserve">Источник тепловой энергии  </v>
      </c>
      <c r="AU5" s="434"/>
      <c r="AV5" s="434"/>
      <c r="AW5" s="1077">
        <v>0</v>
      </c>
    </row>
    <row r="6" spans="1:49" ht="14.25" hidden="1" customHeight="1">
      <c r="A6" s="1189"/>
      <c r="B6" s="1189"/>
      <c r="C6" s="1189"/>
      <c r="D6" s="1189"/>
      <c r="E6" s="3762"/>
      <c r="F6" s="3762"/>
      <c r="G6" s="3762"/>
      <c r="H6" s="3762"/>
      <c r="I6" s="3618" t="e">
        <f>U5&amp;".1"</f>
        <v>#N/A</v>
      </c>
      <c r="J6" s="1189"/>
      <c r="K6" s="1189"/>
      <c r="L6" s="1189"/>
      <c r="M6" s="1232" t="s">
        <v>448</v>
      </c>
      <c r="N6" s="443"/>
      <c r="Q6" s="3736">
        <v>1</v>
      </c>
      <c r="R6" s="1253"/>
      <c r="S6" s="1253"/>
      <c r="T6" s="290"/>
      <c r="U6" s="968"/>
      <c r="V6" s="1305"/>
      <c r="W6" s="1306"/>
      <c r="X6" s="3766"/>
      <c r="Y6" s="3767"/>
      <c r="Z6" s="3767"/>
      <c r="AA6" s="3767"/>
      <c r="AB6" s="3767"/>
      <c r="AC6" s="3767"/>
      <c r="AD6" s="3767"/>
      <c r="AE6" s="3767"/>
      <c r="AF6" s="3768"/>
      <c r="AG6" s="3766"/>
      <c r="AH6" s="3767"/>
      <c r="AI6" s="3767"/>
      <c r="AJ6" s="3767"/>
      <c r="AK6" s="3767"/>
      <c r="AL6" s="3767"/>
      <c r="AM6" s="3767"/>
      <c r="AN6" s="3767"/>
      <c r="AO6" s="3767"/>
      <c r="AP6" s="3768"/>
      <c r="AQ6" s="1307"/>
      <c r="AS6" s="434"/>
      <c r="AT6" s="434" t="str">
        <f t="shared" si="0"/>
        <v/>
      </c>
      <c r="AU6" s="434"/>
      <c r="AV6" s="434"/>
      <c r="AW6" s="1077">
        <v>0</v>
      </c>
    </row>
    <row r="7" spans="1:49" ht="21" hidden="1" customHeight="1">
      <c r="A7" s="1189"/>
      <c r="B7" s="1189"/>
      <c r="C7" s="1189"/>
      <c r="D7" s="1189"/>
      <c r="E7" s="3762"/>
      <c r="F7" s="3762"/>
      <c r="G7" s="3762"/>
      <c r="H7" s="3762"/>
      <c r="I7" s="3589"/>
      <c r="J7" s="3618" t="e">
        <f>I6&amp;".1"</f>
        <v>#N/A</v>
      </c>
      <c r="K7" s="1189"/>
      <c r="L7" s="1189"/>
      <c r="M7" s="1232" t="s">
        <v>451</v>
      </c>
      <c r="N7" s="443"/>
      <c r="O7" s="262"/>
      <c r="Q7" s="3736"/>
      <c r="R7" s="3736">
        <v>1</v>
      </c>
      <c r="S7" s="452"/>
      <c r="T7" s="291"/>
      <c r="U7" s="1258" t="e">
        <f>$J7</f>
        <v>#N/A</v>
      </c>
      <c r="V7" s="221" t="s">
        <v>452</v>
      </c>
      <c r="W7" s="235"/>
      <c r="X7" s="3726"/>
      <c r="Y7" s="3727"/>
      <c r="Z7" s="3727"/>
      <c r="AA7" s="3727"/>
      <c r="AB7" s="3727"/>
      <c r="AC7" s="3719"/>
      <c r="AD7" s="3719"/>
      <c r="AE7" s="3719"/>
      <c r="AF7" s="3776"/>
      <c r="AG7" s="3726"/>
      <c r="AH7" s="3727"/>
      <c r="AI7" s="3727"/>
      <c r="AJ7" s="3727"/>
      <c r="AK7" s="3727"/>
      <c r="AL7" s="3727"/>
      <c r="AM7" s="3727"/>
      <c r="AN7" s="3727"/>
      <c r="AO7" s="3727"/>
      <c r="AP7" s="3728"/>
      <c r="AQ7" s="1180" t="s">
        <v>453</v>
      </c>
      <c r="AS7" s="434"/>
      <c r="AT7" s="434" t="str">
        <f t="shared" si="0"/>
        <v>Группа потребителей</v>
      </c>
      <c r="AU7" s="434"/>
      <c r="AV7" s="434"/>
      <c r="AW7" s="1077">
        <v>0</v>
      </c>
    </row>
    <row r="8" spans="1:49" ht="21" hidden="1" customHeight="1">
      <c r="A8" s="1189"/>
      <c r="B8" s="1189"/>
      <c r="C8" s="1189"/>
      <c r="D8" s="1189"/>
      <c r="E8" s="3762"/>
      <c r="F8" s="3762"/>
      <c r="G8" s="3762"/>
      <c r="H8" s="3762"/>
      <c r="I8" s="3589"/>
      <c r="J8" s="3589"/>
      <c r="K8" s="3618" t="e">
        <f>J7&amp;".1"</f>
        <v>#N/A</v>
      </c>
      <c r="L8" s="76"/>
      <c r="M8" s="1232" t="s">
        <v>454</v>
      </c>
      <c r="N8" s="443"/>
      <c r="O8" s="262"/>
      <c r="P8" s="262"/>
      <c r="Q8" s="3736"/>
      <c r="R8" s="3736"/>
      <c r="S8" s="3736">
        <v>1</v>
      </c>
      <c r="T8" s="291"/>
      <c r="U8" s="1258" t="e">
        <f>$K8</f>
        <v>#N/A</v>
      </c>
      <c r="V8" s="1269"/>
      <c r="W8" s="235"/>
      <c r="X8" s="685"/>
      <c r="Y8" s="685"/>
      <c r="Z8" s="685"/>
      <c r="AA8" s="685"/>
      <c r="AB8" s="1327"/>
      <c r="AC8" s="3740"/>
      <c r="AD8" s="3599" t="s">
        <v>50</v>
      </c>
      <c r="AE8" s="3740"/>
      <c r="AF8" s="3599" t="s">
        <v>50</v>
      </c>
      <c r="AG8" s="1329"/>
      <c r="AH8" s="685"/>
      <c r="AI8" s="685"/>
      <c r="AJ8" s="685"/>
      <c r="AK8" s="1179"/>
      <c r="AL8" s="3740"/>
      <c r="AM8" s="3599" t="s">
        <v>50</v>
      </c>
      <c r="AN8" s="3740"/>
      <c r="AO8" s="3599" t="s">
        <v>50</v>
      </c>
      <c r="AP8" s="260"/>
      <c r="AQ8" s="1229" t="s">
        <v>493</v>
      </c>
      <c r="AR8" s="445" t="e">
        <f ca="1">STRCHECKDATE(X10:AP10)</f>
        <v>#NAME?</v>
      </c>
      <c r="AS8" s="434"/>
      <c r="AT8" s="434" t="str">
        <f t="shared" si="0"/>
        <v/>
      </c>
      <c r="AU8" s="434"/>
      <c r="AV8" s="434"/>
      <c r="AW8" s="1077">
        <v>0</v>
      </c>
    </row>
    <row r="9" spans="1:49" ht="21" hidden="1" customHeight="1">
      <c r="A9" s="1189"/>
      <c r="B9" s="1189"/>
      <c r="C9" s="1189"/>
      <c r="D9" s="1189"/>
      <c r="E9" s="3762"/>
      <c r="F9" s="3762"/>
      <c r="G9" s="3762"/>
      <c r="H9" s="3762"/>
      <c r="I9" s="3589"/>
      <c r="J9" s="3589"/>
      <c r="K9" s="3589"/>
      <c r="L9" s="3618" t="e">
        <f>K8&amp;".1"</f>
        <v>#N/A</v>
      </c>
      <c r="M9" s="1232"/>
      <c r="N9" s="443"/>
      <c r="O9" s="262"/>
      <c r="P9" s="262"/>
      <c r="Q9" s="3736"/>
      <c r="R9" s="3736"/>
      <c r="S9" s="3736"/>
      <c r="T9" s="291"/>
      <c r="U9" s="1258" t="e">
        <f>$L9</f>
        <v>#N/A</v>
      </c>
      <c r="V9" s="1313"/>
      <c r="W9" s="235"/>
      <c r="X9" s="260"/>
      <c r="Y9" s="685"/>
      <c r="Z9" s="685"/>
      <c r="AA9" s="685"/>
      <c r="AB9" s="1327"/>
      <c r="AC9" s="3741"/>
      <c r="AD9" s="3599"/>
      <c r="AE9" s="3741"/>
      <c r="AF9" s="3599"/>
      <c r="AG9" s="1329"/>
      <c r="AH9" s="685"/>
      <c r="AI9" s="685"/>
      <c r="AJ9" s="685"/>
      <c r="AK9" s="1179"/>
      <c r="AL9" s="3741"/>
      <c r="AM9" s="3599"/>
      <c r="AN9" s="3741"/>
      <c r="AO9" s="3599"/>
      <c r="AP9" s="260"/>
      <c r="AQ9" s="3732" t="s">
        <v>494</v>
      </c>
      <c r="AS9" s="434"/>
      <c r="AT9" s="434"/>
      <c r="AU9" s="434"/>
      <c r="AV9" s="434"/>
      <c r="AW9" s="1077">
        <v>0</v>
      </c>
    </row>
    <row r="10" spans="1:49" ht="14.25" hidden="1" customHeight="1">
      <c r="A10" s="1189"/>
      <c r="B10" s="1189"/>
      <c r="C10" s="1189"/>
      <c r="D10" s="1189"/>
      <c r="E10" s="3762"/>
      <c r="F10" s="3762"/>
      <c r="G10" s="3762"/>
      <c r="H10" s="3762"/>
      <c r="I10" s="3589"/>
      <c r="J10" s="3589"/>
      <c r="K10" s="3589"/>
      <c r="L10" s="3618"/>
      <c r="M10" s="1232"/>
      <c r="N10" s="443"/>
      <c r="O10" s="262"/>
      <c r="P10" s="262"/>
      <c r="Q10" s="3736"/>
      <c r="R10" s="3736"/>
      <c r="S10" s="3736"/>
      <c r="T10" s="291"/>
      <c r="U10" s="1264"/>
      <c r="V10" s="235"/>
      <c r="W10" s="235"/>
      <c r="X10" s="260"/>
      <c r="Y10" s="260"/>
      <c r="Z10" s="260"/>
      <c r="AA10" s="260"/>
      <c r="AB10" s="1328" t="str">
        <f>AC8&amp;"-"&amp;AE8</f>
        <v>-</v>
      </c>
      <c r="AC10" s="3741"/>
      <c r="AD10" s="3599"/>
      <c r="AE10" s="3741"/>
      <c r="AF10" s="3599"/>
      <c r="AG10" s="1304"/>
      <c r="AH10" s="260"/>
      <c r="AI10" s="260"/>
      <c r="AJ10" s="260"/>
      <c r="AK10" s="263" t="str">
        <f>AL8&amp;"-"&amp;AN8</f>
        <v>-</v>
      </c>
      <c r="AL10" s="3741"/>
      <c r="AM10" s="3599"/>
      <c r="AN10" s="3741"/>
      <c r="AO10" s="3599"/>
      <c r="AP10" s="260"/>
      <c r="AQ10" s="3733"/>
      <c r="AS10" s="434"/>
      <c r="AT10" s="434" t="str">
        <f>IF(V10="","",V10)</f>
        <v/>
      </c>
      <c r="AU10" s="434"/>
      <c r="AV10" s="434"/>
      <c r="AW10" s="1077">
        <v>0</v>
      </c>
    </row>
    <row r="11" spans="1:49" ht="11.25" hidden="1" customHeight="1">
      <c r="A11" s="1189"/>
      <c r="B11" s="1189"/>
      <c r="C11" s="1189"/>
      <c r="D11" s="1189"/>
      <c r="E11" s="3762"/>
      <c r="F11" s="3762"/>
      <c r="G11" s="3762"/>
      <c r="H11" s="3762"/>
      <c r="I11" s="3589"/>
      <c r="J11" s="3589"/>
      <c r="K11" s="3618"/>
      <c r="L11" s="1189"/>
      <c r="M11" s="1232"/>
      <c r="N11" s="443"/>
      <c r="O11" s="262"/>
      <c r="P11" s="262"/>
      <c r="Q11" s="3736"/>
      <c r="R11" s="3736"/>
      <c r="S11" s="3736"/>
      <c r="T11" s="291"/>
      <c r="U11" s="1200"/>
      <c r="V11" s="223" t="s">
        <v>495</v>
      </c>
      <c r="W11" s="1314"/>
      <c r="X11" s="1315"/>
      <c r="Y11" s="1315"/>
      <c r="Z11" s="1315"/>
      <c r="AA11" s="1315"/>
      <c r="AB11" s="1316"/>
      <c r="AC11" s="3741"/>
      <c r="AD11" s="3599"/>
      <c r="AE11" s="3741"/>
      <c r="AF11" s="3599"/>
      <c r="AG11" s="1315"/>
      <c r="AH11" s="1315"/>
      <c r="AI11" s="1315"/>
      <c r="AJ11" s="1315"/>
      <c r="AK11" s="1316"/>
      <c r="AL11" s="3741"/>
      <c r="AM11" s="3599"/>
      <c r="AN11" s="3741"/>
      <c r="AO11" s="3599"/>
      <c r="AP11" s="1317"/>
      <c r="AQ11" s="3733"/>
      <c r="AS11" s="434"/>
      <c r="AT11" s="434"/>
      <c r="AU11" s="434"/>
      <c r="AV11" s="434"/>
      <c r="AW11" s="1077">
        <v>0</v>
      </c>
    </row>
    <row r="12" spans="1:49" ht="15" hidden="1" customHeight="1">
      <c r="A12" s="1189"/>
      <c r="B12" s="1189"/>
      <c r="C12" s="1189"/>
      <c r="D12" s="1189"/>
      <c r="E12" s="3762"/>
      <c r="F12" s="3762"/>
      <c r="G12" s="3762"/>
      <c r="H12" s="3762"/>
      <c r="I12" s="3589"/>
      <c r="J12" s="3618"/>
      <c r="K12" s="1189"/>
      <c r="L12" s="1189"/>
      <c r="M12" s="1232"/>
      <c r="N12" s="443"/>
      <c r="O12" s="262"/>
      <c r="Q12" s="3736"/>
      <c r="R12" s="3736"/>
      <c r="S12" s="1253"/>
      <c r="T12" s="290"/>
      <c r="U12" s="1200"/>
      <c r="V12" s="222" t="s">
        <v>456</v>
      </c>
      <c r="W12" s="301"/>
      <c r="X12" s="301"/>
      <c r="Y12" s="301"/>
      <c r="Z12" s="301"/>
      <c r="AA12" s="301"/>
      <c r="AB12" s="301"/>
      <c r="AC12" s="1330"/>
      <c r="AD12" s="1330"/>
      <c r="AE12" s="1330"/>
      <c r="AF12" s="1330"/>
      <c r="AG12" s="301"/>
      <c r="AH12" s="301"/>
      <c r="AI12" s="301"/>
      <c r="AJ12" s="301"/>
      <c r="AK12" s="301"/>
      <c r="AL12" s="301"/>
      <c r="AM12" s="301"/>
      <c r="AN12" s="301"/>
      <c r="AO12" s="301"/>
      <c r="AP12" s="259"/>
      <c r="AQ12" s="3734"/>
      <c r="AS12" s="434"/>
      <c r="AT12" s="434" t="str">
        <f t="shared" ref="AT12:AT17" si="1">IF(V12="","",V12)</f>
        <v>Добавить вид теплоносителя (параметры теплоносителя)</v>
      </c>
      <c r="AU12" s="434"/>
      <c r="AV12" s="434"/>
      <c r="AW12" s="1077">
        <v>0</v>
      </c>
    </row>
    <row r="13" spans="1:49" ht="11.25" hidden="1" customHeight="1">
      <c r="A13" s="1189"/>
      <c r="B13" s="1189"/>
      <c r="C13" s="1189"/>
      <c r="D13" s="1189"/>
      <c r="E13" s="3762"/>
      <c r="F13" s="3762"/>
      <c r="G13" s="3762"/>
      <c r="H13" s="3762"/>
      <c r="I13" s="3618"/>
      <c r="J13" s="1189"/>
      <c r="K13" s="1189"/>
      <c r="L13" s="1189"/>
      <c r="M13" s="1232"/>
      <c r="N13" s="443"/>
      <c r="Q13" s="3736"/>
      <c r="R13" s="1253"/>
      <c r="S13" s="1253"/>
      <c r="T13" s="290"/>
      <c r="U13" s="1200"/>
      <c r="V13" s="299" t="s">
        <v>457</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7">
        <v>0</v>
      </c>
    </row>
    <row r="14" spans="1:49" ht="14.25" hidden="1" customHeight="1">
      <c r="A14" s="1189"/>
      <c r="B14" s="1189"/>
      <c r="C14" s="1189"/>
      <c r="D14" s="1189"/>
      <c r="E14" s="3762"/>
      <c r="F14" s="3762"/>
      <c r="G14" s="3762"/>
      <c r="H14" s="3761"/>
      <c r="I14" s="1189"/>
      <c r="J14" s="1189"/>
      <c r="K14" s="1189"/>
      <c r="L14" s="1189"/>
      <c r="M14" s="1232"/>
      <c r="N14" s="622"/>
      <c r="O14" s="622"/>
      <c r="P14" s="443"/>
      <c r="Q14" s="294"/>
      <c r="R14" s="309"/>
      <c r="S14" s="289"/>
      <c r="T14" s="294"/>
      <c r="U14" s="1308"/>
      <c r="V14" s="1309"/>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1"/>
      <c r="AS14" s="434"/>
      <c r="AT14" s="434" t="str">
        <f t="shared" si="1"/>
        <v/>
      </c>
      <c r="AU14" s="434"/>
      <c r="AV14" s="434"/>
      <c r="AW14" s="1077">
        <v>0</v>
      </c>
    </row>
    <row r="15" spans="1:49" s="1564" customFormat="1" ht="14.25" hidden="1" customHeight="1">
      <c r="A15" s="1296"/>
      <c r="B15" s="1296"/>
      <c r="C15" s="1296"/>
      <c r="D15" s="1296"/>
      <c r="E15" s="3762"/>
      <c r="F15" s="3762"/>
      <c r="G15" s="3761"/>
      <c r="H15" s="1296"/>
      <c r="I15" s="1296"/>
      <c r="J15" s="1296"/>
      <c r="K15" s="1296"/>
      <c r="L15" s="1296"/>
      <c r="M15" s="1299"/>
      <c r="N15" s="1300"/>
      <c r="O15" s="1300"/>
      <c r="P15" s="285"/>
      <c r="Q15" s="1238"/>
      <c r="R15" s="1239"/>
      <c r="S15" s="1238"/>
      <c r="T15" s="1238"/>
      <c r="U15" s="1240"/>
      <c r="V15" s="1241" t="s">
        <v>459</v>
      </c>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S15" s="717"/>
      <c r="AT15" s="717" t="str">
        <f t="shared" si="1"/>
        <v>Добавить источник для дифференциации</v>
      </c>
      <c r="AU15" s="717"/>
      <c r="AV15" s="717"/>
      <c r="AW15" s="452">
        <v>0</v>
      </c>
    </row>
    <row r="16" spans="1:49" s="1564" customFormat="1" ht="14.25" hidden="1" customHeight="1">
      <c r="A16" s="1296"/>
      <c r="B16" s="1296"/>
      <c r="C16" s="1296"/>
      <c r="D16" s="1296"/>
      <c r="E16" s="3762"/>
      <c r="F16" s="3761"/>
      <c r="G16" s="1296"/>
      <c r="H16" s="1296"/>
      <c r="I16" s="1296"/>
      <c r="J16" s="1296"/>
      <c r="K16" s="1296"/>
      <c r="L16" s="1296"/>
      <c r="M16" s="1299"/>
      <c r="N16" s="1301"/>
      <c r="O16" s="1301"/>
      <c r="P16" s="285"/>
      <c r="Q16" s="1238"/>
      <c r="R16" s="1239"/>
      <c r="S16" s="1238"/>
      <c r="T16" s="1238"/>
      <c r="U16" s="1244"/>
      <c r="V16" s="1245" t="s">
        <v>460</v>
      </c>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S16" s="717"/>
      <c r="AT16" s="717" t="str">
        <f t="shared" si="1"/>
        <v>Добавить централизованную систему для дифференциации</v>
      </c>
      <c r="AU16" s="717"/>
      <c r="AV16" s="717"/>
      <c r="AW16" s="452">
        <v>0</v>
      </c>
    </row>
    <row r="17" spans="1:49" s="1564" customFormat="1" ht="14.25" hidden="1" customHeight="1">
      <c r="A17" s="1296"/>
      <c r="B17" s="1296"/>
      <c r="C17" s="1296"/>
      <c r="D17" s="1296"/>
      <c r="E17" s="3761"/>
      <c r="F17" s="1296"/>
      <c r="G17" s="1296"/>
      <c r="H17" s="1296"/>
      <c r="I17" s="1296"/>
      <c r="J17" s="1296"/>
      <c r="K17" s="1296"/>
      <c r="L17" s="1296"/>
      <c r="M17" s="1299"/>
      <c r="N17" s="1301"/>
      <c r="O17" s="1301"/>
      <c r="P17" s="285"/>
      <c r="Q17" s="1238"/>
      <c r="R17" s="1239"/>
      <c r="S17" s="1238"/>
      <c r="T17" s="1238"/>
      <c r="U17" s="1244"/>
      <c r="V17" s="1247" t="s">
        <v>461</v>
      </c>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S17" s="717"/>
      <c r="AT17" s="717" t="str">
        <f t="shared" si="1"/>
        <v>Добавить территорию для дифференциации</v>
      </c>
      <c r="AU17" s="717"/>
      <c r="AV17" s="717"/>
      <c r="AW17" s="452">
        <v>0</v>
      </c>
    </row>
    <row r="18" spans="1:49" ht="14.25" hidden="1" customHeight="1">
      <c r="AF18" s="262"/>
      <c r="AO18" s="262"/>
      <c r="AW18" s="1077">
        <v>0</v>
      </c>
    </row>
    <row r="19" spans="1:49" ht="14.25" hidden="1" customHeight="1">
      <c r="AG19" s="1282"/>
      <c r="AH19" s="1282"/>
      <c r="AI19" s="1282"/>
      <c r="AJ19" s="1282"/>
      <c r="AK19" s="1283"/>
      <c r="AL19" s="3742"/>
      <c r="AM19" s="3743" t="s">
        <v>50</v>
      </c>
      <c r="AN19" s="3742"/>
      <c r="AO19" s="3743" t="s">
        <v>50</v>
      </c>
      <c r="AW19" s="1077">
        <v>0</v>
      </c>
    </row>
    <row r="20" spans="1:49" ht="14.25" hidden="1" customHeight="1">
      <c r="AG20" s="1282"/>
      <c r="AH20" s="1282"/>
      <c r="AI20" s="1282"/>
      <c r="AJ20" s="1282"/>
      <c r="AK20" s="1283"/>
      <c r="AL20" s="3742"/>
      <c r="AM20" s="3743"/>
      <c r="AN20" s="3742"/>
      <c r="AO20" s="3743"/>
      <c r="AW20" s="1077">
        <v>0</v>
      </c>
    </row>
    <row r="21" spans="1:49" ht="14.25" hidden="1" customHeight="1">
      <c r="AG21" s="1282"/>
      <c r="AH21" s="1282"/>
      <c r="AI21" s="1282"/>
      <c r="AJ21" s="1282"/>
      <c r="AK21" s="1283"/>
      <c r="AL21" s="3742"/>
      <c r="AM21" s="3743"/>
      <c r="AN21" s="3742"/>
      <c r="AO21" s="3743"/>
      <c r="AW21" s="1077">
        <v>0</v>
      </c>
    </row>
    <row r="22" spans="1:49" ht="14.25" hidden="1" customHeight="1">
      <c r="AG22" s="1282"/>
      <c r="AH22" s="1282"/>
      <c r="AI22" s="1282"/>
      <c r="AJ22" s="1282"/>
      <c r="AK22" s="263" t="str">
        <f>AL19&amp;"-"&amp;AN19</f>
        <v>-</v>
      </c>
      <c r="AL22" s="3743"/>
      <c r="AM22" s="3743"/>
      <c r="AN22" s="3743"/>
      <c r="AO22" s="3743"/>
      <c r="AW22" s="1077">
        <v>0</v>
      </c>
    </row>
    <row r="23" spans="1:49" ht="14.25" hidden="1" customHeight="1">
      <c r="AO23" s="262"/>
      <c r="AW23" s="1077">
        <v>0</v>
      </c>
    </row>
    <row r="24" spans="1:49" s="1288" customFormat="1" ht="22.5" hidden="1" customHeight="1">
      <c r="A24" s="1077"/>
      <c r="B24" s="1077"/>
      <c r="C24" s="1077"/>
      <c r="D24" s="1077"/>
      <c r="E24" s="1077"/>
      <c r="F24" s="1077"/>
      <c r="G24" s="1077"/>
      <c r="H24" s="1077"/>
      <c r="I24" s="1077"/>
      <c r="J24" s="1077"/>
      <c r="K24" s="1077"/>
      <c r="L24" s="1077"/>
      <c r="M24" s="1249"/>
      <c r="N24" s="1250"/>
      <c r="O24" s="1250"/>
      <c r="P24" s="1267" t="s">
        <v>462</v>
      </c>
      <c r="Q24" s="1284"/>
      <c r="R24" s="1293"/>
      <c r="S24" s="1293"/>
      <c r="T24" s="1293"/>
      <c r="U24" s="663"/>
      <c r="AC24" s="1289"/>
      <c r="AE24" s="1289"/>
      <c r="AL24" s="1289"/>
      <c r="AN24" s="1289"/>
      <c r="AR24" s="445"/>
      <c r="AS24" s="445"/>
      <c r="AT24" s="445"/>
      <c r="AU24" s="445"/>
      <c r="AV24" s="445"/>
      <c r="AW24" s="1082">
        <v>0</v>
      </c>
    </row>
    <row r="25" spans="1:49" s="1288" customFormat="1" ht="14.25" hidden="1" customHeight="1">
      <c r="A25" s="1077"/>
      <c r="B25" s="1077"/>
      <c r="C25" s="1077"/>
      <c r="D25" s="1077"/>
      <c r="E25" s="1077"/>
      <c r="F25" s="1077"/>
      <c r="G25" s="1077"/>
      <c r="H25" s="1077"/>
      <c r="I25" s="1077"/>
      <c r="J25" s="1077"/>
      <c r="K25" s="1077"/>
      <c r="L25" s="1077"/>
      <c r="M25" s="1249"/>
      <c r="N25" s="1250"/>
      <c r="O25" s="1250"/>
      <c r="P25" s="1250"/>
      <c r="Q25" s="1284"/>
      <c r="R25" s="1293"/>
      <c r="S25" s="1293"/>
      <c r="T25" s="1293"/>
      <c r="U25" s="663"/>
      <c r="AR25" s="445"/>
      <c r="AS25" s="445"/>
      <c r="AT25" s="445"/>
      <c r="AU25" s="445"/>
      <c r="AV25" s="445"/>
      <c r="AW25" s="1082">
        <v>0</v>
      </c>
    </row>
    <row r="26" spans="1:49" s="1288" customFormat="1" ht="14.25" hidden="1" customHeight="1">
      <c r="A26" s="1077"/>
      <c r="B26" s="1077"/>
      <c r="C26" s="1077"/>
      <c r="D26" s="1077"/>
      <c r="E26" s="1077"/>
      <c r="F26" s="1077"/>
      <c r="G26" s="1077"/>
      <c r="H26" s="1077"/>
      <c r="I26" s="1077"/>
      <c r="J26" s="1077"/>
      <c r="K26" s="1077"/>
      <c r="L26" s="1077"/>
      <c r="M26" s="1249"/>
      <c r="N26" s="1250"/>
      <c r="O26" s="1250"/>
      <c r="P26" s="1232" t="s">
        <v>463</v>
      </c>
      <c r="Q26" s="1284"/>
      <c r="R26" s="1293"/>
      <c r="S26" s="1293"/>
      <c r="T26" s="1293"/>
      <c r="U26" s="663"/>
      <c r="V26" s="1082" t="s">
        <v>464</v>
      </c>
      <c r="AD26" s="121" t="s">
        <v>465</v>
      </c>
      <c r="AF26" s="121" t="s">
        <v>466</v>
      </c>
      <c r="AG26" s="1082" t="s">
        <v>464</v>
      </c>
      <c r="AM26" s="121" t="s">
        <v>467</v>
      </c>
      <c r="AO26" s="121" t="s">
        <v>466</v>
      </c>
      <c r="AR26" s="445"/>
      <c r="AS26" s="445"/>
      <c r="AT26" s="445"/>
      <c r="AU26" s="445"/>
      <c r="AV26" s="445"/>
      <c r="AW26" s="1082">
        <v>0</v>
      </c>
    </row>
    <row r="27" spans="1:49" ht="14.25" hidden="1" customHeight="1">
      <c r="P27" s="1232"/>
      <c r="AW27" s="1077">
        <v>0</v>
      </c>
    </row>
    <row r="28" spans="1:49" ht="14.25" hidden="1" customHeight="1">
      <c r="P28" s="1232"/>
      <c r="AW28" s="1077">
        <v>0</v>
      </c>
    </row>
    <row r="29" spans="1:49" ht="14.65" customHeight="1">
      <c r="R29" s="310"/>
      <c r="S29" s="310"/>
      <c r="T29" s="310"/>
      <c r="U29" s="1197"/>
      <c r="V29" s="297"/>
      <c r="W29" s="297"/>
      <c r="X29" s="443"/>
      <c r="Y29" s="443"/>
      <c r="Z29" s="443"/>
      <c r="AA29" s="443"/>
      <c r="AB29" s="443"/>
      <c r="AC29" s="443"/>
      <c r="AD29" s="443"/>
      <c r="AE29" s="443"/>
      <c r="AF29" s="443"/>
      <c r="AG29" s="443"/>
      <c r="AH29" s="443"/>
      <c r="AI29" s="443"/>
      <c r="AJ29" s="443"/>
      <c r="AK29" s="443"/>
      <c r="AL29" s="443"/>
      <c r="AM29" s="443"/>
      <c r="AN29" s="443"/>
      <c r="AO29" s="443"/>
      <c r="AW29" s="1077">
        <v>14</v>
      </c>
    </row>
    <row r="30" spans="1:49" ht="56.65" customHeight="1">
      <c r="R30" s="310"/>
      <c r="S30" s="310"/>
      <c r="T30" s="310"/>
      <c r="U30" s="372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721"/>
      <c r="W30" s="3721"/>
      <c r="X30" s="3721"/>
      <c r="Y30" s="3721"/>
      <c r="Z30" s="3721"/>
      <c r="AA30" s="3721"/>
      <c r="AB30" s="3721"/>
      <c r="AC30" s="3721"/>
      <c r="AD30" s="3721"/>
      <c r="AE30" s="3721"/>
      <c r="AF30" s="3721"/>
      <c r="AG30" s="3721"/>
      <c r="AH30" s="3721"/>
      <c r="AI30" s="3721"/>
      <c r="AJ30" s="3721"/>
      <c r="AK30" s="3721"/>
      <c r="AL30" s="3721"/>
      <c r="AM30" s="3721"/>
      <c r="AN30" s="3721"/>
      <c r="AO30" s="1165"/>
      <c r="AW30" s="1077">
        <v>54</v>
      </c>
    </row>
    <row r="31" spans="1:49" ht="14.65" customHeight="1">
      <c r="R31" s="310"/>
      <c r="S31" s="310"/>
      <c r="T31" s="310"/>
      <c r="U31" s="3667" t="str">
        <f>IF(org=0,"Не определено",org)</f>
        <v>ООО "Смоленскрегионтеплоэнерго"</v>
      </c>
      <c r="V31" s="3667"/>
      <c r="W31" s="3667"/>
      <c r="X31" s="3667"/>
      <c r="Y31" s="3667"/>
      <c r="Z31" s="3667"/>
      <c r="AA31" s="3667"/>
      <c r="AB31" s="3667"/>
      <c r="AC31" s="3667"/>
      <c r="AD31" s="3667"/>
      <c r="AE31" s="3667"/>
      <c r="AF31" s="3667"/>
      <c r="AG31" s="3667"/>
      <c r="AH31" s="3667"/>
      <c r="AI31" s="3667"/>
      <c r="AJ31" s="3667"/>
      <c r="AK31" s="3667"/>
      <c r="AL31" s="3667"/>
      <c r="AM31" s="3667"/>
      <c r="AN31" s="3667"/>
      <c r="AO31" s="1165"/>
      <c r="AW31" s="1077">
        <v>14</v>
      </c>
    </row>
    <row r="32" spans="1:49" ht="14.25" hidden="1" customHeight="1">
      <c r="R32" s="310"/>
      <c r="S32" s="310"/>
      <c r="T32" s="310"/>
      <c r="U32" s="1197"/>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7">
        <v>0</v>
      </c>
    </row>
    <row r="33" spans="1:49" s="1742" customFormat="1" ht="25.5" hidden="1" customHeight="1">
      <c r="A33" s="1170"/>
      <c r="B33" s="1170"/>
      <c r="C33" s="1170"/>
      <c r="D33" s="1170"/>
      <c r="E33" s="1170"/>
      <c r="F33" s="1170"/>
      <c r="G33" s="1170"/>
      <c r="H33" s="1170"/>
      <c r="I33" s="1170"/>
      <c r="J33" s="1170"/>
      <c r="K33" s="1170"/>
      <c r="L33" s="1170"/>
      <c r="M33" s="1302"/>
      <c r="N33" s="1170"/>
      <c r="O33" s="1170"/>
      <c r="P33" s="1170"/>
      <c r="U33"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3729"/>
      <c r="W33" s="1294"/>
      <c r="X33" s="3730" t="str">
        <f>IF(TITLE_NAME_OR_PR_CHANGE="",IF(TITLE_NAME_OR_PR="","",TITLE_NAME_OR_PR),TITLE_NAME_OR_PR_CHANGE)</f>
        <v/>
      </c>
      <c r="Y33" s="3730"/>
      <c r="Z33" s="3730"/>
      <c r="AA33" s="3730"/>
      <c r="AB33" s="3730"/>
      <c r="AC33" s="3730"/>
      <c r="AD33" s="3730"/>
      <c r="AE33" s="3730"/>
      <c r="AF33" s="261"/>
      <c r="AG33" s="3730" t="str">
        <f>IF(TITLE_NAME_OR_PR_CHANGE="",IF(TITLE_NAME_OR_PR="","",TITLE_NAME_OR_PR),TITLE_NAME_OR_PR_CHANGE)</f>
        <v/>
      </c>
      <c r="AH33" s="3730"/>
      <c r="AI33" s="3730"/>
      <c r="AJ33" s="3730"/>
      <c r="AK33" s="3730"/>
      <c r="AL33" s="3730"/>
      <c r="AM33" s="3730"/>
      <c r="AN33" s="3730"/>
      <c r="AO33" s="261"/>
      <c r="AP33" s="261"/>
      <c r="AQ33" s="215"/>
      <c r="AR33" s="302"/>
      <c r="AS33" s="302"/>
      <c r="AT33" s="302"/>
      <c r="AU33" s="302"/>
      <c r="AV33" s="302"/>
      <c r="AW33" s="352">
        <v>0</v>
      </c>
    </row>
    <row r="34" spans="1:49" s="1742" customFormat="1" ht="18.75" hidden="1" customHeight="1">
      <c r="A34" s="1170"/>
      <c r="B34" s="1170"/>
      <c r="C34" s="1170"/>
      <c r="D34" s="1170"/>
      <c r="E34" s="1170"/>
      <c r="F34" s="1170"/>
      <c r="G34" s="1170"/>
      <c r="H34" s="1170"/>
      <c r="I34" s="1170"/>
      <c r="J34" s="1170"/>
      <c r="K34" s="1170"/>
      <c r="L34" s="1170"/>
      <c r="M34" s="1302"/>
      <c r="N34" s="1170"/>
      <c r="O34" s="1170"/>
      <c r="P34" s="1170"/>
      <c r="U34" s="3729" t="str">
        <f>"Дата документа об "&amp;IF(TITLE_DATE_PR_CHANGE="","утверждении","изменении")&amp;" тарифов"</f>
        <v>Дата документа об утверждении тарифов</v>
      </c>
      <c r="V34" s="3729"/>
      <c r="W34" s="1294"/>
      <c r="X34" s="3739" t="str">
        <f>IF(TITLE_DATE_PR_CHANGE="",IF(TITLE_DATE_PR="","",TITLE_DATE_PR),TITLE_DATE_PR_CHANGE)</f>
        <v/>
      </c>
      <c r="Y34" s="3739"/>
      <c r="Z34" s="3739"/>
      <c r="AA34" s="3739"/>
      <c r="AB34" s="3739"/>
      <c r="AC34" s="3739"/>
      <c r="AD34" s="3739"/>
      <c r="AE34" s="3739"/>
      <c r="AF34" s="261"/>
      <c r="AG34" s="3739" t="str">
        <f>IF(TITLE_DATE_PR_CHANGE="",IF(TITLE_DATE_PR="","",TITLE_DATE_PR),TITLE_DATE_PR_CHANGE)</f>
        <v/>
      </c>
      <c r="AH34" s="3739"/>
      <c r="AI34" s="3739"/>
      <c r="AJ34" s="3739"/>
      <c r="AK34" s="3739"/>
      <c r="AL34" s="3739"/>
      <c r="AM34" s="3739"/>
      <c r="AN34" s="3739"/>
      <c r="AO34" s="261"/>
      <c r="AP34" s="261"/>
      <c r="AQ34" s="215"/>
      <c r="AR34" s="302"/>
      <c r="AS34" s="302"/>
      <c r="AT34" s="302"/>
      <c r="AU34" s="302"/>
      <c r="AV34" s="302"/>
      <c r="AW34" s="352">
        <v>0</v>
      </c>
    </row>
    <row r="35" spans="1:49" s="1742" customFormat="1" ht="18.75" hidden="1" customHeight="1">
      <c r="A35" s="1170"/>
      <c r="B35" s="1170"/>
      <c r="C35" s="1170"/>
      <c r="D35" s="1170"/>
      <c r="E35" s="1170"/>
      <c r="F35" s="1170"/>
      <c r="G35" s="1170"/>
      <c r="H35" s="1170"/>
      <c r="I35" s="1170"/>
      <c r="J35" s="1170"/>
      <c r="K35" s="1170"/>
      <c r="L35" s="1170"/>
      <c r="M35" s="1302"/>
      <c r="N35" s="1170"/>
      <c r="O35" s="1170"/>
      <c r="P35" s="1170"/>
      <c r="U35" s="3729" t="str">
        <f>"Номер документа об "&amp;IF(TITLE_DATE_PR_CHANGE="","утверждении","изменении")&amp;" тарифов"</f>
        <v>Номер документа об утверждении тарифов</v>
      </c>
      <c r="V35" s="3729"/>
      <c r="W35" s="1294"/>
      <c r="X35" s="3730" t="str">
        <f>IF(TITLE_NUMBER_PR_CHANGE="",IF(TITLE_NUMBER_PR="","",TITLE_NUMBER_PR),TITLE_NUMBER_PR_CHANGE)</f>
        <v/>
      </c>
      <c r="Y35" s="3730"/>
      <c r="Z35" s="3730"/>
      <c r="AA35" s="3730"/>
      <c r="AB35" s="3730"/>
      <c r="AC35" s="3730"/>
      <c r="AD35" s="3730"/>
      <c r="AE35" s="3730"/>
      <c r="AF35" s="261"/>
      <c r="AG35" s="3730" t="str">
        <f>IF(TITLE_NUMBER_PR_CHANGE="",IF(TITLE_NUMBER_PR="","",TITLE_NUMBER_PR),TITLE_NUMBER_PR_CHANGE)</f>
        <v/>
      </c>
      <c r="AH35" s="3730"/>
      <c r="AI35" s="3730"/>
      <c r="AJ35" s="3730"/>
      <c r="AK35" s="3730"/>
      <c r="AL35" s="3730"/>
      <c r="AM35" s="3730"/>
      <c r="AN35" s="3730"/>
      <c r="AO35" s="261"/>
      <c r="AP35" s="261"/>
      <c r="AQ35" s="215"/>
      <c r="AR35" s="302"/>
      <c r="AS35" s="302"/>
      <c r="AT35" s="302"/>
      <c r="AU35" s="302"/>
      <c r="AV35" s="302"/>
      <c r="AW35" s="352">
        <v>0</v>
      </c>
    </row>
    <row r="36" spans="1:49" s="1742" customFormat="1" ht="18.75" hidden="1" customHeight="1">
      <c r="A36" s="1170"/>
      <c r="B36" s="1170"/>
      <c r="C36" s="1170"/>
      <c r="D36" s="1170"/>
      <c r="E36" s="1170"/>
      <c r="F36" s="1170"/>
      <c r="G36" s="1170"/>
      <c r="H36" s="1170"/>
      <c r="I36" s="1170"/>
      <c r="J36" s="1170"/>
      <c r="K36" s="1170"/>
      <c r="L36" s="1170"/>
      <c r="M36" s="1302"/>
      <c r="N36" s="1170"/>
      <c r="O36" s="1170"/>
      <c r="P36" s="1170"/>
      <c r="U36" s="3729" t="s">
        <v>30</v>
      </c>
      <c r="V36" s="3729"/>
      <c r="W36" s="1294"/>
      <c r="X36" s="3730" t="str">
        <f>IF(TITLE_IST_PUB_CHANGE="",IF(TITLE_IST_PUB="","",TITLE_IST_PUB),TITLE_IST_PUB_CHANGE)</f>
        <v/>
      </c>
      <c r="Y36" s="3730"/>
      <c r="Z36" s="3730"/>
      <c r="AA36" s="3730"/>
      <c r="AB36" s="3730"/>
      <c r="AC36" s="3730"/>
      <c r="AD36" s="3730"/>
      <c r="AE36" s="3730"/>
      <c r="AF36" s="261"/>
      <c r="AG36" s="3730" t="str">
        <f>IF(TITLE_IST_PUB_CHANGE="",IF(TITLE_IST_PUB="","",TITLE_IST_PUB),TITLE_IST_PUB_CHANGE)</f>
        <v/>
      </c>
      <c r="AH36" s="3730"/>
      <c r="AI36" s="3730"/>
      <c r="AJ36" s="3730"/>
      <c r="AK36" s="3730"/>
      <c r="AL36" s="3730"/>
      <c r="AM36" s="3730"/>
      <c r="AN36" s="3730"/>
      <c r="AO36" s="261"/>
      <c r="AP36" s="261"/>
      <c r="AQ36" s="215"/>
      <c r="AR36" s="302"/>
      <c r="AS36" s="302"/>
      <c r="AT36" s="302"/>
      <c r="AU36" s="302"/>
      <c r="AV36" s="302"/>
      <c r="AW36" s="352">
        <v>0</v>
      </c>
    </row>
    <row r="37" spans="1:49" ht="14.25" hidden="1" customHeight="1">
      <c r="R37" s="310"/>
      <c r="S37" s="310"/>
      <c r="T37" s="310"/>
      <c r="U37" s="1197"/>
      <c r="V37" s="391"/>
      <c r="W37" s="297"/>
      <c r="X37" s="257"/>
      <c r="Y37" s="257"/>
      <c r="Z37" s="257"/>
      <c r="AA37" s="257"/>
      <c r="AB37" s="257"/>
      <c r="AC37" s="257"/>
      <c r="AD37" s="257"/>
      <c r="AE37" s="257"/>
      <c r="AF37" s="257"/>
      <c r="AG37" s="257"/>
      <c r="AH37" s="257"/>
      <c r="AI37" s="257"/>
      <c r="AJ37" s="257"/>
      <c r="AK37" s="257"/>
      <c r="AL37" s="257"/>
      <c r="AM37" s="257"/>
      <c r="AN37" s="257"/>
      <c r="AO37" s="257"/>
      <c r="AP37" s="443"/>
      <c r="AW37" s="1077">
        <v>0</v>
      </c>
    </row>
    <row r="38" spans="1:49" s="1742" customFormat="1" ht="18.75" hidden="1" customHeight="1">
      <c r="A38" s="1170"/>
      <c r="B38" s="1170"/>
      <c r="C38" s="1170"/>
      <c r="D38" s="1170"/>
      <c r="E38" s="1170"/>
      <c r="F38" s="1170"/>
      <c r="G38" s="1170"/>
      <c r="H38" s="1170"/>
      <c r="I38" s="1170"/>
      <c r="J38" s="1170"/>
      <c r="K38" s="1170"/>
      <c r="L38" s="1170"/>
      <c r="M38" s="1302"/>
      <c r="N38" s="1170"/>
      <c r="O38" s="1170"/>
      <c r="P38" s="1170"/>
      <c r="U38" s="3729" t="str">
        <f>"Дата подачи заявления об "&amp;IF(TITLE_DATE_PR_CHANGE="","утверждении","изменении")&amp;" тарифов"</f>
        <v>Дата подачи заявления об утверждении тарифов</v>
      </c>
      <c r="V38" s="3729"/>
      <c r="W38" s="1294"/>
      <c r="X38" s="3739" t="str">
        <f>IF(TITLE_DATE_PR_CHANGE="",IF(TITLE_DATE_PR="","",TITLE_DATE_PR),TITLE_DATE_PR_CHANGE)</f>
        <v/>
      </c>
      <c r="Y38" s="3739"/>
      <c r="Z38" s="3739"/>
      <c r="AA38" s="3739"/>
      <c r="AB38" s="3739"/>
      <c r="AC38" s="3739"/>
      <c r="AD38" s="3739"/>
      <c r="AE38" s="3739"/>
      <c r="AF38" s="261"/>
      <c r="AG38" s="3739" t="str">
        <f>IF(TITLE_DATE_PR_CHANGE="",IF(TITLE_DATE_PR="","",TITLE_DATE_PR),TITLE_DATE_PR_CHANGE)</f>
        <v/>
      </c>
      <c r="AH38" s="3739"/>
      <c r="AI38" s="3739"/>
      <c r="AJ38" s="3739"/>
      <c r="AK38" s="3739"/>
      <c r="AL38" s="3739"/>
      <c r="AM38" s="3739"/>
      <c r="AN38" s="3739"/>
      <c r="AO38" s="261"/>
      <c r="AP38" s="261"/>
      <c r="AQ38" s="215"/>
      <c r="AR38" s="302"/>
      <c r="AS38" s="302"/>
      <c r="AT38" s="302"/>
      <c r="AU38" s="302"/>
      <c r="AV38" s="302"/>
      <c r="AW38" s="352">
        <v>0</v>
      </c>
    </row>
    <row r="39" spans="1:49" s="1742" customFormat="1" ht="18.75" hidden="1" customHeight="1">
      <c r="A39" s="1170"/>
      <c r="B39" s="1170"/>
      <c r="C39" s="1170"/>
      <c r="D39" s="1170"/>
      <c r="E39" s="1170"/>
      <c r="F39" s="1170"/>
      <c r="G39" s="1170"/>
      <c r="H39" s="1170"/>
      <c r="I39" s="1170"/>
      <c r="J39" s="1170"/>
      <c r="K39" s="1170"/>
      <c r="L39" s="1170"/>
      <c r="M39" s="1302"/>
      <c r="N39" s="1170"/>
      <c r="O39" s="1170"/>
      <c r="P39" s="1170"/>
      <c r="U39" s="3729" t="str">
        <f>"Номер подачи заявления об "&amp;IF(TITLE_DATE_PR_CHANGE="","утверждении","изменении")&amp;" тарифов"</f>
        <v>Номер подачи заявления об утверждении тарифов</v>
      </c>
      <c r="V39" s="3729"/>
      <c r="W39" s="1294"/>
      <c r="X39" s="3730" t="str">
        <f>IF(TITLE_NUMBER_PR_CHANGE="",IF(TITLE_NUMBER_PR="","",TITLE_NUMBER_PR),TITLE_NUMBER_PR_CHANGE)</f>
        <v/>
      </c>
      <c r="Y39" s="3730"/>
      <c r="Z39" s="3730"/>
      <c r="AA39" s="3730"/>
      <c r="AB39" s="3730"/>
      <c r="AC39" s="3730"/>
      <c r="AD39" s="3730"/>
      <c r="AE39" s="3730"/>
      <c r="AF39" s="261"/>
      <c r="AG39" s="3730" t="str">
        <f>IF(TITLE_NUMBER_PR_CHANGE="",IF(TITLE_NUMBER_PR="","",TITLE_NUMBER_PR),TITLE_NUMBER_PR_CHANGE)</f>
        <v/>
      </c>
      <c r="AH39" s="3730"/>
      <c r="AI39" s="3730"/>
      <c r="AJ39" s="3730"/>
      <c r="AK39" s="3730"/>
      <c r="AL39" s="3730"/>
      <c r="AM39" s="3730"/>
      <c r="AN39" s="3730"/>
      <c r="AO39" s="261"/>
      <c r="AP39" s="261"/>
      <c r="AQ39" s="215"/>
      <c r="AR39" s="302"/>
      <c r="AS39" s="302"/>
      <c r="AT39" s="302"/>
      <c r="AU39" s="302"/>
      <c r="AV39" s="302"/>
      <c r="AW39" s="352">
        <v>0</v>
      </c>
    </row>
    <row r="40" spans="1:49" s="1742" customFormat="1" ht="0" hidden="1" customHeight="1">
      <c r="A40" s="1170"/>
      <c r="B40" s="1170"/>
      <c r="C40" s="1170"/>
      <c r="D40" s="1170"/>
      <c r="E40" s="1170"/>
      <c r="F40" s="1170"/>
      <c r="G40" s="1170"/>
      <c r="H40" s="1170"/>
      <c r="I40" s="1170"/>
      <c r="J40" s="1170"/>
      <c r="K40" s="1170"/>
      <c r="L40" s="1170"/>
      <c r="M40" s="1302"/>
      <c r="N40" s="1170"/>
      <c r="O40" s="1170"/>
      <c r="P40" s="1170"/>
      <c r="U40" s="258"/>
      <c r="V40" s="258"/>
      <c r="W40" s="1262"/>
      <c r="X40" s="261"/>
      <c r="Y40" s="261"/>
      <c r="Z40" s="261"/>
      <c r="AA40" s="261"/>
      <c r="AB40" s="261"/>
      <c r="AC40" s="261"/>
      <c r="AD40" s="261"/>
      <c r="AE40" s="261"/>
      <c r="AF40" s="213" t="s">
        <v>468</v>
      </c>
      <c r="AG40" s="261"/>
      <c r="AH40" s="261"/>
      <c r="AI40" s="261"/>
      <c r="AJ40" s="261"/>
      <c r="AK40" s="261"/>
      <c r="AL40" s="261"/>
      <c r="AM40" s="261"/>
      <c r="AN40" s="261"/>
      <c r="AO40" s="213" t="s">
        <v>468</v>
      </c>
      <c r="AR40" s="302"/>
      <c r="AS40" s="302"/>
      <c r="AT40" s="302"/>
      <c r="AU40" s="302"/>
      <c r="AV40" s="302"/>
      <c r="AW40" s="352">
        <v>0</v>
      </c>
    </row>
    <row r="41" spans="1:49" ht="14.65" customHeight="1">
      <c r="R41" s="310"/>
      <c r="S41" s="310"/>
      <c r="T41" s="310"/>
      <c r="U41" s="1197"/>
      <c r="V41" s="297"/>
      <c r="W41" s="1166"/>
      <c r="X41" s="3731"/>
      <c r="Y41" s="3731"/>
      <c r="Z41" s="3731"/>
      <c r="AA41" s="3731"/>
      <c r="AB41" s="3731"/>
      <c r="AC41" s="3731"/>
      <c r="AD41" s="3731"/>
      <c r="AE41" s="3731"/>
      <c r="AF41" s="3731"/>
      <c r="AG41" s="3731"/>
      <c r="AH41" s="3731"/>
      <c r="AI41" s="3731"/>
      <c r="AJ41" s="3731"/>
      <c r="AK41" s="3731"/>
      <c r="AL41" s="3731"/>
      <c r="AM41" s="3731"/>
      <c r="AN41" s="3731"/>
      <c r="AO41" s="3731"/>
      <c r="AW41" s="1077">
        <v>14</v>
      </c>
    </row>
    <row r="42" spans="1:49" ht="14.65" customHeight="1">
      <c r="R42" s="310"/>
      <c r="S42" s="310"/>
      <c r="T42" s="310"/>
      <c r="U42" s="3618" t="s">
        <v>345</v>
      </c>
      <c r="V42" s="3618"/>
      <c r="W42" s="3618"/>
      <c r="X42" s="3618"/>
      <c r="Y42" s="3618"/>
      <c r="Z42" s="3618"/>
      <c r="AA42" s="3618"/>
      <c r="AB42" s="3618"/>
      <c r="AC42" s="3618"/>
      <c r="AD42" s="3618"/>
      <c r="AE42" s="3618"/>
      <c r="AF42" s="3618"/>
      <c r="AG42" s="3618"/>
      <c r="AH42" s="3618"/>
      <c r="AI42" s="3618"/>
      <c r="AJ42" s="3618"/>
      <c r="AK42" s="3618"/>
      <c r="AL42" s="3618"/>
      <c r="AM42" s="3618"/>
      <c r="AN42" s="3618"/>
      <c r="AO42" s="3618"/>
      <c r="AP42" s="3618"/>
      <c r="AQ42" s="3618" t="s">
        <v>346</v>
      </c>
      <c r="AW42" s="1077">
        <v>14</v>
      </c>
    </row>
    <row r="43" spans="1:49" ht="14.65" customHeight="1">
      <c r="R43" s="310"/>
      <c r="S43" s="310"/>
      <c r="T43" s="310"/>
      <c r="U43" s="3745" t="s">
        <v>76</v>
      </c>
      <c r="V43" s="3697" t="s">
        <v>469</v>
      </c>
      <c r="W43" s="236"/>
      <c r="X43" s="3746" t="s">
        <v>470</v>
      </c>
      <c r="Y43" s="3763"/>
      <c r="Z43" s="3763"/>
      <c r="AA43" s="3763"/>
      <c r="AB43" s="3763"/>
      <c r="AC43" s="3747"/>
      <c r="AD43" s="3747"/>
      <c r="AE43" s="3748"/>
      <c r="AF43" s="3749" t="s">
        <v>471</v>
      </c>
      <c r="AG43" s="3746" t="s">
        <v>470</v>
      </c>
      <c r="AH43" s="3763"/>
      <c r="AI43" s="3763"/>
      <c r="AJ43" s="3763"/>
      <c r="AK43" s="3763"/>
      <c r="AL43" s="3747"/>
      <c r="AM43" s="3747"/>
      <c r="AN43" s="3748"/>
      <c r="AO43" s="3749" t="s">
        <v>472</v>
      </c>
      <c r="AP43" s="3752" t="s">
        <v>473</v>
      </c>
      <c r="AQ43" s="3618"/>
      <c r="AW43" s="1077">
        <v>14</v>
      </c>
    </row>
    <row r="44" spans="1:49" ht="35.65" customHeight="1">
      <c r="R44" s="310"/>
      <c r="S44" s="310"/>
      <c r="T44" s="310"/>
      <c r="U44" s="3745"/>
      <c r="V44" s="3697"/>
      <c r="W44" s="957"/>
      <c r="X44" s="3683" t="s">
        <v>496</v>
      </c>
      <c r="Y44" s="3618" t="s">
        <v>497</v>
      </c>
      <c r="Z44" s="3618"/>
      <c r="AA44" s="3618"/>
      <c r="AB44" s="3618"/>
      <c r="AC44" s="3683" t="s">
        <v>477</v>
      </c>
      <c r="AD44" s="3777"/>
      <c r="AE44" s="3684"/>
      <c r="AF44" s="3750"/>
      <c r="AG44" s="3683" t="s">
        <v>496</v>
      </c>
      <c r="AH44" s="3618" t="s">
        <v>497</v>
      </c>
      <c r="AI44" s="3618"/>
      <c r="AJ44" s="3618"/>
      <c r="AK44" s="3618"/>
      <c r="AL44" s="3683" t="s">
        <v>477</v>
      </c>
      <c r="AM44" s="3777"/>
      <c r="AN44" s="3684"/>
      <c r="AO44" s="3750"/>
      <c r="AP44" s="3753"/>
      <c r="AQ44" s="3618"/>
      <c r="AW44" s="1077">
        <v>34</v>
      </c>
    </row>
    <row r="45" spans="1:49" ht="14.65" customHeight="1">
      <c r="R45" s="310"/>
      <c r="S45" s="310"/>
      <c r="T45" s="310"/>
      <c r="U45" s="3745"/>
      <c r="V45" s="3697"/>
      <c r="W45" s="957"/>
      <c r="X45" s="3685"/>
      <c r="Y45" s="3710" t="s">
        <v>498</v>
      </c>
      <c r="Z45" s="3705" t="s">
        <v>499</v>
      </c>
      <c r="AA45" s="3706"/>
      <c r="AB45" s="3707"/>
      <c r="AC45" s="3688"/>
      <c r="AD45" s="3778"/>
      <c r="AE45" s="3689"/>
      <c r="AF45" s="3750"/>
      <c r="AG45" s="3685"/>
      <c r="AH45" s="3710" t="s">
        <v>498</v>
      </c>
      <c r="AI45" s="3705" t="s">
        <v>499</v>
      </c>
      <c r="AJ45" s="3706"/>
      <c r="AK45" s="3707"/>
      <c r="AL45" s="3688"/>
      <c r="AM45" s="3778"/>
      <c r="AN45" s="3689"/>
      <c r="AO45" s="3750"/>
      <c r="AP45" s="3753"/>
      <c r="AQ45" s="3618"/>
      <c r="AW45" s="1077">
        <v>14</v>
      </c>
    </row>
    <row r="46" spans="1:49" ht="27.4" customHeight="1">
      <c r="R46" s="310"/>
      <c r="S46" s="310"/>
      <c r="T46" s="310"/>
      <c r="U46" s="3745"/>
      <c r="V46" s="3697"/>
      <c r="W46" s="957"/>
      <c r="X46" s="3685"/>
      <c r="Y46" s="3779"/>
      <c r="Z46" s="3710" t="s">
        <v>500</v>
      </c>
      <c r="AA46" s="3705" t="s">
        <v>501</v>
      </c>
      <c r="AB46" s="3707"/>
      <c r="AC46" s="3710" t="s">
        <v>487</v>
      </c>
      <c r="AD46" s="3712" t="s">
        <v>488</v>
      </c>
      <c r="AE46" s="3714"/>
      <c r="AF46" s="3750"/>
      <c r="AG46" s="3685"/>
      <c r="AH46" s="3779"/>
      <c r="AI46" s="3710" t="s">
        <v>500</v>
      </c>
      <c r="AJ46" s="3705" t="s">
        <v>501</v>
      </c>
      <c r="AK46" s="3707"/>
      <c r="AL46" s="3710" t="s">
        <v>487</v>
      </c>
      <c r="AM46" s="3712" t="s">
        <v>488</v>
      </c>
      <c r="AN46" s="3714"/>
      <c r="AO46" s="3750"/>
      <c r="AP46" s="3753"/>
      <c r="AQ46" s="3618"/>
      <c r="AW46" s="1077">
        <v>26</v>
      </c>
    </row>
    <row r="47" spans="1:49" ht="65.25" customHeight="1">
      <c r="A47" s="1181"/>
      <c r="B47" s="1181" t="s">
        <v>188</v>
      </c>
      <c r="C47" s="1181" t="s">
        <v>189</v>
      </c>
      <c r="D47" s="1181" t="s">
        <v>190</v>
      </c>
      <c r="E47" s="1232" t="s">
        <v>478</v>
      </c>
      <c r="F47" s="1232" t="s">
        <v>479</v>
      </c>
      <c r="G47" s="1232" t="s">
        <v>480</v>
      </c>
      <c r="H47" s="1232" t="s">
        <v>481</v>
      </c>
      <c r="I47" s="1232" t="s">
        <v>482</v>
      </c>
      <c r="J47" s="1232" t="s">
        <v>483</v>
      </c>
      <c r="K47" s="1232" t="s">
        <v>484</v>
      </c>
      <c r="L47" s="1232" t="s">
        <v>502</v>
      </c>
      <c r="M47" s="1232" t="s">
        <v>463</v>
      </c>
      <c r="R47" s="310"/>
      <c r="S47" s="310"/>
      <c r="T47" s="310"/>
      <c r="U47" s="3745"/>
      <c r="V47" s="3697"/>
      <c r="W47" s="237"/>
      <c r="X47" s="3688"/>
      <c r="Y47" s="3711"/>
      <c r="Z47" s="3711"/>
      <c r="AA47" s="1144" t="s">
        <v>503</v>
      </c>
      <c r="AB47" s="1144" t="s">
        <v>504</v>
      </c>
      <c r="AC47" s="3711"/>
      <c r="AD47" s="3713"/>
      <c r="AE47" s="3715"/>
      <c r="AF47" s="3751"/>
      <c r="AG47" s="3688"/>
      <c r="AH47" s="3711"/>
      <c r="AI47" s="3711"/>
      <c r="AJ47" s="1144" t="s">
        <v>503</v>
      </c>
      <c r="AK47" s="1144" t="s">
        <v>504</v>
      </c>
      <c r="AL47" s="3711"/>
      <c r="AM47" s="3713"/>
      <c r="AN47" s="3715"/>
      <c r="AO47" s="3751"/>
      <c r="AP47" s="3754"/>
      <c r="AQ47" s="3618"/>
      <c r="AW47" s="1077">
        <v>62</v>
      </c>
    </row>
    <row r="48" spans="1:49" s="1563" customFormat="1" ht="11.25" hidden="1" customHeight="1">
      <c r="A48" s="1181"/>
      <c r="B48" s="1181"/>
      <c r="C48" s="1181"/>
      <c r="D48" s="1181"/>
      <c r="E48" s="1181"/>
      <c r="F48" s="1181"/>
      <c r="G48" s="1181"/>
      <c r="H48" s="1181"/>
      <c r="I48" s="1181"/>
      <c r="J48" s="1181"/>
      <c r="K48" s="1181"/>
      <c r="L48" s="1181"/>
      <c r="M48" s="1232"/>
      <c r="N48" s="1250"/>
      <c r="O48" s="1250"/>
      <c r="P48" s="1250"/>
      <c r="Q48" s="1168"/>
      <c r="R48" s="1169"/>
      <c r="S48" s="1176">
        <v>1</v>
      </c>
      <c r="T48" s="1176"/>
      <c r="U48" s="1199" t="s">
        <v>164</v>
      </c>
      <c r="V48" s="1177" t="s">
        <v>89</v>
      </c>
      <c r="W48" s="1167" t="str">
        <f ca="1">OFFSET(W48,0,-1)</f>
        <v>2</v>
      </c>
      <c r="X48" s="1257">
        <f ca="1">OFFSET(X48,0,-1)+1</f>
        <v>3</v>
      </c>
      <c r="Y48" s="1263"/>
      <c r="Z48" s="1263"/>
      <c r="AA48" s="1263">
        <f ca="1">OFFSET(AA48,0,-1)+1</f>
        <v>1</v>
      </c>
      <c r="AB48" s="1263">
        <f ca="1">OFFSET(AB48,0,-1)+1</f>
        <v>2</v>
      </c>
      <c r="AC48" s="1257">
        <f ca="1">OFFSET(AC48,0,-1)+1</f>
        <v>3</v>
      </c>
      <c r="AD48" s="3744">
        <f ca="1">OFFSET(AD48,0,-1)+1</f>
        <v>4</v>
      </c>
      <c r="AE48" s="3744"/>
      <c r="AF48" s="1257">
        <f ca="1">OFFSET(AF48,0,-2)+1</f>
        <v>5</v>
      </c>
      <c r="AG48" s="1257">
        <f ca="1">OFFSET(AG48,0,-1)+1</f>
        <v>6</v>
      </c>
      <c r="AH48" s="1257"/>
      <c r="AI48" s="1257"/>
      <c r="AJ48" s="1257">
        <f ca="1">OFFSET(AJ48,0,-1)+1</f>
        <v>1</v>
      </c>
      <c r="AK48" s="1257">
        <f ca="1">OFFSET(AK48,0,-1)+1</f>
        <v>2</v>
      </c>
      <c r="AL48" s="1257">
        <f ca="1">OFFSET(AL48,0,-1)+1</f>
        <v>3</v>
      </c>
      <c r="AM48" s="3744">
        <f ca="1">OFFSET(AM48,0,-1)+1</f>
        <v>4</v>
      </c>
      <c r="AN48" s="3744"/>
      <c r="AO48" s="1257">
        <f ca="1">OFFSET(AO48,0,-2)+1</f>
        <v>5</v>
      </c>
      <c r="AP48" s="1167">
        <f ca="1">OFFSET(AP48,0,-1)</f>
        <v>5</v>
      </c>
      <c r="AQ48" s="1257">
        <f ca="1">OFFSET(AQ48,0,-1)+1</f>
        <v>6</v>
      </c>
      <c r="AR48" s="445"/>
      <c r="AS48" s="445"/>
      <c r="AT48" s="445"/>
      <c r="AU48" s="445"/>
      <c r="AV48" s="445"/>
      <c r="AW48" s="430">
        <v>0</v>
      </c>
    </row>
    <row r="49" spans="1:49" ht="21.95" customHeight="1">
      <c r="A49" s="1189" t="s">
        <v>221</v>
      </c>
      <c r="B49" s="1189"/>
      <c r="C49" s="1189"/>
      <c r="D49" s="1189"/>
      <c r="E49" s="3761">
        <v>1</v>
      </c>
      <c r="F49" s="1189"/>
      <c r="G49" s="1189"/>
      <c r="H49" s="1189"/>
      <c r="I49" s="1189"/>
      <c r="J49" s="1189"/>
      <c r="K49" s="1189"/>
      <c r="L49" s="1189"/>
      <c r="M49" s="1232"/>
      <c r="N49" s="622"/>
      <c r="O49" s="622"/>
      <c r="P49" s="622"/>
      <c r="Q49" s="295"/>
      <c r="R49" s="294"/>
      <c r="S49" s="294"/>
      <c r="T49" s="289"/>
      <c r="U49" s="1258">
        <f>INDEX(PT_DIFFERENTIATION_NUM_NTAR,MATCH(A49,PT_DIFFERENTIATION_NTAR_ID,0))</f>
        <v>0</v>
      </c>
      <c r="V49" s="233" t="s">
        <v>176</v>
      </c>
      <c r="W49" s="235"/>
      <c r="X49" s="3723"/>
      <c r="Y49" s="3724"/>
      <c r="Z49" s="3724"/>
      <c r="AA49" s="3724"/>
      <c r="AB49" s="3724"/>
      <c r="AC49" s="3724"/>
      <c r="AD49" s="3724"/>
      <c r="AE49" s="3724"/>
      <c r="AF49" s="3725"/>
      <c r="AG49" s="3723" t="str">
        <f>INDEX(PT_DIFFERENTIATION_NTAR,MATCH(A49,PT_DIFFERENTIATION_NTAR_ID,0))</f>
        <v/>
      </c>
      <c r="AH49" s="3724"/>
      <c r="AI49" s="3724"/>
      <c r="AJ49" s="3724"/>
      <c r="AK49" s="3724"/>
      <c r="AL49" s="3724"/>
      <c r="AM49" s="3724"/>
      <c r="AN49" s="3724"/>
      <c r="AO49" s="3724"/>
      <c r="AP49" s="3725"/>
      <c r="AQ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4"/>
      <c r="AT49" s="434" t="str">
        <f t="shared" ref="AT49:AT65" si="2">IF(V49="","",V49)</f>
        <v>Наименование тарифа</v>
      </c>
      <c r="AU49" s="434"/>
      <c r="AV49" s="434"/>
      <c r="AW49" s="1077">
        <v>21</v>
      </c>
    </row>
    <row r="50" spans="1:49" ht="21.95" customHeight="1">
      <c r="A50" s="1189" t="s">
        <v>221</v>
      </c>
      <c r="B50" s="1189" t="s">
        <v>222</v>
      </c>
      <c r="C50" s="1189"/>
      <c r="D50" s="1189"/>
      <c r="E50" s="3762"/>
      <c r="F50" s="3761">
        <v>1</v>
      </c>
      <c r="G50" s="1189"/>
      <c r="H50" s="1189"/>
      <c r="I50" s="1189"/>
      <c r="J50" s="1189"/>
      <c r="K50" s="1189"/>
      <c r="L50" s="1189"/>
      <c r="M50" s="1232"/>
      <c r="N50" s="622"/>
      <c r="O50" s="622"/>
      <c r="P50" s="622"/>
      <c r="Q50" s="1254"/>
      <c r="R50" s="286"/>
      <c r="S50" s="443"/>
      <c r="T50" s="287"/>
      <c r="U50" s="1258" t="str">
        <f>INDEX(PT_DIFFERENTIATION_NUM_TER,MATCH(B50,PT_DIFFERENTIATION_TER_ID,0))</f>
        <v>.</v>
      </c>
      <c r="V50" s="243" t="s">
        <v>442</v>
      </c>
      <c r="W50" s="235"/>
      <c r="X50" s="3723"/>
      <c r="Y50" s="3724"/>
      <c r="Z50" s="3724"/>
      <c r="AA50" s="3724"/>
      <c r="AB50" s="3724"/>
      <c r="AC50" s="3724"/>
      <c r="AD50" s="3724"/>
      <c r="AE50" s="3724"/>
      <c r="AF50" s="3725"/>
      <c r="AG50" s="3723" t="str">
        <f>INDEX(PT_DIFFERENTIATION_TER,MATCH(B50,PT_DIFFERENTIATION_TER_ID,0))</f>
        <v/>
      </c>
      <c r="AH50" s="3724"/>
      <c r="AI50" s="3724"/>
      <c r="AJ50" s="3724"/>
      <c r="AK50" s="3724"/>
      <c r="AL50" s="3724"/>
      <c r="AM50" s="3724"/>
      <c r="AN50" s="3724"/>
      <c r="AO50" s="3724"/>
      <c r="AP50" s="3725"/>
      <c r="AQ50" s="1180" t="s">
        <v>443</v>
      </c>
      <c r="AS50" s="434"/>
      <c r="AT50" s="434" t="str">
        <f t="shared" si="2"/>
        <v>Территория действия тарифа</v>
      </c>
      <c r="AU50" s="434"/>
      <c r="AV50" s="434"/>
      <c r="AW50" s="1077">
        <v>21</v>
      </c>
    </row>
    <row r="51" spans="1:49" ht="24" customHeight="1">
      <c r="A51" s="1189" t="s">
        <v>221</v>
      </c>
      <c r="B51" s="1189" t="s">
        <v>222</v>
      </c>
      <c r="C51" s="1189" t="s">
        <v>223</v>
      </c>
      <c r="D51" s="1189"/>
      <c r="E51" s="3762"/>
      <c r="F51" s="3762"/>
      <c r="G51" s="3761">
        <v>1</v>
      </c>
      <c r="H51" s="1189"/>
      <c r="I51" s="1189"/>
      <c r="J51" s="1189"/>
      <c r="K51" s="1189"/>
      <c r="L51" s="1189"/>
      <c r="M51" s="1232"/>
      <c r="N51" s="622"/>
      <c r="O51" s="622"/>
      <c r="P51" s="622"/>
      <c r="Q51" s="288"/>
      <c r="R51" s="286"/>
      <c r="S51" s="443"/>
      <c r="T51" s="287"/>
      <c r="U51" s="1258" t="str">
        <f>INDEX(PT_DIFFERENTIATION_NUM_CS,MATCH(C51,PT_DIFFERENTIATION_CS_ID,0))</f>
        <v>..</v>
      </c>
      <c r="V51" s="244" t="s">
        <v>444</v>
      </c>
      <c r="W51" s="235"/>
      <c r="X51" s="3723"/>
      <c r="Y51" s="3724"/>
      <c r="Z51" s="3724"/>
      <c r="AA51" s="3724"/>
      <c r="AB51" s="3724"/>
      <c r="AC51" s="3724"/>
      <c r="AD51" s="3724"/>
      <c r="AE51" s="3724"/>
      <c r="AF51" s="3725"/>
      <c r="AG51" s="3723" t="str">
        <f>INDEX(PT_DIFFERENTIATION_CS,MATCH(C51,PT_DIFFERENTIATION_CS_ID,0))</f>
        <v/>
      </c>
      <c r="AH51" s="3724"/>
      <c r="AI51" s="3724"/>
      <c r="AJ51" s="3724"/>
      <c r="AK51" s="3724"/>
      <c r="AL51" s="3724"/>
      <c r="AM51" s="3724"/>
      <c r="AN51" s="3724"/>
      <c r="AO51" s="3724"/>
      <c r="AP51" s="3725"/>
      <c r="AQ51" s="1180" t="s">
        <v>445</v>
      </c>
      <c r="AS51" s="434"/>
      <c r="AT51" s="434" t="str">
        <f t="shared" si="2"/>
        <v xml:space="preserve">Наименование системы теплоснабжения </v>
      </c>
      <c r="AU51" s="434"/>
      <c r="AV51" s="434"/>
      <c r="AW51" s="1077">
        <v>23</v>
      </c>
    </row>
    <row r="52" spans="1:49" ht="21.95" customHeight="1">
      <c r="A52" s="1189" t="s">
        <v>221</v>
      </c>
      <c r="B52" s="1189" t="s">
        <v>222</v>
      </c>
      <c r="C52" s="1189" t="s">
        <v>223</v>
      </c>
      <c r="D52" s="1189" t="s">
        <v>224</v>
      </c>
      <c r="E52" s="3762"/>
      <c r="F52" s="3762"/>
      <c r="G52" s="3762"/>
      <c r="H52" s="3761">
        <v>1</v>
      </c>
      <c r="I52" s="1189"/>
      <c r="J52" s="1189"/>
      <c r="K52" s="1189"/>
      <c r="L52" s="1189"/>
      <c r="M52" s="1232"/>
      <c r="N52" s="622"/>
      <c r="O52" s="622"/>
      <c r="P52" s="622"/>
      <c r="Q52" s="288"/>
      <c r="R52" s="286"/>
      <c r="S52" s="443"/>
      <c r="T52" s="287"/>
      <c r="U52" s="1258" t="str">
        <f>INDEX(PT_DIFFERENTIATION_NUM_IST_TE,MATCH(D52,PT_DIFFERENTIATION_IST_TE_ID,0))</f>
        <v>...</v>
      </c>
      <c r="V52" s="245" t="s">
        <v>446</v>
      </c>
      <c r="W52" s="235"/>
      <c r="X52" s="3723"/>
      <c r="Y52" s="3724"/>
      <c r="Z52" s="3724"/>
      <c r="AA52" s="3724"/>
      <c r="AB52" s="3724"/>
      <c r="AC52" s="3724"/>
      <c r="AD52" s="3724"/>
      <c r="AE52" s="3724"/>
      <c r="AF52" s="3725"/>
      <c r="AG52" s="3723" t="str">
        <f>INDEX(PT_DIFFERENTIATION_IST_TE,MATCH(D52,PT_DIFFERENTIATION_IST_TE_ID,0))</f>
        <v/>
      </c>
      <c r="AH52" s="3724"/>
      <c r="AI52" s="3724"/>
      <c r="AJ52" s="3724"/>
      <c r="AK52" s="3724"/>
      <c r="AL52" s="3724"/>
      <c r="AM52" s="3724"/>
      <c r="AN52" s="3724"/>
      <c r="AO52" s="3724"/>
      <c r="AP52" s="3725"/>
      <c r="AQ52" s="1180" t="s">
        <v>447</v>
      </c>
      <c r="AS52" s="434"/>
      <c r="AT52" s="434" t="str">
        <f t="shared" si="2"/>
        <v xml:space="preserve">Источник тепловой энергии  </v>
      </c>
      <c r="AU52" s="434"/>
      <c r="AV52" s="434"/>
      <c r="AW52" s="1077">
        <v>21</v>
      </c>
    </row>
    <row r="53" spans="1:49" s="1564" customFormat="1" ht="0" hidden="1" customHeight="1">
      <c r="A53" s="1297" t="s">
        <v>221</v>
      </c>
      <c r="B53" s="1297" t="s">
        <v>222</v>
      </c>
      <c r="C53" s="1297" t="s">
        <v>223</v>
      </c>
      <c r="D53" s="1297" t="s">
        <v>224</v>
      </c>
      <c r="E53" s="3762"/>
      <c r="F53" s="3762"/>
      <c r="G53" s="3762"/>
      <c r="H53" s="3762"/>
      <c r="I53" s="3618" t="str">
        <f>U52&amp;".1"</f>
        <v>....1</v>
      </c>
      <c r="J53" s="1297"/>
      <c r="K53" s="1297"/>
      <c r="L53" s="1297"/>
      <c r="M53" s="1303" t="s">
        <v>448</v>
      </c>
      <c r="N53" s="1168"/>
      <c r="O53" s="1168"/>
      <c r="P53" s="1168"/>
      <c r="Q53" s="3736">
        <v>1</v>
      </c>
      <c r="R53" s="1253"/>
      <c r="S53" s="1253"/>
      <c r="T53" s="290"/>
      <c r="U53" s="968"/>
      <c r="V53" s="1305"/>
      <c r="W53" s="1306"/>
      <c r="X53" s="3766"/>
      <c r="Y53" s="3767"/>
      <c r="Z53" s="3767"/>
      <c r="AA53" s="3767"/>
      <c r="AB53" s="3767"/>
      <c r="AC53" s="3767"/>
      <c r="AD53" s="3767"/>
      <c r="AE53" s="3767"/>
      <c r="AF53" s="3768"/>
      <c r="AG53" s="3766"/>
      <c r="AH53" s="3767"/>
      <c r="AI53" s="3767"/>
      <c r="AJ53" s="3767"/>
      <c r="AK53" s="3767"/>
      <c r="AL53" s="3767"/>
      <c r="AM53" s="3767"/>
      <c r="AN53" s="3767"/>
      <c r="AO53" s="3767"/>
      <c r="AP53" s="3768"/>
      <c r="AQ53" s="1307"/>
      <c r="AS53" s="434"/>
      <c r="AT53" s="434" t="str">
        <f t="shared" si="2"/>
        <v/>
      </c>
      <c r="AU53" s="434"/>
      <c r="AV53" s="434"/>
      <c r="AW53" s="445">
        <v>0</v>
      </c>
    </row>
    <row r="54" spans="1:49" ht="21.95" customHeight="1">
      <c r="A54" s="1189" t="s">
        <v>221</v>
      </c>
      <c r="B54" s="1189" t="s">
        <v>222</v>
      </c>
      <c r="C54" s="1189" t="s">
        <v>223</v>
      </c>
      <c r="D54" s="1189" t="s">
        <v>224</v>
      </c>
      <c r="E54" s="3762"/>
      <c r="F54" s="3762"/>
      <c r="G54" s="3762"/>
      <c r="H54" s="3762"/>
      <c r="I54" s="3589"/>
      <c r="J54" s="3618" t="str">
        <f>I53&amp;".1"</f>
        <v>....1.1</v>
      </c>
      <c r="K54" s="1189"/>
      <c r="L54" s="1189"/>
      <c r="M54" s="1232" t="s">
        <v>451</v>
      </c>
      <c r="Q54" s="3736"/>
      <c r="R54" s="3736">
        <v>1</v>
      </c>
      <c r="S54" s="452"/>
      <c r="T54" s="291"/>
      <c r="U54" s="1258" t="str">
        <f>$J54</f>
        <v>....1.1</v>
      </c>
      <c r="V54" s="221" t="s">
        <v>452</v>
      </c>
      <c r="W54" s="235"/>
      <c r="X54" s="3726"/>
      <c r="Y54" s="3727"/>
      <c r="Z54" s="3727"/>
      <c r="AA54" s="3727"/>
      <c r="AB54" s="3727"/>
      <c r="AC54" s="3719"/>
      <c r="AD54" s="3719"/>
      <c r="AE54" s="3719"/>
      <c r="AF54" s="3776"/>
      <c r="AG54" s="3726"/>
      <c r="AH54" s="3727"/>
      <c r="AI54" s="3727"/>
      <c r="AJ54" s="3727"/>
      <c r="AK54" s="3727"/>
      <c r="AL54" s="3727"/>
      <c r="AM54" s="3727"/>
      <c r="AN54" s="3727"/>
      <c r="AO54" s="3727"/>
      <c r="AP54" s="3728"/>
      <c r="AQ54" s="1180" t="s">
        <v>453</v>
      </c>
      <c r="AS54" s="434"/>
      <c r="AT54" s="434" t="str">
        <f t="shared" si="2"/>
        <v>Группа потребителей</v>
      </c>
      <c r="AU54" s="434"/>
      <c r="AV54" s="434"/>
      <c r="AW54" s="1077">
        <v>21</v>
      </c>
    </row>
    <row r="55" spans="1:49" ht="21.95" customHeight="1">
      <c r="A55" s="1189" t="s">
        <v>221</v>
      </c>
      <c r="B55" s="1189" t="s">
        <v>222</v>
      </c>
      <c r="C55" s="1189" t="s">
        <v>223</v>
      </c>
      <c r="D55" s="1189" t="s">
        <v>224</v>
      </c>
      <c r="E55" s="3762"/>
      <c r="F55" s="3762"/>
      <c r="G55" s="3762"/>
      <c r="H55" s="3762"/>
      <c r="I55" s="3589"/>
      <c r="J55" s="3589"/>
      <c r="K55" s="3618" t="str">
        <f>J54&amp;".1"</f>
        <v>....1.1.1</v>
      </c>
      <c r="L55" s="76"/>
      <c r="M55" s="1232" t="s">
        <v>454</v>
      </c>
      <c r="Q55" s="3736"/>
      <c r="R55" s="3736"/>
      <c r="S55" s="452">
        <v>1</v>
      </c>
      <c r="T55" s="291"/>
      <c r="U55" s="1258" t="str">
        <f>$K55</f>
        <v>....1.1.1</v>
      </c>
      <c r="V55" s="1269"/>
      <c r="W55" s="235"/>
      <c r="X55" s="685"/>
      <c r="Y55" s="685"/>
      <c r="Z55" s="685"/>
      <c r="AA55" s="685"/>
      <c r="AB55" s="1327"/>
      <c r="AC55" s="3740"/>
      <c r="AD55" s="3599" t="s">
        <v>50</v>
      </c>
      <c r="AE55" s="3740"/>
      <c r="AF55" s="3599" t="s">
        <v>50</v>
      </c>
      <c r="AG55" s="1329"/>
      <c r="AH55" s="685"/>
      <c r="AI55" s="685"/>
      <c r="AJ55" s="685"/>
      <c r="AK55" s="1179"/>
      <c r="AL55" s="3740"/>
      <c r="AM55" s="3599" t="s">
        <v>50</v>
      </c>
      <c r="AN55" s="3740"/>
      <c r="AO55" s="3599" t="s">
        <v>50</v>
      </c>
      <c r="AP55" s="1270"/>
      <c r="AQ55" s="1229" t="s">
        <v>493</v>
      </c>
      <c r="AR55" s="445" t="e">
        <f ca="1">STRCHECKDATE(X57:AP57)</f>
        <v>#NAME?</v>
      </c>
      <c r="AS55" s="434"/>
      <c r="AT55" s="434" t="str">
        <f t="shared" si="2"/>
        <v/>
      </c>
      <c r="AU55" s="434"/>
      <c r="AV55" s="434"/>
      <c r="AW55" s="1077">
        <v>21</v>
      </c>
    </row>
    <row r="56" spans="1:49" ht="11.45" customHeight="1">
      <c r="A56" s="1189" t="s">
        <v>221</v>
      </c>
      <c r="B56" s="1189" t="s">
        <v>222</v>
      </c>
      <c r="C56" s="1189" t="s">
        <v>223</v>
      </c>
      <c r="D56" s="1189" t="s">
        <v>224</v>
      </c>
      <c r="E56" s="3762"/>
      <c r="F56" s="3762"/>
      <c r="G56" s="3762"/>
      <c r="H56" s="3762"/>
      <c r="I56" s="3589"/>
      <c r="J56" s="3589"/>
      <c r="K56" s="3589"/>
      <c r="L56" s="3618" t="str">
        <f>K55&amp;".1"</f>
        <v>....1.1.1.1</v>
      </c>
      <c r="M56" s="1232"/>
      <c r="Q56" s="3736"/>
      <c r="R56" s="3736"/>
      <c r="S56" s="452">
        <v>1</v>
      </c>
      <c r="T56" s="291"/>
      <c r="U56" s="1258" t="str">
        <f>$L56</f>
        <v>....1.1.1.1</v>
      </c>
      <c r="V56" s="1313"/>
      <c r="W56" s="235"/>
      <c r="X56" s="260"/>
      <c r="Y56" s="685"/>
      <c r="Z56" s="685"/>
      <c r="AA56" s="685"/>
      <c r="AB56" s="1327"/>
      <c r="AC56" s="3741"/>
      <c r="AD56" s="3599"/>
      <c r="AE56" s="3741"/>
      <c r="AF56" s="3599"/>
      <c r="AG56" s="1329"/>
      <c r="AH56" s="685"/>
      <c r="AI56" s="685"/>
      <c r="AJ56" s="685"/>
      <c r="AK56" s="1179"/>
      <c r="AL56" s="3741"/>
      <c r="AM56" s="3599"/>
      <c r="AN56" s="3741"/>
      <c r="AO56" s="3599"/>
      <c r="AP56" s="1270"/>
      <c r="AQ56" s="3732" t="s">
        <v>494</v>
      </c>
      <c r="AR56" s="445" t="e">
        <f ca="1">STRCHECKDATE(X58:AP58)</f>
        <v>#NAME?</v>
      </c>
      <c r="AS56" s="434"/>
      <c r="AT56" s="434" t="str">
        <f t="shared" si="2"/>
        <v/>
      </c>
      <c r="AU56" s="434"/>
      <c r="AV56" s="434"/>
      <c r="AW56" s="1077">
        <v>11</v>
      </c>
    </row>
    <row r="57" spans="1:49" ht="0" hidden="1" customHeight="1">
      <c r="A57" s="1189" t="s">
        <v>221</v>
      </c>
      <c r="B57" s="1189" t="s">
        <v>222</v>
      </c>
      <c r="C57" s="1189" t="s">
        <v>223</v>
      </c>
      <c r="D57" s="1189" t="s">
        <v>224</v>
      </c>
      <c r="E57" s="3762"/>
      <c r="F57" s="3762"/>
      <c r="G57" s="3762"/>
      <c r="H57" s="3762"/>
      <c r="I57" s="3589"/>
      <c r="J57" s="3589"/>
      <c r="K57" s="3589"/>
      <c r="L57" s="3618"/>
      <c r="M57" s="1232"/>
      <c r="Q57" s="3736"/>
      <c r="R57" s="3736"/>
      <c r="S57" s="452"/>
      <c r="T57" s="291"/>
      <c r="U57" s="1264"/>
      <c r="V57" s="235"/>
      <c r="W57" s="235"/>
      <c r="X57" s="260"/>
      <c r="Y57" s="260"/>
      <c r="Z57" s="260"/>
      <c r="AA57" s="260"/>
      <c r="AB57" s="1328" t="str">
        <f>AC55&amp;"-"&amp;AE55</f>
        <v>-</v>
      </c>
      <c r="AC57" s="3741"/>
      <c r="AD57" s="3599"/>
      <c r="AE57" s="3741"/>
      <c r="AF57" s="3599"/>
      <c r="AG57" s="1304"/>
      <c r="AH57" s="260"/>
      <c r="AI57" s="260"/>
      <c r="AJ57" s="260"/>
      <c r="AK57" s="263" t="str">
        <f>AL55&amp;"-"&amp;AN55</f>
        <v>-</v>
      </c>
      <c r="AL57" s="3741"/>
      <c r="AM57" s="3599"/>
      <c r="AN57" s="3741"/>
      <c r="AO57" s="3599"/>
      <c r="AP57" s="1271"/>
      <c r="AQ57" s="3733"/>
      <c r="AS57" s="434"/>
      <c r="AT57" s="434" t="str">
        <f t="shared" si="2"/>
        <v/>
      </c>
      <c r="AU57" s="434"/>
      <c r="AV57" s="434"/>
      <c r="AW57" s="1077">
        <v>0</v>
      </c>
    </row>
    <row r="58" spans="1:49" ht="11.45" customHeight="1">
      <c r="A58" s="1189" t="s">
        <v>221</v>
      </c>
      <c r="B58" s="1189" t="s">
        <v>222</v>
      </c>
      <c r="C58" s="1189" t="s">
        <v>223</v>
      </c>
      <c r="D58" s="1189" t="s">
        <v>224</v>
      </c>
      <c r="E58" s="3762"/>
      <c r="F58" s="3762"/>
      <c r="G58" s="3762"/>
      <c r="H58" s="3762"/>
      <c r="I58" s="3589"/>
      <c r="J58" s="3589"/>
      <c r="K58" s="3618"/>
      <c r="L58" s="1189"/>
      <c r="M58" s="1232"/>
      <c r="Q58" s="3736"/>
      <c r="R58" s="3736"/>
      <c r="S58" s="1253"/>
      <c r="T58" s="290"/>
      <c r="U58" s="1200"/>
      <c r="V58" s="223" t="s">
        <v>495</v>
      </c>
      <c r="W58" s="301"/>
      <c r="X58" s="301"/>
      <c r="Y58" s="301"/>
      <c r="Z58" s="301"/>
      <c r="AA58" s="301"/>
      <c r="AB58" s="301"/>
      <c r="AC58" s="3741"/>
      <c r="AD58" s="3599"/>
      <c r="AE58" s="3741"/>
      <c r="AF58" s="3599"/>
      <c r="AG58" s="301"/>
      <c r="AH58" s="301"/>
      <c r="AI58" s="301"/>
      <c r="AJ58" s="301"/>
      <c r="AK58" s="301"/>
      <c r="AL58" s="3741"/>
      <c r="AM58" s="3599"/>
      <c r="AN58" s="3741"/>
      <c r="AO58" s="3599"/>
      <c r="AP58" s="259"/>
      <c r="AQ58" s="3733"/>
      <c r="AS58" s="434"/>
      <c r="AT58" s="434" t="str">
        <f t="shared" si="2"/>
        <v>Добавить наименование поставщика</v>
      </c>
      <c r="AU58" s="434"/>
      <c r="AV58" s="434"/>
      <c r="AW58" s="1077">
        <v>11</v>
      </c>
    </row>
    <row r="59" spans="1:49" ht="11.45" customHeight="1">
      <c r="A59" s="1189" t="s">
        <v>221</v>
      </c>
      <c r="B59" s="1189" t="s">
        <v>222</v>
      </c>
      <c r="C59" s="1189" t="s">
        <v>223</v>
      </c>
      <c r="D59" s="1189" t="s">
        <v>224</v>
      </c>
      <c r="E59" s="3762"/>
      <c r="F59" s="3762"/>
      <c r="G59" s="3762"/>
      <c r="H59" s="3762"/>
      <c r="I59" s="3589"/>
      <c r="J59" s="3618"/>
      <c r="K59" s="1189"/>
      <c r="L59" s="1189"/>
      <c r="M59" s="1232"/>
      <c r="Q59" s="3736"/>
      <c r="R59" s="3736"/>
      <c r="S59" s="1253"/>
      <c r="T59" s="290"/>
      <c r="U59" s="1200"/>
      <c r="V59" s="222" t="s">
        <v>456</v>
      </c>
      <c r="W59" s="301"/>
      <c r="X59" s="301"/>
      <c r="Y59" s="301"/>
      <c r="Z59" s="301"/>
      <c r="AA59" s="301"/>
      <c r="AB59" s="301"/>
      <c r="AC59" s="1330"/>
      <c r="AD59" s="1330"/>
      <c r="AE59" s="1330"/>
      <c r="AF59" s="1330"/>
      <c r="AG59" s="301"/>
      <c r="AH59" s="301"/>
      <c r="AI59" s="301"/>
      <c r="AJ59" s="301"/>
      <c r="AK59" s="301"/>
      <c r="AL59" s="301"/>
      <c r="AM59" s="301"/>
      <c r="AN59" s="301"/>
      <c r="AO59" s="301"/>
      <c r="AP59" s="259"/>
      <c r="AQ59" s="3734"/>
      <c r="AS59" s="434"/>
      <c r="AT59" s="434" t="str">
        <f t="shared" si="2"/>
        <v>Добавить вид теплоносителя (параметры теплоносителя)</v>
      </c>
      <c r="AU59" s="434"/>
      <c r="AV59" s="434"/>
      <c r="AW59" s="1077">
        <v>11</v>
      </c>
    </row>
    <row r="60" spans="1:49" ht="11.45" customHeight="1">
      <c r="A60" s="1189" t="s">
        <v>221</v>
      </c>
      <c r="B60" s="1189" t="s">
        <v>222</v>
      </c>
      <c r="C60" s="1189" t="s">
        <v>223</v>
      </c>
      <c r="D60" s="1189" t="s">
        <v>224</v>
      </c>
      <c r="E60" s="3762"/>
      <c r="F60" s="3762"/>
      <c r="G60" s="3762"/>
      <c r="H60" s="3762"/>
      <c r="I60" s="3618"/>
      <c r="J60" s="1189"/>
      <c r="K60" s="1189"/>
      <c r="L60" s="1189"/>
      <c r="M60" s="1232"/>
      <c r="Q60" s="3736"/>
      <c r="R60" s="1253"/>
      <c r="S60" s="1253"/>
      <c r="T60" s="290"/>
      <c r="U60" s="1200"/>
      <c r="V60" s="299" t="s">
        <v>457</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7">
        <v>11</v>
      </c>
    </row>
    <row r="61" spans="1:49" ht="0" hidden="1" customHeight="1">
      <c r="A61" s="1189" t="s">
        <v>221</v>
      </c>
      <c r="B61" s="1189" t="s">
        <v>222</v>
      </c>
      <c r="C61" s="1189" t="s">
        <v>223</v>
      </c>
      <c r="D61" s="1189" t="s">
        <v>224</v>
      </c>
      <c r="E61" s="3762"/>
      <c r="F61" s="3762"/>
      <c r="G61" s="3762"/>
      <c r="H61" s="3761"/>
      <c r="I61" s="1189"/>
      <c r="J61" s="1189"/>
      <c r="K61" s="1189"/>
      <c r="L61" s="1189"/>
      <c r="M61" s="1232"/>
      <c r="N61" s="622"/>
      <c r="O61" s="622"/>
      <c r="P61" s="443"/>
      <c r="Q61" s="294"/>
      <c r="R61" s="309"/>
      <c r="S61" s="289"/>
      <c r="T61" s="294"/>
      <c r="U61" s="1308"/>
      <c r="V61" s="1309"/>
      <c r="W61" s="1310"/>
      <c r="X61" s="1310"/>
      <c r="Y61" s="1310"/>
      <c r="Z61" s="1310"/>
      <c r="AA61" s="1310"/>
      <c r="AB61" s="1310"/>
      <c r="AC61" s="1310"/>
      <c r="AD61" s="1310"/>
      <c r="AE61" s="1310"/>
      <c r="AF61" s="1310"/>
      <c r="AG61" s="1310"/>
      <c r="AH61" s="1310"/>
      <c r="AI61" s="1310"/>
      <c r="AJ61" s="1310"/>
      <c r="AK61" s="1310"/>
      <c r="AL61" s="1310"/>
      <c r="AM61" s="1310"/>
      <c r="AN61" s="1310"/>
      <c r="AO61" s="1310"/>
      <c r="AP61" s="1310"/>
      <c r="AQ61" s="1311"/>
      <c r="AS61" s="434"/>
      <c r="AT61" s="434" t="str">
        <f t="shared" si="2"/>
        <v/>
      </c>
      <c r="AU61" s="434"/>
      <c r="AV61" s="434"/>
      <c r="AW61" s="1077">
        <v>0</v>
      </c>
    </row>
    <row r="62" spans="1:49" s="1564" customFormat="1" ht="0" hidden="1" customHeight="1">
      <c r="A62" s="1297" t="s">
        <v>221</v>
      </c>
      <c r="B62" s="1297" t="s">
        <v>222</v>
      </c>
      <c r="C62" s="1297" t="s">
        <v>223</v>
      </c>
      <c r="D62" s="1296"/>
      <c r="E62" s="3762"/>
      <c r="F62" s="3762"/>
      <c r="G62" s="3761"/>
      <c r="H62" s="1296"/>
      <c r="I62" s="1296"/>
      <c r="J62" s="1296"/>
      <c r="K62" s="1296"/>
      <c r="L62" s="1296"/>
      <c r="M62" s="1299"/>
      <c r="N62" s="1300"/>
      <c r="O62" s="1300"/>
      <c r="P62" s="285"/>
      <c r="Q62" s="1238"/>
      <c r="R62" s="1239"/>
      <c r="S62" s="1238"/>
      <c r="T62" s="1238"/>
      <c r="U62" s="1244"/>
      <c r="V62" s="1247" t="s">
        <v>459</v>
      </c>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S62" s="717"/>
      <c r="AT62" s="717" t="str">
        <f t="shared" si="2"/>
        <v>Добавить источник для дифференциации</v>
      </c>
      <c r="AU62" s="717"/>
      <c r="AV62" s="717"/>
      <c r="AW62" s="452">
        <v>0</v>
      </c>
    </row>
    <row r="63" spans="1:49" s="1564" customFormat="1" ht="0" hidden="1" customHeight="1">
      <c r="A63" s="1297" t="s">
        <v>221</v>
      </c>
      <c r="B63" s="1297" t="s">
        <v>222</v>
      </c>
      <c r="C63" s="1296"/>
      <c r="D63" s="1296"/>
      <c r="E63" s="3762"/>
      <c r="F63" s="3761"/>
      <c r="G63" s="1296"/>
      <c r="H63" s="1296"/>
      <c r="I63" s="1296"/>
      <c r="J63" s="1296"/>
      <c r="K63" s="1296"/>
      <c r="L63" s="1296"/>
      <c r="M63" s="1299"/>
      <c r="N63" s="1301"/>
      <c r="O63" s="1301"/>
      <c r="P63" s="285"/>
      <c r="Q63" s="1238"/>
      <c r="R63" s="1239"/>
      <c r="S63" s="1238"/>
      <c r="T63" s="1238"/>
      <c r="U63" s="1244"/>
      <c r="V63" s="1247" t="s">
        <v>460</v>
      </c>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S63" s="717"/>
      <c r="AT63" s="717" t="str">
        <f t="shared" si="2"/>
        <v>Добавить централизованную систему для дифференциации</v>
      </c>
      <c r="AU63" s="717"/>
      <c r="AV63" s="717"/>
      <c r="AW63" s="452">
        <v>0</v>
      </c>
    </row>
    <row r="64" spans="1:49" s="1564" customFormat="1" ht="0" hidden="1" customHeight="1">
      <c r="A64" s="1297" t="s">
        <v>221</v>
      </c>
      <c r="B64" s="1297"/>
      <c r="C64" s="1297"/>
      <c r="D64" s="1297"/>
      <c r="E64" s="3761"/>
      <c r="F64" s="1297"/>
      <c r="G64" s="1297"/>
      <c r="H64" s="1297"/>
      <c r="I64" s="1297"/>
      <c r="J64" s="1297"/>
      <c r="K64" s="1297"/>
      <c r="L64" s="1297"/>
      <c r="M64" s="1303"/>
      <c r="N64" s="1301"/>
      <c r="O64" s="1301"/>
      <c r="P64" s="285"/>
      <c r="Q64" s="314"/>
      <c r="R64" s="1266"/>
      <c r="S64" s="314"/>
      <c r="T64" s="314"/>
      <c r="U64" s="1244"/>
      <c r="V64" s="1247" t="s">
        <v>461</v>
      </c>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S64" s="434"/>
      <c r="AT64" s="434" t="str">
        <f t="shared" si="2"/>
        <v>Добавить территорию для дифференциации</v>
      </c>
      <c r="AU64" s="434"/>
      <c r="AV64" s="434"/>
      <c r="AW64" s="445">
        <v>0</v>
      </c>
    </row>
    <row r="65" spans="1:49" s="1564" customFormat="1" ht="4.1500000000000004" customHeight="1">
      <c r="A65" s="1296"/>
      <c r="B65" s="1296"/>
      <c r="C65" s="1296"/>
      <c r="D65" s="1296"/>
      <c r="E65" s="1297"/>
      <c r="F65" s="1296"/>
      <c r="G65" s="1296"/>
      <c r="H65" s="1296"/>
      <c r="I65" s="1296"/>
      <c r="J65" s="1296"/>
      <c r="K65" s="1296"/>
      <c r="L65" s="1296"/>
      <c r="M65" s="1299"/>
      <c r="N65" s="1301"/>
      <c r="O65" s="1301"/>
      <c r="P65" s="285"/>
      <c r="Q65" s="1238"/>
      <c r="R65" s="1239"/>
      <c r="S65" s="1238"/>
      <c r="T65" s="1238"/>
      <c r="U65" s="1244"/>
      <c r="V65" s="1247" t="s">
        <v>489</v>
      </c>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S65" s="717"/>
      <c r="AT65" s="717" t="str">
        <f t="shared" si="2"/>
        <v>Добавить наименование тарифа</v>
      </c>
      <c r="AU65" s="717"/>
      <c r="AV65" s="717"/>
      <c r="AW65" s="452">
        <v>4</v>
      </c>
    </row>
    <row r="66" spans="1:49" ht="11.45" customHeight="1">
      <c r="N66" s="1077"/>
      <c r="O66" s="1077"/>
      <c r="P66" s="443"/>
      <c r="Q66" s="1077"/>
      <c r="R66" s="1077"/>
      <c r="S66" s="1077"/>
      <c r="T66" s="1077"/>
      <c r="U66" s="1077"/>
      <c r="AR66" s="1077"/>
      <c r="AS66" s="1077"/>
      <c r="AT66" s="1077"/>
      <c r="AU66" s="1077"/>
      <c r="AV66" s="1077"/>
      <c r="AW66" s="1077">
        <v>11</v>
      </c>
    </row>
    <row r="67" spans="1:49" ht="35.65" customHeight="1">
      <c r="P67" s="443"/>
      <c r="U67" s="1175"/>
      <c r="V67" s="3757"/>
      <c r="W67" s="3757"/>
      <c r="X67" s="3757"/>
      <c r="Y67" s="3757"/>
      <c r="Z67" s="3757"/>
      <c r="AA67" s="3757"/>
      <c r="AB67" s="3757"/>
      <c r="AC67" s="3757"/>
      <c r="AD67" s="3757"/>
      <c r="AE67" s="3757"/>
      <c r="AF67" s="3757"/>
      <c r="AG67" s="3757"/>
      <c r="AH67" s="3757"/>
      <c r="AI67" s="3757"/>
      <c r="AJ67" s="3757"/>
      <c r="AK67" s="3757"/>
      <c r="AL67" s="3757"/>
      <c r="AM67" s="3757"/>
      <c r="AN67" s="3757"/>
      <c r="AO67" s="3757"/>
      <c r="AP67" s="3757"/>
      <c r="AQ67" s="3757"/>
      <c r="AW67" s="1077">
        <v>34</v>
      </c>
    </row>
    <row r="68" spans="1:49" ht="21" customHeight="1">
      <c r="P68" s="443"/>
      <c r="V68" s="3757"/>
      <c r="W68" s="3757"/>
      <c r="X68" s="3757"/>
      <c r="Y68" s="3757"/>
      <c r="Z68" s="3757"/>
      <c r="AA68" s="3757"/>
      <c r="AB68" s="3757"/>
      <c r="AC68" s="3757"/>
      <c r="AD68" s="3757"/>
      <c r="AE68" s="3757"/>
      <c r="AF68" s="3757"/>
      <c r="AG68" s="3757"/>
      <c r="AH68" s="3757"/>
      <c r="AI68" s="3757"/>
      <c r="AJ68" s="3757"/>
      <c r="AK68" s="3757"/>
      <c r="AL68" s="3757"/>
      <c r="AM68" s="3757"/>
      <c r="AN68" s="3757"/>
      <c r="AO68" s="3757"/>
      <c r="AP68" s="3757"/>
      <c r="AQ68" s="3757"/>
      <c r="AW68" s="1077">
        <v>20</v>
      </c>
    </row>
    <row r="69" spans="1:49" ht="14.65" customHeight="1">
      <c r="P69" s="443"/>
      <c r="AW69" s="1077">
        <v>14</v>
      </c>
    </row>
    <row r="70" spans="1:49" ht="28.5" customHeight="1">
      <c r="P70" s="443"/>
      <c r="V70" s="3757"/>
      <c r="W70" s="3757"/>
      <c r="X70" s="3757"/>
      <c r="Y70" s="3757"/>
      <c r="Z70" s="3757"/>
      <c r="AA70" s="3757"/>
      <c r="AB70" s="3757"/>
      <c r="AC70" s="3757"/>
      <c r="AD70" s="3757"/>
      <c r="AE70" s="3757"/>
      <c r="AF70" s="3757"/>
      <c r="AG70" s="3757"/>
      <c r="AH70" s="3757"/>
      <c r="AI70" s="3757"/>
      <c r="AJ70" s="3757"/>
      <c r="AK70" s="3757"/>
      <c r="AL70" s="3757"/>
      <c r="AM70" s="3757"/>
      <c r="AN70" s="3757"/>
      <c r="AO70" s="3757"/>
      <c r="AP70" s="3757"/>
      <c r="AQ70" s="3757"/>
      <c r="AW70" s="1077">
        <v>27</v>
      </c>
    </row>
    <row r="71" spans="1:49" ht="18.75" customHeight="1">
      <c r="P71" s="443"/>
      <c r="V71" s="3757"/>
      <c r="W71" s="3757"/>
      <c r="X71" s="3757"/>
      <c r="Y71" s="3757"/>
      <c r="Z71" s="3757"/>
      <c r="AA71" s="3757"/>
      <c r="AB71" s="3757"/>
      <c r="AC71" s="3757"/>
      <c r="AD71" s="3757"/>
      <c r="AE71" s="3757"/>
      <c r="AF71" s="3757"/>
      <c r="AG71" s="3757"/>
      <c r="AH71" s="3757"/>
      <c r="AI71" s="3757"/>
      <c r="AJ71" s="3757"/>
      <c r="AK71" s="3757"/>
      <c r="AL71" s="3757"/>
      <c r="AM71" s="3757"/>
      <c r="AN71" s="3757"/>
      <c r="AO71" s="3757"/>
      <c r="AP71" s="3757"/>
      <c r="AQ71" s="3757"/>
      <c r="AW71" s="1077">
        <v>18</v>
      </c>
    </row>
    <row r="72" spans="1:49" ht="22.5" hidden="1" customHeight="1">
      <c r="A72" s="1077" t="s">
        <v>70</v>
      </c>
      <c r="B72" s="1077">
        <v>0</v>
      </c>
      <c r="C72" s="1077">
        <v>0</v>
      </c>
      <c r="D72" s="1077">
        <v>0</v>
      </c>
      <c r="E72" s="1077">
        <v>0</v>
      </c>
      <c r="F72" s="1077">
        <v>0</v>
      </c>
      <c r="G72" s="1077">
        <v>0</v>
      </c>
      <c r="H72" s="1077">
        <v>0</v>
      </c>
      <c r="I72" s="1077">
        <v>0</v>
      </c>
      <c r="J72" s="1077">
        <v>0</v>
      </c>
      <c r="K72" s="1077">
        <v>0</v>
      </c>
      <c r="L72" s="1077">
        <v>0</v>
      </c>
      <c r="M72" s="1249">
        <v>0</v>
      </c>
      <c r="N72" s="1250">
        <v>0</v>
      </c>
      <c r="O72" s="1250">
        <v>0</v>
      </c>
      <c r="P72" s="1250">
        <v>0</v>
      </c>
      <c r="Q72" s="1250">
        <v>0</v>
      </c>
      <c r="R72" s="279">
        <v>3</v>
      </c>
      <c r="S72" s="279">
        <v>3</v>
      </c>
      <c r="T72" s="279">
        <v>3</v>
      </c>
      <c r="U72" s="515">
        <v>12</v>
      </c>
      <c r="V72" s="1077">
        <v>31</v>
      </c>
      <c r="W72" s="1077">
        <v>0</v>
      </c>
      <c r="X72" s="1077">
        <v>0</v>
      </c>
      <c r="Y72" s="1077">
        <v>0</v>
      </c>
      <c r="Z72" s="1077">
        <v>0</v>
      </c>
      <c r="AA72" s="1077">
        <v>0</v>
      </c>
      <c r="AB72" s="1077">
        <v>0</v>
      </c>
      <c r="AC72" s="1077">
        <v>0</v>
      </c>
      <c r="AD72" s="1077">
        <v>0</v>
      </c>
      <c r="AE72" s="1077">
        <v>0</v>
      </c>
      <c r="AF72" s="1077">
        <v>0</v>
      </c>
      <c r="AG72" s="1077">
        <v>21</v>
      </c>
      <c r="AH72" s="1077">
        <v>21</v>
      </c>
      <c r="AI72" s="1077">
        <v>21</v>
      </c>
      <c r="AJ72" s="1077">
        <v>21</v>
      </c>
      <c r="AK72" s="1077">
        <v>21</v>
      </c>
      <c r="AL72" s="1077">
        <v>11</v>
      </c>
      <c r="AM72" s="1077">
        <v>3</v>
      </c>
      <c r="AN72" s="1077">
        <v>11</v>
      </c>
      <c r="AO72" s="1077">
        <v>8</v>
      </c>
      <c r="AP72" s="1077">
        <v>4</v>
      </c>
      <c r="AQ72" s="1077">
        <v>115</v>
      </c>
      <c r="AR72" s="445">
        <v>10</v>
      </c>
      <c r="AS72" s="445">
        <v>10</v>
      </c>
      <c r="AT72" s="445">
        <v>10</v>
      </c>
      <c r="AU72" s="445">
        <v>10</v>
      </c>
      <c r="AV72" s="445">
        <v>10</v>
      </c>
      <c r="AW72" s="1077">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 style="1668" customWidth="1"/>
    <col min="17" max="17" width="3" style="1293" customWidth="1"/>
    <col min="18" max="18" width="3" style="279" customWidth="1"/>
    <col min="19" max="19" width="12" style="1992" customWidth="1"/>
    <col min="20" max="20" width="31" style="1557" customWidth="1"/>
    <col min="21" max="21" width="0.140625" style="1557" customWidth="1"/>
    <col min="22" max="23" width="21.7109375" style="1557" hidden="1" customWidth="1"/>
    <col min="24" max="24" width="11.7109375" style="1557" hidden="1" customWidth="1"/>
    <col min="25" max="25" width="3.7109375" style="1557" hidden="1" customWidth="1"/>
    <col min="26" max="26" width="11.7109375" style="1557" hidden="1" customWidth="1"/>
    <col min="27" max="27" width="8.5703125" style="1557" hidden="1" customWidth="1"/>
    <col min="28" max="28" width="5.42578125" style="1557" customWidth="1"/>
    <col min="29" max="30" width="3" style="1557" customWidth="1"/>
    <col min="31" max="31" width="24" style="1557" customWidth="1"/>
    <col min="32" max="32" width="3.7109375" style="1557" customWidth="1"/>
    <col min="33" max="34" width="3" style="1557" customWidth="1"/>
    <col min="35" max="35" width="24" style="1557" customWidth="1"/>
    <col min="36" max="36" width="3.7109375" style="1557" customWidth="1"/>
    <col min="37" max="38" width="3" style="1557" customWidth="1"/>
    <col min="39" max="39" width="18" style="1557" customWidth="1"/>
    <col min="40" max="41" width="21" style="1557" customWidth="1"/>
    <col min="42" max="42" width="11" style="1557" customWidth="1"/>
    <col min="43" max="43" width="3.7109375" style="1557" customWidth="1"/>
    <col min="44" max="44" width="11" style="1557" customWidth="1"/>
    <col min="45" max="45" width="8.5703125" style="1557" hidden="1" customWidth="1"/>
    <col min="46" max="46" width="4" style="1557" customWidth="1"/>
    <col min="47" max="47" width="115" style="1557" customWidth="1"/>
    <col min="48" max="52" width="10" style="1564" customWidth="1"/>
    <col min="53" max="53" width="10.5703125" style="1557" hidden="1"/>
  </cols>
  <sheetData>
    <row r="1" spans="1:53" ht="22.5" hidden="1" customHeight="1">
      <c r="W1" s="262"/>
      <c r="X1" s="262"/>
      <c r="AO1" s="262"/>
      <c r="AP1" s="262"/>
      <c r="BA1" s="1077" t="s">
        <v>1</v>
      </c>
    </row>
    <row r="2" spans="1:53" ht="21" hidden="1" customHeight="1">
      <c r="A2" s="1285"/>
      <c r="B2" s="1285"/>
      <c r="C2" s="1285"/>
      <c r="D2" s="1285"/>
      <c r="E2" s="3737">
        <v>1</v>
      </c>
      <c r="F2" s="1285"/>
      <c r="G2" s="1285"/>
      <c r="H2" s="1285"/>
      <c r="I2" s="1285"/>
      <c r="J2" s="1285"/>
      <c r="K2" s="1285"/>
      <c r="L2" s="1286"/>
      <c r="M2" s="1287"/>
      <c r="N2" s="1287"/>
      <c r="O2" s="1287"/>
      <c r="P2" s="1331"/>
      <c r="Q2" s="801"/>
      <c r="R2" s="289"/>
      <c r="S2" s="1258" t="e">
        <f>INDEX(PT_DIFFERENTIATION_NUM_NTAR,MATCH(A2,PT_DIFFERENTIATION_NTAR_ID,0))</f>
        <v>#N/A</v>
      </c>
      <c r="T2" s="233" t="s">
        <v>176</v>
      </c>
      <c r="U2" s="235"/>
      <c r="V2" s="3724"/>
      <c r="W2" s="3724"/>
      <c r="X2" s="3724"/>
      <c r="Y2" s="3724"/>
      <c r="Z2" s="3724"/>
      <c r="AA2" s="3725"/>
      <c r="AB2" s="3723" t="e">
        <f>INDEX(PT_DIFFERENTIATION_NTAR,MATCH(A2,PT_DIFFERENTIATION_NTAR_ID,0))</f>
        <v>#N/A</v>
      </c>
      <c r="AC2" s="3724"/>
      <c r="AD2" s="3724"/>
      <c r="AE2" s="3724"/>
      <c r="AF2" s="3724"/>
      <c r="AG2" s="3724"/>
      <c r="AH2" s="3724"/>
      <c r="AI2" s="3724"/>
      <c r="AJ2" s="3724"/>
      <c r="AK2" s="3724"/>
      <c r="AL2" s="3724"/>
      <c r="AM2" s="3724"/>
      <c r="AN2" s="3724"/>
      <c r="AO2" s="3724"/>
      <c r="AP2" s="3724"/>
      <c r="AQ2" s="3724"/>
      <c r="AR2" s="3724"/>
      <c r="AS2" s="3724"/>
      <c r="AT2" s="3725"/>
      <c r="AU2" s="1180" t="s">
        <v>441</v>
      </c>
      <c r="AW2" s="434"/>
      <c r="AX2" s="434" t="str">
        <f t="shared" ref="AX2:AX8" si="0">IF(T2="","",T2)</f>
        <v>Наименование тарифа</v>
      </c>
      <c r="AY2" s="434"/>
      <c r="AZ2" s="434"/>
      <c r="BA2" s="1077">
        <v>0</v>
      </c>
    </row>
    <row r="3" spans="1:53" ht="21" hidden="1" customHeight="1">
      <c r="A3" s="1285"/>
      <c r="B3" s="1285"/>
      <c r="C3" s="1285"/>
      <c r="D3" s="1285"/>
      <c r="E3" s="3738"/>
      <c r="F3" s="3737">
        <v>1</v>
      </c>
      <c r="G3" s="1285"/>
      <c r="H3" s="1285"/>
      <c r="I3" s="1285"/>
      <c r="J3" s="1285"/>
      <c r="K3" s="1285"/>
      <c r="L3" s="1286"/>
      <c r="M3" s="1287"/>
      <c r="N3" s="1287"/>
      <c r="O3" s="1287"/>
      <c r="P3" s="1332"/>
      <c r="Q3" s="1333"/>
      <c r="R3" s="287"/>
      <c r="S3" s="1258" t="e">
        <f>INDEX(PT_DIFFERENTIATION_NUM_TER,MATCH(B3,PT_DIFFERENTIATION_TER_ID,0))</f>
        <v>#N/A</v>
      </c>
      <c r="T3" s="243" t="s">
        <v>442</v>
      </c>
      <c r="U3" s="235"/>
      <c r="V3" s="3724"/>
      <c r="W3" s="3724"/>
      <c r="X3" s="3724"/>
      <c r="Y3" s="3724"/>
      <c r="Z3" s="3724"/>
      <c r="AA3" s="3725"/>
      <c r="AB3" s="3723" t="e">
        <f>INDEX(PT_DIFFERENTIATION_TER,MATCH(B3,PT_DIFFERENTIATION_TER_ID,0))</f>
        <v>#N/A</v>
      </c>
      <c r="AC3" s="3724"/>
      <c r="AD3" s="3724"/>
      <c r="AE3" s="3724"/>
      <c r="AF3" s="3724"/>
      <c r="AG3" s="3724"/>
      <c r="AH3" s="3724"/>
      <c r="AI3" s="3724"/>
      <c r="AJ3" s="3724"/>
      <c r="AK3" s="3724"/>
      <c r="AL3" s="3724"/>
      <c r="AM3" s="3724"/>
      <c r="AN3" s="3724"/>
      <c r="AO3" s="3724"/>
      <c r="AP3" s="3724"/>
      <c r="AQ3" s="3724"/>
      <c r="AR3" s="3724"/>
      <c r="AS3" s="3724"/>
      <c r="AT3" s="3725"/>
      <c r="AU3" s="1180" t="s">
        <v>443</v>
      </c>
      <c r="AW3" s="434"/>
      <c r="AX3" s="434" t="str">
        <f t="shared" si="0"/>
        <v>Территория действия тарифа</v>
      </c>
      <c r="AY3" s="434"/>
      <c r="AZ3" s="434"/>
      <c r="BA3" s="1077">
        <v>0</v>
      </c>
    </row>
    <row r="4" spans="1:53" ht="22.5" hidden="1" customHeight="1">
      <c r="A4" s="1285"/>
      <c r="B4" s="1285"/>
      <c r="C4" s="1285"/>
      <c r="D4" s="1285"/>
      <c r="E4" s="3738"/>
      <c r="F4" s="3738"/>
      <c r="G4" s="3737">
        <v>1</v>
      </c>
      <c r="H4" s="1285"/>
      <c r="I4" s="1285"/>
      <c r="J4" s="1285"/>
      <c r="K4" s="1285"/>
      <c r="L4" s="1286"/>
      <c r="M4" s="1287"/>
      <c r="N4" s="1287"/>
      <c r="O4" s="1287"/>
      <c r="P4" s="1334"/>
      <c r="Q4" s="1333"/>
      <c r="R4" s="287"/>
      <c r="S4" s="1258" t="e">
        <f>INDEX(PT_DIFFERENTIATION_NUM_CS,MATCH(C4,PT_DIFFERENTIATION_CS_ID,0))</f>
        <v>#N/A</v>
      </c>
      <c r="T4" s="244" t="s">
        <v>444</v>
      </c>
      <c r="U4" s="235"/>
      <c r="V4" s="3724"/>
      <c r="W4" s="3724"/>
      <c r="X4" s="3724"/>
      <c r="Y4" s="3724"/>
      <c r="Z4" s="3724"/>
      <c r="AA4" s="3725"/>
      <c r="AB4" s="3723" t="e">
        <f>INDEX(PT_DIFFERENTIATION_CS,MATCH(C4,PT_DIFFERENTIATION_CS_ID,0))</f>
        <v>#N/A</v>
      </c>
      <c r="AC4" s="3724"/>
      <c r="AD4" s="3724"/>
      <c r="AE4" s="3724"/>
      <c r="AF4" s="3724"/>
      <c r="AG4" s="3724"/>
      <c r="AH4" s="3724"/>
      <c r="AI4" s="3724"/>
      <c r="AJ4" s="3724"/>
      <c r="AK4" s="3724"/>
      <c r="AL4" s="3724"/>
      <c r="AM4" s="3724"/>
      <c r="AN4" s="3724"/>
      <c r="AO4" s="3724"/>
      <c r="AP4" s="3724"/>
      <c r="AQ4" s="3724"/>
      <c r="AR4" s="3724"/>
      <c r="AS4" s="3724"/>
      <c r="AT4" s="3725"/>
      <c r="AU4" s="1180" t="s">
        <v>445</v>
      </c>
      <c r="AW4" s="434"/>
      <c r="AX4" s="434" t="str">
        <f t="shared" si="0"/>
        <v xml:space="preserve">Наименование системы теплоснабжения </v>
      </c>
      <c r="AY4" s="434"/>
      <c r="AZ4" s="434"/>
      <c r="BA4" s="1077">
        <v>0</v>
      </c>
    </row>
    <row r="5" spans="1:53" ht="21" hidden="1" customHeight="1">
      <c r="A5" s="1285"/>
      <c r="B5" s="1285"/>
      <c r="C5" s="1285"/>
      <c r="D5" s="1285"/>
      <c r="E5" s="3738"/>
      <c r="F5" s="3738"/>
      <c r="G5" s="3738"/>
      <c r="H5" s="3737">
        <v>1</v>
      </c>
      <c r="I5" s="1285"/>
      <c r="J5" s="1285"/>
      <c r="K5" s="1285"/>
      <c r="L5" s="1286"/>
      <c r="M5" s="1287"/>
      <c r="N5" s="1287"/>
      <c r="O5" s="1287"/>
      <c r="P5" s="1334"/>
      <c r="Q5" s="1333"/>
      <c r="R5" s="287"/>
      <c r="S5" s="1258" t="e">
        <f>INDEX(PT_DIFFERENTIATION_NUM_IST_TE,MATCH(D5,PT_DIFFERENTIATION_IST_TE_ID,0))</f>
        <v>#N/A</v>
      </c>
      <c r="T5" s="245" t="s">
        <v>446</v>
      </c>
      <c r="U5" s="235"/>
      <c r="V5" s="3724"/>
      <c r="W5" s="3724"/>
      <c r="X5" s="3724"/>
      <c r="Y5" s="3724"/>
      <c r="Z5" s="3724"/>
      <c r="AA5" s="3725"/>
      <c r="AB5" s="3723" t="e">
        <f>INDEX(PT_DIFFERENTIATION_IST_TE,MATCH(D5,PT_DIFFERENTIATION_IST_TE_ID,0))</f>
        <v>#N/A</v>
      </c>
      <c r="AC5" s="3724"/>
      <c r="AD5" s="3724"/>
      <c r="AE5" s="3724"/>
      <c r="AF5" s="3724"/>
      <c r="AG5" s="3724"/>
      <c r="AH5" s="3724"/>
      <c r="AI5" s="3724"/>
      <c r="AJ5" s="3724"/>
      <c r="AK5" s="3724"/>
      <c r="AL5" s="3724"/>
      <c r="AM5" s="3724"/>
      <c r="AN5" s="3724"/>
      <c r="AO5" s="3724"/>
      <c r="AP5" s="3724"/>
      <c r="AQ5" s="3724"/>
      <c r="AR5" s="3724"/>
      <c r="AS5" s="3724"/>
      <c r="AT5" s="3725"/>
      <c r="AU5" s="1180" t="s">
        <v>447</v>
      </c>
      <c r="AW5" s="434"/>
      <c r="AX5" s="434" t="str">
        <f t="shared" si="0"/>
        <v xml:space="preserve">Источник тепловой энергии  </v>
      </c>
      <c r="AY5" s="434"/>
      <c r="AZ5" s="434"/>
      <c r="BA5" s="1077">
        <v>0</v>
      </c>
    </row>
    <row r="6" spans="1:53" s="1564" customFormat="1" ht="0.75" hidden="1" customHeight="1">
      <c r="A6" s="1265"/>
      <c r="B6" s="1265"/>
      <c r="C6" s="1265"/>
      <c r="D6" s="1265"/>
      <c r="E6" s="3738"/>
      <c r="F6" s="3738"/>
      <c r="G6" s="3738"/>
      <c r="H6" s="3738"/>
      <c r="I6" s="3735" t="e">
        <f>S5&amp;".1"</f>
        <v>#N/A</v>
      </c>
      <c r="J6" s="1265"/>
      <c r="K6" s="1265"/>
      <c r="L6" s="1268" t="s">
        <v>448</v>
      </c>
      <c r="M6" s="444"/>
      <c r="N6" s="444"/>
      <c r="O6" s="444"/>
      <c r="P6" s="3736">
        <v>1</v>
      </c>
      <c r="Q6" s="1253"/>
      <c r="R6" s="290"/>
      <c r="S6" s="968"/>
      <c r="T6" s="1305"/>
      <c r="U6" s="1306"/>
      <c r="V6" s="3767"/>
      <c r="W6" s="3767"/>
      <c r="X6" s="3767"/>
      <c r="Y6" s="3767"/>
      <c r="Z6" s="3767"/>
      <c r="AA6" s="3768"/>
      <c r="AB6" s="3766"/>
      <c r="AC6" s="3767"/>
      <c r="AD6" s="3767"/>
      <c r="AE6" s="3767"/>
      <c r="AF6" s="3767"/>
      <c r="AG6" s="3767"/>
      <c r="AH6" s="3767"/>
      <c r="AI6" s="3767"/>
      <c r="AJ6" s="3767"/>
      <c r="AK6" s="3767"/>
      <c r="AL6" s="3767"/>
      <c r="AM6" s="3767"/>
      <c r="AN6" s="3767"/>
      <c r="AO6" s="3767"/>
      <c r="AP6" s="3767"/>
      <c r="AQ6" s="3767"/>
      <c r="AR6" s="3767"/>
      <c r="AS6" s="3767"/>
      <c r="AT6" s="3768"/>
      <c r="AU6" s="1307"/>
      <c r="AW6" s="434"/>
      <c r="AX6" s="434" t="str">
        <f t="shared" si="0"/>
        <v/>
      </c>
      <c r="AY6" s="434"/>
      <c r="AZ6" s="434"/>
      <c r="BA6" s="445">
        <v>0</v>
      </c>
    </row>
    <row r="7" spans="1:53" s="1564" customFormat="1" ht="0.75" hidden="1" customHeight="1">
      <c r="A7" s="1265"/>
      <c r="B7" s="1265"/>
      <c r="C7" s="1265"/>
      <c r="D7" s="1265"/>
      <c r="E7" s="3738"/>
      <c r="F7" s="3738"/>
      <c r="G7" s="3738"/>
      <c r="H7" s="3738"/>
      <c r="I7" s="3758"/>
      <c r="J7" s="3735" t="e">
        <f>S5&amp;".1"</f>
        <v>#N/A</v>
      </c>
      <c r="K7" s="1265"/>
      <c r="L7" s="1268"/>
      <c r="M7" s="444"/>
      <c r="N7" s="444"/>
      <c r="O7" s="444"/>
      <c r="P7" s="3736"/>
      <c r="Q7" s="3736">
        <v>1</v>
      </c>
      <c r="R7" s="291"/>
      <c r="S7" s="968"/>
      <c r="T7" s="1321"/>
      <c r="U7" s="1306"/>
      <c r="V7" s="3767"/>
      <c r="W7" s="3767"/>
      <c r="X7" s="3767"/>
      <c r="Y7" s="3767"/>
      <c r="Z7" s="3767"/>
      <c r="AA7" s="3768"/>
      <c r="AB7" s="3766"/>
      <c r="AC7" s="3767"/>
      <c r="AD7" s="3767"/>
      <c r="AE7" s="3767"/>
      <c r="AF7" s="3767"/>
      <c r="AG7" s="3767"/>
      <c r="AH7" s="3767"/>
      <c r="AI7" s="3767"/>
      <c r="AJ7" s="3767"/>
      <c r="AK7" s="3767"/>
      <c r="AL7" s="3767"/>
      <c r="AM7" s="3767"/>
      <c r="AN7" s="3767"/>
      <c r="AO7" s="3767"/>
      <c r="AP7" s="3767"/>
      <c r="AQ7" s="3767"/>
      <c r="AR7" s="3767"/>
      <c r="AS7" s="3767"/>
      <c r="AT7" s="3768"/>
      <c r="AU7" s="1307"/>
      <c r="AW7" s="434"/>
      <c r="AX7" s="434" t="str">
        <f t="shared" si="0"/>
        <v/>
      </c>
      <c r="AY7" s="434"/>
      <c r="AZ7" s="434"/>
      <c r="BA7" s="445">
        <v>0</v>
      </c>
    </row>
    <row r="8" spans="1:53" ht="21" hidden="1" customHeight="1">
      <c r="A8" s="1285"/>
      <c r="B8" s="1285"/>
      <c r="C8" s="1285"/>
      <c r="D8" s="1285"/>
      <c r="E8" s="3738"/>
      <c r="F8" s="3738"/>
      <c r="G8" s="3738"/>
      <c r="H8" s="3738"/>
      <c r="I8" s="3758"/>
      <c r="J8" s="3758"/>
      <c r="K8" s="3735" t="e">
        <f>S5&amp;".1"</f>
        <v>#N/A</v>
      </c>
      <c r="L8" s="1286"/>
      <c r="P8" s="3736"/>
      <c r="Q8" s="3736"/>
      <c r="R8" s="3801">
        <v>1</v>
      </c>
      <c r="S8" s="3795" t="e">
        <f>$K8</f>
        <v>#N/A</v>
      </c>
      <c r="T8" s="3798"/>
      <c r="U8" s="235"/>
      <c r="V8" s="685"/>
      <c r="W8" s="1179"/>
      <c r="X8" s="3740"/>
      <c r="Y8" s="3599" t="s">
        <v>50</v>
      </c>
      <c r="Z8" s="3740"/>
      <c r="AA8" s="3599" t="s">
        <v>50</v>
      </c>
      <c r="AB8" s="3599" t="s">
        <v>6</v>
      </c>
      <c r="AC8" s="3780"/>
      <c r="AD8" s="3693">
        <v>1</v>
      </c>
      <c r="AE8" s="3781"/>
      <c r="AF8" s="3599" t="s">
        <v>6</v>
      </c>
      <c r="AG8" s="3780"/>
      <c r="AH8" s="3693">
        <v>1</v>
      </c>
      <c r="AI8" s="3781"/>
      <c r="AJ8" s="3599" t="s">
        <v>6</v>
      </c>
      <c r="AK8" s="246"/>
      <c r="AL8" s="1259">
        <v>1</v>
      </c>
      <c r="AM8" s="1320"/>
      <c r="AN8" s="685"/>
      <c r="AO8" s="1179"/>
      <c r="AP8" s="1627"/>
      <c r="AQ8" s="1381" t="s">
        <v>50</v>
      </c>
      <c r="AR8" s="1627"/>
      <c r="AS8" s="1381" t="s">
        <v>50</v>
      </c>
      <c r="AT8" s="1270"/>
      <c r="AU8" s="3732" t="s">
        <v>505</v>
      </c>
      <c r="AV8" s="445" t="e">
        <f ca="1">STRCHECKDATE(V11:AT11)</f>
        <v>#NAME?</v>
      </c>
      <c r="AW8" s="434"/>
      <c r="AX8" s="434" t="str">
        <f t="shared" si="0"/>
        <v/>
      </c>
      <c r="AY8" s="434"/>
      <c r="AZ8" s="434"/>
      <c r="BA8" s="1077">
        <v>0</v>
      </c>
    </row>
    <row r="9" spans="1:53" ht="11.25" hidden="1" customHeight="1">
      <c r="A9" s="1285"/>
      <c r="B9" s="1285"/>
      <c r="C9" s="1285"/>
      <c r="D9" s="1285"/>
      <c r="E9" s="3738"/>
      <c r="F9" s="3738"/>
      <c r="G9" s="3738"/>
      <c r="H9" s="3738"/>
      <c r="I9" s="3758"/>
      <c r="J9" s="3758"/>
      <c r="K9" s="3735"/>
      <c r="L9" s="1286"/>
      <c r="P9" s="3736"/>
      <c r="Q9" s="3736"/>
      <c r="R9" s="3801"/>
      <c r="S9" s="3796"/>
      <c r="T9" s="3799"/>
      <c r="U9" s="235"/>
      <c r="V9" s="1315"/>
      <c r="W9" s="1319"/>
      <c r="X9" s="3740"/>
      <c r="Y9" s="3599"/>
      <c r="Z9" s="3740"/>
      <c r="AA9" s="3599"/>
      <c r="AB9" s="3599"/>
      <c r="AC9" s="3780"/>
      <c r="AD9" s="3693"/>
      <c r="AE9" s="3781"/>
      <c r="AF9" s="3599"/>
      <c r="AG9" s="3780"/>
      <c r="AH9" s="3693"/>
      <c r="AI9" s="3781"/>
      <c r="AJ9" s="3599"/>
      <c r="AK9" s="251"/>
      <c r="AL9" s="350"/>
      <c r="AM9" s="349" t="s">
        <v>506</v>
      </c>
      <c r="AN9" s="1315"/>
      <c r="AO9" s="1418"/>
      <c r="AP9" s="1315"/>
      <c r="AQ9" s="1315"/>
      <c r="AR9" s="1315"/>
      <c r="AS9" s="1315"/>
      <c r="AT9" s="1312"/>
      <c r="AU9" s="3733"/>
      <c r="AW9" s="434"/>
      <c r="AX9" s="434"/>
      <c r="AY9" s="434"/>
      <c r="AZ9" s="434"/>
      <c r="BA9" s="1077">
        <v>0</v>
      </c>
    </row>
    <row r="10" spans="1:53" ht="11.25" hidden="1" customHeight="1">
      <c r="A10" s="1285"/>
      <c r="B10" s="1285"/>
      <c r="C10" s="1285"/>
      <c r="D10" s="1285"/>
      <c r="E10" s="3738"/>
      <c r="F10" s="3738"/>
      <c r="G10" s="3738"/>
      <c r="H10" s="3738"/>
      <c r="I10" s="3758"/>
      <c r="J10" s="3758"/>
      <c r="K10" s="3735"/>
      <c r="L10" s="1286"/>
      <c r="P10" s="3736"/>
      <c r="Q10" s="3736"/>
      <c r="R10" s="3801"/>
      <c r="S10" s="3796"/>
      <c r="T10" s="3799"/>
      <c r="U10" s="235"/>
      <c r="V10" s="1315"/>
      <c r="W10" s="1319"/>
      <c r="X10" s="3740"/>
      <c r="Y10" s="3599"/>
      <c r="Z10" s="3740"/>
      <c r="AA10" s="3599"/>
      <c r="AB10" s="3599"/>
      <c r="AC10" s="3780"/>
      <c r="AD10" s="3693"/>
      <c r="AE10" s="3781"/>
      <c r="AF10" s="3599"/>
      <c r="AG10" s="229"/>
      <c r="AH10" s="349"/>
      <c r="AI10" s="349" t="s">
        <v>507</v>
      </c>
      <c r="AJ10" s="1315"/>
      <c r="AK10" s="1315"/>
      <c r="AL10" s="1315"/>
      <c r="AM10" s="1315"/>
      <c r="AN10" s="1315"/>
      <c r="AO10" s="1418"/>
      <c r="AP10" s="1315"/>
      <c r="AQ10" s="1315"/>
      <c r="AR10" s="1315"/>
      <c r="AS10" s="1315"/>
      <c r="AT10" s="1312"/>
      <c r="AU10" s="3733"/>
      <c r="AW10" s="434"/>
      <c r="AX10" s="434"/>
      <c r="AY10" s="434"/>
      <c r="AZ10" s="434"/>
      <c r="BA10" s="1077">
        <v>0</v>
      </c>
    </row>
    <row r="11" spans="1:53" ht="11.25" hidden="1" customHeight="1">
      <c r="A11" s="1285"/>
      <c r="B11" s="1285"/>
      <c r="C11" s="1285"/>
      <c r="D11" s="1285"/>
      <c r="E11" s="3738"/>
      <c r="F11" s="3738"/>
      <c r="G11" s="3738"/>
      <c r="H11" s="3738"/>
      <c r="I11" s="3758"/>
      <c r="J11" s="3758"/>
      <c r="K11" s="3735"/>
      <c r="L11" s="1286"/>
      <c r="P11" s="3736"/>
      <c r="Q11" s="3736"/>
      <c r="R11" s="3801"/>
      <c r="S11" s="3797"/>
      <c r="T11" s="3800"/>
      <c r="U11" s="235"/>
      <c r="V11" s="1315"/>
      <c r="W11" s="1318" t="str">
        <f>X8&amp;"-"&amp;Z8</f>
        <v>-</v>
      </c>
      <c r="X11" s="3741"/>
      <c r="Y11" s="3599"/>
      <c r="Z11" s="3741"/>
      <c r="AA11" s="3599"/>
      <c r="AB11" s="3599"/>
      <c r="AC11" s="247"/>
      <c r="AD11" s="249"/>
      <c r="AE11" s="349" t="s">
        <v>508</v>
      </c>
      <c r="AF11" s="1315"/>
      <c r="AG11" s="1315"/>
      <c r="AH11" s="1315"/>
      <c r="AI11" s="1315"/>
      <c r="AJ11" s="1315"/>
      <c r="AK11" s="1315"/>
      <c r="AL11" s="1315"/>
      <c r="AM11" s="1315"/>
      <c r="AN11" s="1315"/>
      <c r="AO11" s="1316" t="str">
        <f>AP8&amp;"-"&amp;AR8</f>
        <v>-</v>
      </c>
      <c r="AP11" s="1315"/>
      <c r="AQ11" s="1315"/>
      <c r="AR11" s="1315"/>
      <c r="AS11" s="1315"/>
      <c r="AT11" s="1271"/>
      <c r="AU11" s="3733"/>
      <c r="AW11" s="434"/>
      <c r="AX11" s="434" t="str">
        <f t="shared" ref="AX11:AX17" si="1">IF(T11="","",T11)</f>
        <v/>
      </c>
      <c r="AY11" s="434"/>
      <c r="AZ11" s="434"/>
      <c r="BA11" s="1077">
        <v>0</v>
      </c>
    </row>
    <row r="12" spans="1:53" ht="11.25" hidden="1" customHeight="1">
      <c r="A12" s="1285"/>
      <c r="B12" s="1285"/>
      <c r="C12" s="1285"/>
      <c r="D12" s="1285"/>
      <c r="E12" s="3738"/>
      <c r="F12" s="3738"/>
      <c r="G12" s="3738"/>
      <c r="H12" s="3738"/>
      <c r="I12" s="3758"/>
      <c r="J12" s="3735"/>
      <c r="K12" s="1285"/>
      <c r="L12" s="1286"/>
      <c r="P12" s="3736"/>
      <c r="Q12" s="3736"/>
      <c r="R12" s="290"/>
      <c r="S12" s="1200"/>
      <c r="T12" s="222" t="s">
        <v>509</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3734"/>
      <c r="AW12" s="434"/>
      <c r="AX12" s="434" t="str">
        <f t="shared" si="1"/>
        <v>Добавить строку</v>
      </c>
      <c r="AY12" s="434"/>
      <c r="AZ12" s="434"/>
      <c r="BA12" s="1077">
        <v>0</v>
      </c>
    </row>
    <row r="13" spans="1:53" s="1564" customFormat="1" ht="0.75" hidden="1" customHeight="1">
      <c r="A13" s="1265"/>
      <c r="B13" s="1265"/>
      <c r="C13" s="1265"/>
      <c r="D13" s="1265"/>
      <c r="E13" s="3738"/>
      <c r="F13" s="3738"/>
      <c r="G13" s="3738"/>
      <c r="H13" s="3738"/>
      <c r="I13" s="3735"/>
      <c r="J13" s="1265"/>
      <c r="K13" s="1265"/>
      <c r="L13" s="1268"/>
      <c r="M13" s="444"/>
      <c r="N13" s="444"/>
      <c r="O13" s="444"/>
      <c r="P13" s="3736"/>
      <c r="Q13" s="1253"/>
      <c r="R13" s="290"/>
      <c r="S13" s="1308"/>
      <c r="T13" s="1309"/>
      <c r="U13" s="1310"/>
      <c r="V13" s="1310"/>
      <c r="W13" s="1310"/>
      <c r="X13" s="1310"/>
      <c r="Y13" s="1310"/>
      <c r="Z13" s="1310"/>
      <c r="AA13" s="1310"/>
      <c r="AB13" s="1310"/>
      <c r="AC13" s="1310"/>
      <c r="AD13" s="1310"/>
      <c r="AE13" s="1310"/>
      <c r="AF13" s="1310"/>
      <c r="AG13" s="1310"/>
      <c r="AH13" s="1310"/>
      <c r="AI13" s="1310"/>
      <c r="AJ13" s="1310"/>
      <c r="AK13" s="1310"/>
      <c r="AL13" s="1310"/>
      <c r="AM13" s="1310"/>
      <c r="AN13" s="1310"/>
      <c r="AO13" s="1310"/>
      <c r="AP13" s="1310"/>
      <c r="AQ13" s="1310"/>
      <c r="AR13" s="1310"/>
      <c r="AS13" s="1310"/>
      <c r="AT13" s="1310"/>
      <c r="AU13" s="1311"/>
      <c r="AW13" s="434"/>
      <c r="AX13" s="434" t="str">
        <f t="shared" si="1"/>
        <v/>
      </c>
      <c r="AY13" s="434"/>
      <c r="AZ13" s="434"/>
      <c r="BA13" s="445">
        <v>0</v>
      </c>
    </row>
    <row r="14" spans="1:53" s="1564" customFormat="1" ht="0.75" hidden="1" customHeight="1">
      <c r="A14" s="1265"/>
      <c r="B14" s="1265"/>
      <c r="C14" s="1265"/>
      <c r="D14" s="1265"/>
      <c r="E14" s="3738"/>
      <c r="F14" s="3738"/>
      <c r="G14" s="3738"/>
      <c r="H14" s="3737"/>
      <c r="I14" s="1265"/>
      <c r="J14" s="1265"/>
      <c r="K14" s="1265"/>
      <c r="L14" s="1268"/>
      <c r="M14" s="1237"/>
      <c r="N14" s="1237"/>
      <c r="O14" s="452"/>
      <c r="P14" s="314"/>
      <c r="Q14" s="1266"/>
      <c r="R14" s="1323"/>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1"/>
      <c r="AW14" s="434"/>
      <c r="AX14" s="434" t="str">
        <f t="shared" si="1"/>
        <v/>
      </c>
      <c r="AY14" s="434"/>
      <c r="AZ14" s="434"/>
      <c r="BA14" s="445">
        <v>0</v>
      </c>
    </row>
    <row r="15" spans="1:53" s="1564" customFormat="1" ht="0.75" hidden="1" customHeight="1">
      <c r="A15" s="1265"/>
      <c r="B15" s="1265"/>
      <c r="C15" s="1265"/>
      <c r="D15" s="1236"/>
      <c r="E15" s="3738"/>
      <c r="F15" s="3738"/>
      <c r="G15" s="3737"/>
      <c r="H15" s="1236"/>
      <c r="I15" s="1236"/>
      <c r="J15" s="1236"/>
      <c r="K15" s="1236"/>
      <c r="L15" s="1261"/>
      <c r="M15" s="1237"/>
      <c r="N15" s="1237"/>
      <c r="P15" s="1238"/>
      <c r="Q15" s="1239"/>
      <c r="R15" s="1238"/>
      <c r="S15" s="1244"/>
      <c r="T15" s="1247" t="s">
        <v>459</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W15" s="717"/>
      <c r="AX15" s="717" t="str">
        <f t="shared" si="1"/>
        <v>Добавить источник для дифференциации</v>
      </c>
      <c r="AY15" s="717"/>
      <c r="AZ15" s="717"/>
      <c r="BA15" s="452">
        <v>0</v>
      </c>
    </row>
    <row r="16" spans="1:53" s="1564" customFormat="1" ht="0.75" hidden="1" customHeight="1">
      <c r="A16" s="1265"/>
      <c r="B16" s="1265"/>
      <c r="C16" s="1236"/>
      <c r="D16" s="1236"/>
      <c r="E16" s="3738"/>
      <c r="F16" s="3737"/>
      <c r="G16" s="1236"/>
      <c r="H16" s="1236"/>
      <c r="I16" s="1236"/>
      <c r="J16" s="1236"/>
      <c r="K16" s="1236"/>
      <c r="L16" s="1261"/>
      <c r="M16" s="1243"/>
      <c r="N16" s="1243"/>
      <c r="P16" s="1238"/>
      <c r="Q16" s="1239"/>
      <c r="R16" s="1238"/>
      <c r="S16" s="1244"/>
      <c r="T16" s="1247" t="s">
        <v>460</v>
      </c>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W16" s="717"/>
      <c r="AX16" s="717" t="str">
        <f t="shared" si="1"/>
        <v>Добавить централизованную систему для дифференциации</v>
      </c>
      <c r="AY16" s="717"/>
      <c r="AZ16" s="717"/>
      <c r="BA16" s="452">
        <v>0</v>
      </c>
    </row>
    <row r="17" spans="1:53" s="1564" customFormat="1" ht="0.75" hidden="1" customHeight="1">
      <c r="A17" s="1265"/>
      <c r="B17" s="1265"/>
      <c r="C17" s="1265"/>
      <c r="D17" s="1265"/>
      <c r="E17" s="3737"/>
      <c r="F17" s="1265"/>
      <c r="G17" s="1265"/>
      <c r="H17" s="1265"/>
      <c r="I17" s="1265"/>
      <c r="J17" s="1265"/>
      <c r="K17" s="1265"/>
      <c r="L17" s="1268"/>
      <c r="M17" s="1243"/>
      <c r="N17" s="1243"/>
      <c r="O17" s="452"/>
      <c r="P17" s="314"/>
      <c r="Q17" s="1266"/>
      <c r="R17" s="314"/>
      <c r="S17" s="1244"/>
      <c r="T17" s="1247" t="s">
        <v>461</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W17" s="434"/>
      <c r="AX17" s="434" t="str">
        <f t="shared" si="1"/>
        <v>Добавить территорию для дифференциации</v>
      </c>
      <c r="AY17" s="434"/>
      <c r="AZ17" s="434"/>
      <c r="BA17" s="445">
        <v>0</v>
      </c>
    </row>
    <row r="18" spans="1:53" ht="14.25" hidden="1" customHeight="1">
      <c r="AA18" s="262"/>
      <c r="AS18" s="262"/>
      <c r="BA18" s="1077">
        <v>0</v>
      </c>
    </row>
    <row r="19" spans="1:53" ht="14.25" hidden="1" customHeight="1">
      <c r="AB19" s="1246" t="s">
        <v>6</v>
      </c>
      <c r="AC19" s="1423"/>
      <c r="AD19" s="482">
        <v>1</v>
      </c>
      <c r="AE19" s="1424"/>
      <c r="AF19" s="1246" t="s">
        <v>6</v>
      </c>
      <c r="AG19" s="1423"/>
      <c r="AH19" s="482">
        <v>1</v>
      </c>
      <c r="AI19" s="1424"/>
      <c r="AJ19" s="1246" t="s">
        <v>6</v>
      </c>
      <c r="AK19" s="1425"/>
      <c r="AL19" s="482">
        <v>1</v>
      </c>
      <c r="AM19" s="1428"/>
      <c r="AN19" s="1325"/>
      <c r="AO19" s="1326"/>
      <c r="AP19" s="1629"/>
      <c r="AQ19" s="1382" t="s">
        <v>50</v>
      </c>
      <c r="AR19" s="1629"/>
      <c r="AS19" s="1382" t="s">
        <v>50</v>
      </c>
      <c r="BA19" s="1077">
        <v>0</v>
      </c>
    </row>
    <row r="20" spans="1:53" ht="14.25" hidden="1" customHeight="1">
      <c r="AV20" s="430"/>
      <c r="AW20" s="430"/>
      <c r="AX20" s="430"/>
      <c r="AY20" s="430"/>
      <c r="AZ20" s="430"/>
      <c r="BA20" s="1077">
        <v>0</v>
      </c>
    </row>
    <row r="21" spans="1:53" ht="14.25" hidden="1" customHeight="1">
      <c r="O21" s="1289" t="s">
        <v>462</v>
      </c>
      <c r="X21" s="1267"/>
      <c r="Z21" s="1267"/>
      <c r="AA21" s="262"/>
      <c r="AP21" s="1267"/>
      <c r="AR21" s="1267"/>
      <c r="AS21" s="262"/>
      <c r="AV21" s="430"/>
      <c r="AW21" s="430"/>
      <c r="AX21" s="430"/>
      <c r="AY21" s="430"/>
      <c r="AZ21" s="430"/>
      <c r="BA21" s="1077">
        <v>0</v>
      </c>
    </row>
    <row r="22" spans="1:53" ht="14.25" hidden="1" customHeight="1">
      <c r="AA22" s="262"/>
      <c r="AS22" s="262"/>
      <c r="AV22" s="430"/>
      <c r="AW22" s="430"/>
      <c r="AX22" s="430"/>
      <c r="AY22" s="430"/>
      <c r="AZ22" s="430"/>
      <c r="BA22" s="1077">
        <v>0</v>
      </c>
    </row>
    <row r="23" spans="1:53" s="1431" customFormat="1" ht="14.25" hidden="1" customHeight="1">
      <c r="M23" s="1430"/>
      <c r="N23" s="1430"/>
      <c r="O23" s="1431" t="s">
        <v>463</v>
      </c>
      <c r="P23" s="1430"/>
      <c r="Q23" s="1432"/>
      <c r="R23" s="1432"/>
      <c r="Y23" s="1429" t="s">
        <v>465</v>
      </c>
      <c r="AA23" s="1429" t="s">
        <v>466</v>
      </c>
      <c r="AB23" s="1429" t="s">
        <v>510</v>
      </c>
      <c r="AE23" s="1429" t="s">
        <v>511</v>
      </c>
      <c r="AF23" s="1429" t="s">
        <v>510</v>
      </c>
      <c r="AI23" s="1429" t="s">
        <v>512</v>
      </c>
      <c r="AJ23" s="1429" t="s">
        <v>510</v>
      </c>
      <c r="AM23" s="1429" t="s">
        <v>513</v>
      </c>
      <c r="AQ23" s="1429" t="s">
        <v>465</v>
      </c>
      <c r="AS23" s="1429" t="s">
        <v>466</v>
      </c>
      <c r="AV23" s="1433"/>
      <c r="AW23" s="1433"/>
      <c r="AX23" s="1433"/>
      <c r="AY23" s="1433"/>
      <c r="AZ23" s="1433"/>
      <c r="BA23" s="1429">
        <v>0</v>
      </c>
    </row>
    <row r="24" spans="1:53" ht="14.25" hidden="1" customHeight="1">
      <c r="O24" s="1286"/>
      <c r="AV24" s="430"/>
      <c r="AW24" s="430"/>
      <c r="AX24" s="430"/>
      <c r="AY24" s="430"/>
      <c r="AZ24" s="430"/>
      <c r="BA24" s="1077">
        <v>0</v>
      </c>
    </row>
    <row r="25" spans="1:53" ht="14.25" hidden="1" customHeight="1">
      <c r="O25" s="1286"/>
      <c r="AV25" s="430"/>
      <c r="AW25" s="430"/>
      <c r="AX25" s="430"/>
      <c r="AY25" s="430"/>
      <c r="AZ25" s="430"/>
      <c r="BA25" s="1077">
        <v>0</v>
      </c>
    </row>
    <row r="26" spans="1:53" ht="14.65" customHeight="1">
      <c r="Q26" s="226"/>
      <c r="R26" s="310"/>
      <c r="S26" s="1197"/>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7">
        <v>14</v>
      </c>
    </row>
    <row r="27" spans="1:53" ht="27.4" customHeight="1">
      <c r="Q27" s="226"/>
      <c r="R27" s="310"/>
      <c r="S27" s="37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721"/>
      <c r="U27" s="3721"/>
      <c r="V27" s="3721"/>
      <c r="W27" s="3721"/>
      <c r="X27" s="3721"/>
      <c r="Y27" s="3721"/>
      <c r="Z27" s="3721"/>
      <c r="AA27" s="3721"/>
      <c r="AB27" s="3721"/>
      <c r="AC27" s="3721"/>
      <c r="AD27" s="3721"/>
      <c r="AE27" s="3721"/>
      <c r="AF27" s="3721"/>
      <c r="AG27" s="3721"/>
      <c r="AH27" s="3721"/>
      <c r="AI27" s="3721"/>
      <c r="AJ27" s="3721"/>
      <c r="AK27" s="3721"/>
      <c r="AL27" s="3721"/>
      <c r="AM27" s="3721"/>
      <c r="AN27" s="3721"/>
      <c r="AO27" s="3721"/>
      <c r="AP27" s="3721"/>
      <c r="AQ27" s="3721"/>
      <c r="AR27" s="3721"/>
      <c r="AS27" s="1165"/>
      <c r="BA27" s="1077">
        <v>26</v>
      </c>
    </row>
    <row r="28" spans="1:53" ht="14.65" customHeight="1">
      <c r="Q28" s="226"/>
      <c r="R28" s="310"/>
      <c r="S28" s="3667" t="str">
        <f>IF(org=0,"Не определено",org)</f>
        <v>ООО "Смоленскрегионтеплоэнерго"</v>
      </c>
      <c r="T28" s="3667"/>
      <c r="U28" s="3667"/>
      <c r="V28" s="3667"/>
      <c r="W28" s="3667"/>
      <c r="X28" s="3667"/>
      <c r="Y28" s="3667"/>
      <c r="Z28" s="3667"/>
      <c r="AA28" s="3667"/>
      <c r="AB28" s="3667"/>
      <c r="AC28" s="3667"/>
      <c r="AD28" s="3667"/>
      <c r="AE28" s="3667"/>
      <c r="AF28" s="3667"/>
      <c r="AG28" s="3667"/>
      <c r="AH28" s="3667"/>
      <c r="AI28" s="3667"/>
      <c r="AJ28" s="3667"/>
      <c r="AK28" s="3667"/>
      <c r="AL28" s="3667"/>
      <c r="AM28" s="3667"/>
      <c r="AN28" s="3667"/>
      <c r="AO28" s="3667"/>
      <c r="AP28" s="3667"/>
      <c r="AQ28" s="3667"/>
      <c r="AR28" s="3667"/>
      <c r="AS28" s="1165"/>
      <c r="BA28" s="1077">
        <v>14</v>
      </c>
    </row>
    <row r="29" spans="1:53" ht="14.25" hidden="1" customHeight="1">
      <c r="Q29" s="226"/>
      <c r="R29" s="310"/>
      <c r="S29" s="1197"/>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7">
        <v>0</v>
      </c>
    </row>
    <row r="30" spans="1:53" s="1742" customFormat="1" ht="25.5" hidden="1" customHeight="1">
      <c r="A30" s="1290"/>
      <c r="B30" s="1290"/>
      <c r="C30" s="1290"/>
      <c r="D30" s="1290"/>
      <c r="E30" s="1290"/>
      <c r="F30" s="1290"/>
      <c r="G30" s="1290"/>
      <c r="H30" s="1290"/>
      <c r="I30" s="1290"/>
      <c r="J30" s="1290"/>
      <c r="K30" s="1290"/>
      <c r="L30" s="1291"/>
      <c r="M30" s="1290"/>
      <c r="N30" s="1290"/>
      <c r="O30" s="1290"/>
      <c r="P30" s="1290"/>
      <c r="Q30" s="1290"/>
      <c r="S30"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3729"/>
      <c r="U30" s="1294"/>
      <c r="V30" s="3730" t="str">
        <f>IF(TITLE_NAME_OR_PR_CHANGE="",IF(TITLE_NAME_OR_PR="","",TITLE_NAME_OR_PR),TITLE_NAME_OR_PR_CHANGE)</f>
        <v/>
      </c>
      <c r="W30" s="3730"/>
      <c r="X30" s="3730"/>
      <c r="Y30" s="3730"/>
      <c r="Z30" s="3730"/>
      <c r="AA30" s="261"/>
      <c r="AB30" s="3730" t="str">
        <f>IF(TITLE_NAME_OR_PR_CHANGE="",IF(TITLE_NAME_OR_PR="","",TITLE_NAME_OR_PR),TITLE_NAME_OR_PR_CHANGE)</f>
        <v/>
      </c>
      <c r="AC30" s="3730"/>
      <c r="AD30" s="3730"/>
      <c r="AE30" s="3730"/>
      <c r="AF30" s="3730"/>
      <c r="AG30" s="3730"/>
      <c r="AH30" s="3730"/>
      <c r="AI30" s="3730"/>
      <c r="AJ30" s="3730"/>
      <c r="AK30" s="3730"/>
      <c r="AL30" s="3730"/>
      <c r="AM30" s="3730"/>
      <c r="AN30" s="3730"/>
      <c r="AO30" s="3730"/>
      <c r="AP30" s="3730"/>
      <c r="AQ30" s="3730"/>
      <c r="AR30" s="3730"/>
      <c r="AS30" s="261"/>
      <c r="AT30" s="261"/>
      <c r="AU30" s="215"/>
      <c r="AV30" s="302"/>
      <c r="AW30" s="302"/>
      <c r="AX30" s="302"/>
      <c r="AY30" s="302"/>
      <c r="AZ30" s="302"/>
      <c r="BA30" s="352">
        <v>0</v>
      </c>
    </row>
    <row r="31" spans="1:53" s="1742" customFormat="1" ht="18.75" hidden="1" customHeight="1">
      <c r="A31" s="1290"/>
      <c r="B31" s="1290"/>
      <c r="C31" s="1290"/>
      <c r="D31" s="1290"/>
      <c r="E31" s="1290"/>
      <c r="F31" s="1290"/>
      <c r="G31" s="1290"/>
      <c r="H31" s="1290"/>
      <c r="I31" s="1290"/>
      <c r="J31" s="1290"/>
      <c r="K31" s="1290"/>
      <c r="L31" s="1291"/>
      <c r="M31" s="1290"/>
      <c r="N31" s="1290"/>
      <c r="O31" s="1290"/>
      <c r="P31" s="1290"/>
      <c r="Q31" s="1290"/>
      <c r="S31" s="3729" t="str">
        <f>"Дата документа об "&amp;IF(TITLE_DATE_PR_CHANGE="","утверждении","изменении")&amp;" тарифов"</f>
        <v>Дата документа об утверждении тарифов</v>
      </c>
      <c r="T31" s="3729"/>
      <c r="U31" s="1294"/>
      <c r="V31" s="3739" t="str">
        <f>IF(TITLE_DATE_PR_CHANGE="",IF(TITLE_DATE_PR="","",TITLE_DATE_PR),TITLE_DATE_PR_CHANGE)</f>
        <v/>
      </c>
      <c r="W31" s="3739"/>
      <c r="X31" s="3739"/>
      <c r="Y31" s="3739"/>
      <c r="Z31" s="3739"/>
      <c r="AA31" s="261"/>
      <c r="AB31" s="3739" t="str">
        <f>IF(TITLE_DATE_PR_CHANGE="",IF(TITLE_DATE_PR="","",TITLE_DATE_PR),TITLE_DATE_PR_CHANGE)</f>
        <v/>
      </c>
      <c r="AC31" s="3739"/>
      <c r="AD31" s="3739"/>
      <c r="AE31" s="3739"/>
      <c r="AF31" s="3739"/>
      <c r="AG31" s="3739"/>
      <c r="AH31" s="3739"/>
      <c r="AI31" s="3739"/>
      <c r="AJ31" s="3739"/>
      <c r="AK31" s="3739"/>
      <c r="AL31" s="3739"/>
      <c r="AM31" s="3739"/>
      <c r="AN31" s="3739"/>
      <c r="AO31" s="3739"/>
      <c r="AP31" s="3739"/>
      <c r="AQ31" s="3739"/>
      <c r="AR31" s="3739"/>
      <c r="AS31" s="261"/>
      <c r="AT31" s="261"/>
      <c r="AU31" s="215"/>
      <c r="AV31" s="302"/>
      <c r="AW31" s="302"/>
      <c r="AX31" s="302"/>
      <c r="AY31" s="302"/>
      <c r="AZ31" s="302"/>
      <c r="BA31" s="352">
        <v>0</v>
      </c>
    </row>
    <row r="32" spans="1:53" s="1742" customFormat="1" ht="18.75" hidden="1" customHeight="1">
      <c r="A32" s="1290"/>
      <c r="B32" s="1290"/>
      <c r="C32" s="1290"/>
      <c r="D32" s="1290"/>
      <c r="E32" s="1290"/>
      <c r="F32" s="1290"/>
      <c r="G32" s="1290"/>
      <c r="H32" s="1290"/>
      <c r="I32" s="1290"/>
      <c r="J32" s="1290"/>
      <c r="K32" s="1290"/>
      <c r="L32" s="1291"/>
      <c r="M32" s="1290"/>
      <c r="N32" s="1290"/>
      <c r="O32" s="1290"/>
      <c r="P32" s="1290"/>
      <c r="Q32" s="1290"/>
      <c r="S32" s="3729" t="str">
        <f>"Номер документа об "&amp;IF(TITLE_DATE_PR_CHANGE="","утверждении","изменении")&amp;" тарифов"</f>
        <v>Номер документа об утверждении тарифов</v>
      </c>
      <c r="T32" s="3729"/>
      <c r="U32" s="1294"/>
      <c r="V32" s="3730" t="str">
        <f>IF(TITLE_NUMBER_PR_CHANGE="",IF(TITLE_NUMBER_PR="","",TITLE_NUMBER_PR),TITLE_NUMBER_PR_CHANGE)</f>
        <v/>
      </c>
      <c r="W32" s="3730"/>
      <c r="X32" s="3730"/>
      <c r="Y32" s="3730"/>
      <c r="Z32" s="3730"/>
      <c r="AA32" s="261"/>
      <c r="AB32" s="3730" t="str">
        <f>IF(TITLE_NUMBER_PR_CHANGE="",IF(TITLE_NUMBER_PR="","",TITLE_NUMBER_PR),TITLE_NUMBER_PR_CHANGE)</f>
        <v/>
      </c>
      <c r="AC32" s="3730"/>
      <c r="AD32" s="3730"/>
      <c r="AE32" s="3730"/>
      <c r="AF32" s="3730"/>
      <c r="AG32" s="3730"/>
      <c r="AH32" s="3730"/>
      <c r="AI32" s="3730"/>
      <c r="AJ32" s="3730"/>
      <c r="AK32" s="3730"/>
      <c r="AL32" s="3730"/>
      <c r="AM32" s="3730"/>
      <c r="AN32" s="3730"/>
      <c r="AO32" s="3730"/>
      <c r="AP32" s="3730"/>
      <c r="AQ32" s="3730"/>
      <c r="AR32" s="3730"/>
      <c r="AS32" s="261"/>
      <c r="AT32" s="261"/>
      <c r="AU32" s="215"/>
      <c r="AV32" s="302"/>
      <c r="AW32" s="302"/>
      <c r="AX32" s="302"/>
      <c r="AY32" s="302"/>
      <c r="AZ32" s="302"/>
      <c r="BA32" s="352">
        <v>0</v>
      </c>
    </row>
    <row r="33" spans="1:53" s="1742" customFormat="1" ht="18.75" hidden="1" customHeight="1">
      <c r="A33" s="1290"/>
      <c r="B33" s="1290"/>
      <c r="C33" s="1290"/>
      <c r="D33" s="1290"/>
      <c r="E33" s="1290"/>
      <c r="F33" s="1290"/>
      <c r="G33" s="1290"/>
      <c r="H33" s="1290"/>
      <c r="I33" s="1290"/>
      <c r="J33" s="1290"/>
      <c r="K33" s="1290"/>
      <c r="L33" s="1291"/>
      <c r="M33" s="1290"/>
      <c r="N33" s="1290"/>
      <c r="O33" s="1290"/>
      <c r="P33" s="1290"/>
      <c r="Q33" s="1290"/>
      <c r="S33" s="3729" t="s">
        <v>30</v>
      </c>
      <c r="T33" s="3729"/>
      <c r="U33" s="1294"/>
      <c r="V33" s="3730" t="str">
        <f>IF(TITLE_IST_PUB_CHANGE="",IF(TITLE_IST_PUB="","",TITLE_IST_PUB),TITLE_IST_PUB_CHANGE)</f>
        <v/>
      </c>
      <c r="W33" s="3730"/>
      <c r="X33" s="3730"/>
      <c r="Y33" s="3730"/>
      <c r="Z33" s="3730"/>
      <c r="AA33" s="261"/>
      <c r="AB33" s="3730" t="str">
        <f>IF(TITLE_IST_PUB_CHANGE="",IF(TITLE_IST_PUB="","",TITLE_IST_PUB),TITLE_IST_PUB_CHANGE)</f>
        <v/>
      </c>
      <c r="AC33" s="3730"/>
      <c r="AD33" s="3730"/>
      <c r="AE33" s="3730"/>
      <c r="AF33" s="3730"/>
      <c r="AG33" s="3730"/>
      <c r="AH33" s="3730"/>
      <c r="AI33" s="3730"/>
      <c r="AJ33" s="3730"/>
      <c r="AK33" s="3730"/>
      <c r="AL33" s="3730"/>
      <c r="AM33" s="3730"/>
      <c r="AN33" s="3730"/>
      <c r="AO33" s="3730"/>
      <c r="AP33" s="3730"/>
      <c r="AQ33" s="3730"/>
      <c r="AR33" s="3730"/>
      <c r="AS33" s="261"/>
      <c r="AT33" s="261"/>
      <c r="AU33" s="215"/>
      <c r="AV33" s="302"/>
      <c r="AW33" s="302"/>
      <c r="AX33" s="302"/>
      <c r="AY33" s="302"/>
      <c r="AZ33" s="302"/>
      <c r="BA33" s="352">
        <v>0</v>
      </c>
    </row>
    <row r="34" spans="1:53" ht="14.25" hidden="1" customHeight="1">
      <c r="Q34" s="226"/>
      <c r="R34" s="310"/>
      <c r="S34" s="1197"/>
      <c r="T34" s="391"/>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7">
        <v>0</v>
      </c>
    </row>
    <row r="35" spans="1:53" s="1742" customFormat="1" ht="18.75" hidden="1" customHeight="1">
      <c r="A35" s="1290"/>
      <c r="B35" s="1290"/>
      <c r="C35" s="1290"/>
      <c r="D35" s="1290"/>
      <c r="E35" s="1290"/>
      <c r="F35" s="1290"/>
      <c r="G35" s="1290"/>
      <c r="H35" s="1290"/>
      <c r="I35" s="1290"/>
      <c r="J35" s="1290"/>
      <c r="K35" s="1290"/>
      <c r="L35" s="1291"/>
      <c r="M35" s="1290"/>
      <c r="N35" s="1290"/>
      <c r="O35" s="1290"/>
      <c r="P35" s="1290"/>
      <c r="Q35" s="1290"/>
      <c r="S35" s="3729" t="str">
        <f>"Дата подачи заявления об "&amp;IF(TITLE_DATE_PR_CHANGE="","утверждении","изменении")&amp;" тарифов"</f>
        <v>Дата подачи заявления об утверждении тарифов</v>
      </c>
      <c r="T35" s="3729"/>
      <c r="U35" s="1294"/>
      <c r="V35" s="3739" t="str">
        <f>IF(TITLE_DATE_PR_CHANGE="",IF(TITLE_DATE_PR="","",TITLE_DATE_PR),TITLE_DATE_PR_CHANGE)</f>
        <v/>
      </c>
      <c r="W35" s="3739"/>
      <c r="X35" s="3739"/>
      <c r="Y35" s="3739"/>
      <c r="Z35" s="3739"/>
      <c r="AA35" s="261"/>
      <c r="AB35" s="3739" t="str">
        <f>IF(TITLE_DATE_PR_CHANGE="",IF(TITLE_DATE_PR="","",TITLE_DATE_PR),TITLE_DATE_PR_CHANGE)</f>
        <v/>
      </c>
      <c r="AC35" s="3739"/>
      <c r="AD35" s="3739"/>
      <c r="AE35" s="3739"/>
      <c r="AF35" s="3739"/>
      <c r="AG35" s="3739"/>
      <c r="AH35" s="3739"/>
      <c r="AI35" s="3739"/>
      <c r="AJ35" s="3739"/>
      <c r="AK35" s="3739"/>
      <c r="AL35" s="3739"/>
      <c r="AM35" s="3739"/>
      <c r="AN35" s="3739"/>
      <c r="AO35" s="3739"/>
      <c r="AP35" s="3739"/>
      <c r="AQ35" s="3739"/>
      <c r="AR35" s="3739"/>
      <c r="AS35" s="261"/>
      <c r="AT35" s="261"/>
      <c r="AU35" s="215"/>
      <c r="AV35" s="302"/>
      <c r="AW35" s="302"/>
      <c r="AX35" s="302"/>
      <c r="AY35" s="302"/>
      <c r="AZ35" s="302"/>
      <c r="BA35" s="352">
        <v>0</v>
      </c>
    </row>
    <row r="36" spans="1:53" s="1742" customFormat="1" ht="18" hidden="1" customHeight="1">
      <c r="A36" s="1290"/>
      <c r="B36" s="1290"/>
      <c r="C36" s="1290"/>
      <c r="D36" s="1290"/>
      <c r="E36" s="1290"/>
      <c r="F36" s="1290"/>
      <c r="G36" s="1290"/>
      <c r="H36" s="1290"/>
      <c r="I36" s="1290"/>
      <c r="J36" s="1290"/>
      <c r="K36" s="1290"/>
      <c r="L36" s="1291"/>
      <c r="M36" s="1290"/>
      <c r="N36" s="1290"/>
      <c r="O36" s="1290"/>
      <c r="P36" s="1290"/>
      <c r="Q36" s="1290"/>
      <c r="S36" s="3729" t="str">
        <f>"Номер подачи заявления об "&amp;IF(TITLE_DATE_PR_CHANGE="","утверждении","изменении")&amp;" тарифов"</f>
        <v>Номер подачи заявления об утверждении тарифов</v>
      </c>
      <c r="T36" s="3729"/>
      <c r="U36" s="1294"/>
      <c r="V36" s="3730" t="str">
        <f>IF(TITLE_NUMBER_PR_CHANGE="",IF(TITLE_NUMBER_PR="","",TITLE_NUMBER_PR),TITLE_NUMBER_PR_CHANGE)</f>
        <v/>
      </c>
      <c r="W36" s="3730"/>
      <c r="X36" s="3730"/>
      <c r="Y36" s="3730"/>
      <c r="Z36" s="3730"/>
      <c r="AA36" s="261"/>
      <c r="AB36" s="3730" t="str">
        <f>IF(TITLE_NUMBER_PR_CHANGE="",IF(TITLE_NUMBER_PR="","",TITLE_NUMBER_PR),TITLE_NUMBER_PR_CHANGE)</f>
        <v/>
      </c>
      <c r="AC36" s="3730"/>
      <c r="AD36" s="3730"/>
      <c r="AE36" s="3730"/>
      <c r="AF36" s="3730"/>
      <c r="AG36" s="3730"/>
      <c r="AH36" s="3730"/>
      <c r="AI36" s="3730"/>
      <c r="AJ36" s="3730"/>
      <c r="AK36" s="3730"/>
      <c r="AL36" s="3730"/>
      <c r="AM36" s="3730"/>
      <c r="AN36" s="3730"/>
      <c r="AO36" s="3730"/>
      <c r="AP36" s="3730"/>
      <c r="AQ36" s="3730"/>
      <c r="AR36" s="3730"/>
      <c r="AS36" s="261"/>
      <c r="AT36" s="261"/>
      <c r="AU36" s="215"/>
      <c r="AV36" s="302"/>
      <c r="AW36" s="302"/>
      <c r="AX36" s="302"/>
      <c r="AY36" s="302"/>
      <c r="AZ36" s="302"/>
      <c r="BA36" s="352">
        <v>0</v>
      </c>
    </row>
    <row r="37" spans="1:53" s="1742" customFormat="1" ht="1.1499999999999999" customHeight="1">
      <c r="A37" s="1290"/>
      <c r="B37" s="1290"/>
      <c r="C37" s="1290"/>
      <c r="D37" s="1290"/>
      <c r="E37" s="1290"/>
      <c r="F37" s="1290"/>
      <c r="G37" s="1290"/>
      <c r="H37" s="1290"/>
      <c r="I37" s="1290"/>
      <c r="J37" s="1290"/>
      <c r="K37" s="1290"/>
      <c r="L37" s="1291"/>
      <c r="M37" s="1290"/>
      <c r="N37" s="1290"/>
      <c r="O37" s="1290"/>
      <c r="P37" s="1290"/>
      <c r="Q37" s="1290"/>
      <c r="S37" s="258"/>
      <c r="T37" s="258"/>
      <c r="U37" s="1262"/>
      <c r="V37" s="261"/>
      <c r="W37" s="261"/>
      <c r="X37" s="261"/>
      <c r="Y37" s="261"/>
      <c r="Z37" s="261"/>
      <c r="AA37" s="213" t="s">
        <v>468</v>
      </c>
      <c r="AB37" s="261"/>
      <c r="AC37" s="261"/>
      <c r="AD37" s="261"/>
      <c r="AE37" s="261"/>
      <c r="AF37" s="261"/>
      <c r="AG37" s="261"/>
      <c r="AH37" s="261"/>
      <c r="AI37" s="261"/>
      <c r="AJ37" s="261"/>
      <c r="AK37" s="261"/>
      <c r="AL37" s="261"/>
      <c r="AM37" s="261"/>
      <c r="AN37" s="261"/>
      <c r="AO37" s="261"/>
      <c r="AP37" s="261"/>
      <c r="AQ37" s="261"/>
      <c r="AR37" s="261"/>
      <c r="AS37" s="213" t="s">
        <v>468</v>
      </c>
      <c r="AV37" s="302"/>
      <c r="AW37" s="302"/>
      <c r="AX37" s="302"/>
      <c r="AY37" s="302"/>
      <c r="AZ37" s="302"/>
      <c r="BA37" s="352">
        <v>1</v>
      </c>
    </row>
    <row r="38" spans="1:53" ht="14.65" customHeight="1">
      <c r="Q38" s="226"/>
      <c r="R38" s="310"/>
      <c r="S38" s="1197"/>
      <c r="T38" s="297"/>
      <c r="U38" s="1166"/>
      <c r="V38" s="3731"/>
      <c r="W38" s="3731"/>
      <c r="X38" s="3731"/>
      <c r="Y38" s="3731"/>
      <c r="Z38" s="3731"/>
      <c r="AA38" s="3731"/>
      <c r="AB38" s="3731"/>
      <c r="AC38" s="3731"/>
      <c r="AD38" s="3731"/>
      <c r="AE38" s="3731"/>
      <c r="AF38" s="3731"/>
      <c r="AG38" s="3731"/>
      <c r="AH38" s="3731"/>
      <c r="AI38" s="3731"/>
      <c r="AJ38" s="3731"/>
      <c r="AK38" s="3731"/>
      <c r="AL38" s="3731"/>
      <c r="AM38" s="3731"/>
      <c r="AN38" s="3731"/>
      <c r="AO38" s="3731"/>
      <c r="AP38" s="3731"/>
      <c r="AQ38" s="3731"/>
      <c r="AR38" s="3731"/>
      <c r="AS38" s="3731"/>
      <c r="BA38" s="1077">
        <v>14</v>
      </c>
    </row>
    <row r="39" spans="1:53" ht="14.65" customHeight="1">
      <c r="Q39" s="226"/>
      <c r="R39" s="310"/>
      <c r="S39" s="3618" t="s">
        <v>345</v>
      </c>
      <c r="T39" s="3618"/>
      <c r="U39" s="3618"/>
      <c r="V39" s="3618"/>
      <c r="W39" s="3618"/>
      <c r="X39" s="3618"/>
      <c r="Y39" s="3618"/>
      <c r="Z39" s="3618"/>
      <c r="AA39" s="3618"/>
      <c r="AB39" s="3666"/>
      <c r="AC39" s="3666"/>
      <c r="AD39" s="3666"/>
      <c r="AE39" s="3666"/>
      <c r="AF39" s="3618"/>
      <c r="AG39" s="3618"/>
      <c r="AH39" s="3618"/>
      <c r="AI39" s="3618"/>
      <c r="AJ39" s="3618"/>
      <c r="AK39" s="3618"/>
      <c r="AL39" s="3618"/>
      <c r="AM39" s="3618"/>
      <c r="AN39" s="3618"/>
      <c r="AO39" s="3618"/>
      <c r="AP39" s="3618"/>
      <c r="AQ39" s="3618"/>
      <c r="AR39" s="3618"/>
      <c r="AS39" s="3618"/>
      <c r="AT39" s="3618"/>
      <c r="AU39" s="3618" t="s">
        <v>346</v>
      </c>
      <c r="BA39" s="1077">
        <v>14</v>
      </c>
    </row>
    <row r="40" spans="1:53" ht="14.65" customHeight="1">
      <c r="Q40" s="226"/>
      <c r="R40" s="310"/>
      <c r="S40" s="3745" t="s">
        <v>76</v>
      </c>
      <c r="T40" s="3697" t="s">
        <v>514</v>
      </c>
      <c r="U40" s="236"/>
      <c r="V40" s="3747"/>
      <c r="W40" s="3747"/>
      <c r="X40" s="3747"/>
      <c r="Y40" s="3747"/>
      <c r="Z40" s="3748"/>
      <c r="AA40" s="3790" t="s">
        <v>471</v>
      </c>
      <c r="AB40" s="3782" t="s">
        <v>515</v>
      </c>
      <c r="AC40" s="3763"/>
      <c r="AD40" s="3763"/>
      <c r="AE40" s="3783"/>
      <c r="AF40" s="3763" t="s">
        <v>516</v>
      </c>
      <c r="AG40" s="3763"/>
      <c r="AH40" s="3763"/>
      <c r="AI40" s="3783"/>
      <c r="AJ40" s="3782" t="s">
        <v>517</v>
      </c>
      <c r="AK40" s="3763"/>
      <c r="AL40" s="3763"/>
      <c r="AM40" s="3783"/>
      <c r="AN40" s="3782" t="s">
        <v>470</v>
      </c>
      <c r="AO40" s="3763"/>
      <c r="AP40" s="3747"/>
      <c r="AQ40" s="3747"/>
      <c r="AR40" s="3748"/>
      <c r="AS40" s="3749" t="s">
        <v>471</v>
      </c>
      <c r="AT40" s="3752" t="s">
        <v>473</v>
      </c>
      <c r="AU40" s="3618"/>
      <c r="BA40" s="1077">
        <v>14</v>
      </c>
    </row>
    <row r="41" spans="1:53" ht="35.65" customHeight="1">
      <c r="Q41" s="226"/>
      <c r="R41" s="310"/>
      <c r="S41" s="3745"/>
      <c r="T41" s="3697"/>
      <c r="U41" s="957"/>
      <c r="V41" s="3618" t="s">
        <v>518</v>
      </c>
      <c r="W41" s="3618"/>
      <c r="X41" s="3683" t="s">
        <v>477</v>
      </c>
      <c r="Y41" s="3777"/>
      <c r="Z41" s="3684"/>
      <c r="AA41" s="3791"/>
      <c r="AB41" s="3784"/>
      <c r="AC41" s="3785"/>
      <c r="AD41" s="3785"/>
      <c r="AE41" s="3786"/>
      <c r="AF41" s="3785"/>
      <c r="AG41" s="3785"/>
      <c r="AH41" s="3785"/>
      <c r="AI41" s="3786"/>
      <c r="AJ41" s="3784"/>
      <c r="AK41" s="3785"/>
      <c r="AL41" s="3785"/>
      <c r="AM41" s="3785"/>
      <c r="AN41" s="3618" t="s">
        <v>518</v>
      </c>
      <c r="AO41" s="3618"/>
      <c r="AP41" s="3777" t="s">
        <v>477</v>
      </c>
      <c r="AQ41" s="3777"/>
      <c r="AR41" s="3684"/>
      <c r="AS41" s="3750"/>
      <c r="AT41" s="3753"/>
      <c r="AU41" s="3618"/>
      <c r="BA41" s="1077">
        <v>34</v>
      </c>
    </row>
    <row r="42" spans="1:53" ht="14.65" customHeight="1">
      <c r="Q42" s="226"/>
      <c r="R42" s="310"/>
      <c r="S42" s="3745"/>
      <c r="T42" s="3697"/>
      <c r="U42" s="957"/>
      <c r="V42" s="3794" t="str">
        <f>IF($AN$42&lt;&gt;"",$AN$42,"")</f>
        <v/>
      </c>
      <c r="W42" s="3794"/>
      <c r="X42" s="3688"/>
      <c r="Y42" s="3778"/>
      <c r="Z42" s="3689"/>
      <c r="AA42" s="3791"/>
      <c r="AB42" s="3784"/>
      <c r="AC42" s="3785"/>
      <c r="AD42" s="3785"/>
      <c r="AE42" s="3786"/>
      <c r="AF42" s="3785"/>
      <c r="AG42" s="3785"/>
      <c r="AH42" s="3785"/>
      <c r="AI42" s="3786"/>
      <c r="AJ42" s="3784"/>
      <c r="AK42" s="3785"/>
      <c r="AL42" s="3785"/>
      <c r="AM42" s="3785"/>
      <c r="AN42" s="3793"/>
      <c r="AO42" s="3793"/>
      <c r="AP42" s="3778"/>
      <c r="AQ42" s="3778"/>
      <c r="AR42" s="3689"/>
      <c r="AS42" s="3750"/>
      <c r="AT42" s="3753"/>
      <c r="AU42" s="3618"/>
      <c r="BA42" s="1077">
        <v>14</v>
      </c>
    </row>
    <row r="43" spans="1:53" ht="14.65" customHeight="1">
      <c r="A43" s="1292"/>
      <c r="B43" s="1292" t="s">
        <v>188</v>
      </c>
      <c r="C43" s="1292" t="s">
        <v>189</v>
      </c>
      <c r="D43" s="1292" t="s">
        <v>190</v>
      </c>
      <c r="E43" s="1286" t="s">
        <v>478</v>
      </c>
      <c r="F43" s="1286" t="s">
        <v>479</v>
      </c>
      <c r="G43" s="1286" t="s">
        <v>480</v>
      </c>
      <c r="H43" s="1286" t="s">
        <v>481</v>
      </c>
      <c r="I43" s="1286" t="s">
        <v>482</v>
      </c>
      <c r="J43" s="1286" t="s">
        <v>483</v>
      </c>
      <c r="K43" s="1286" t="s">
        <v>484</v>
      </c>
      <c r="L43" s="1286" t="s">
        <v>463</v>
      </c>
      <c r="Q43" s="226"/>
      <c r="R43" s="310"/>
      <c r="S43" s="3745"/>
      <c r="T43" s="3697"/>
      <c r="U43" s="237"/>
      <c r="V43" s="1252" t="s">
        <v>519</v>
      </c>
      <c r="W43" s="1252" t="s">
        <v>520</v>
      </c>
      <c r="X43" s="1260" t="s">
        <v>487</v>
      </c>
      <c r="Y43" s="3705" t="s">
        <v>488</v>
      </c>
      <c r="Z43" s="3707"/>
      <c r="AA43" s="3792"/>
      <c r="AB43" s="3787"/>
      <c r="AC43" s="3788"/>
      <c r="AD43" s="3788"/>
      <c r="AE43" s="3789"/>
      <c r="AF43" s="3788"/>
      <c r="AG43" s="3788"/>
      <c r="AH43" s="3788"/>
      <c r="AI43" s="3789"/>
      <c r="AJ43" s="3787"/>
      <c r="AK43" s="3788"/>
      <c r="AL43" s="3788"/>
      <c r="AM43" s="3789"/>
      <c r="AN43" s="1749" t="s">
        <v>519</v>
      </c>
      <c r="AO43" s="1749" t="s">
        <v>520</v>
      </c>
      <c r="AP43" s="1260" t="s">
        <v>487</v>
      </c>
      <c r="AQ43" s="3705" t="s">
        <v>488</v>
      </c>
      <c r="AR43" s="3707"/>
      <c r="AS43" s="3751"/>
      <c r="AT43" s="3754"/>
      <c r="AU43" s="3618"/>
      <c r="BA43" s="1077">
        <v>14</v>
      </c>
    </row>
    <row r="44" spans="1:53" s="1563" customFormat="1" ht="11.25" hidden="1" customHeight="1">
      <c r="A44" s="1292"/>
      <c r="B44" s="1292"/>
      <c r="C44" s="1292"/>
      <c r="D44" s="1292"/>
      <c r="E44" s="1292"/>
      <c r="F44" s="1292"/>
      <c r="G44" s="1292"/>
      <c r="H44" s="1292"/>
      <c r="I44" s="1292"/>
      <c r="J44" s="1292"/>
      <c r="K44" s="1292"/>
      <c r="L44" s="1286"/>
      <c r="M44" s="1284"/>
      <c r="N44" s="1284"/>
      <c r="O44" s="1284"/>
      <c r="P44" s="444"/>
      <c r="Q44" s="1176"/>
      <c r="R44" s="1176">
        <v>1</v>
      </c>
      <c r="S44" s="1199" t="s">
        <v>164</v>
      </c>
      <c r="T44" s="1177" t="s">
        <v>89</v>
      </c>
      <c r="U44" s="1167" t="str">
        <f ca="1">OFFSET(U44,0,-1)</f>
        <v>2</v>
      </c>
      <c r="V44" s="1257">
        <f ca="1">OFFSET(V44,0,-1)+1</f>
        <v>3</v>
      </c>
      <c r="W44" s="1257">
        <f ca="1">OFFSET(W44,0,-1)+1</f>
        <v>4</v>
      </c>
      <c r="X44" s="1257">
        <f ca="1">OFFSET(X44,0,-1)+1</f>
        <v>5</v>
      </c>
      <c r="Y44" s="3744">
        <f ca="1">OFFSET(Y44,0,-1)+1</f>
        <v>6</v>
      </c>
      <c r="Z44" s="3744"/>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3744">
        <f ca="1">OFFSET(AQ44,0,-1)+1</f>
        <v>4</v>
      </c>
      <c r="AR44" s="3744"/>
      <c r="AS44" s="1257">
        <f ca="1">OFFSET(AS44,0,-2)+1</f>
        <v>5</v>
      </c>
      <c r="AT44" s="1167">
        <f ca="1">OFFSET(AT44,0,-1)</f>
        <v>5</v>
      </c>
      <c r="AU44" s="1257">
        <f ca="1">OFFSET(AU44,0,-1)+1</f>
        <v>6</v>
      </c>
      <c r="AV44" s="445"/>
      <c r="AW44" s="445"/>
      <c r="AX44" s="445"/>
      <c r="AY44" s="445"/>
      <c r="AZ44" s="445"/>
      <c r="BA44" s="430">
        <v>0</v>
      </c>
    </row>
    <row r="45" spans="1:53" ht="107.25" customHeight="1">
      <c r="A45" s="1285" t="s">
        <v>245</v>
      </c>
      <c r="B45" s="1285"/>
      <c r="C45" s="1285"/>
      <c r="D45" s="1285"/>
      <c r="E45" s="3737">
        <v>1</v>
      </c>
      <c r="F45" s="1285"/>
      <c r="G45" s="1285"/>
      <c r="H45" s="1285"/>
      <c r="I45" s="1285"/>
      <c r="J45" s="1285"/>
      <c r="K45" s="1285"/>
      <c r="L45" s="1286"/>
      <c r="M45" s="1287"/>
      <c r="N45" s="1287"/>
      <c r="O45" s="1287"/>
      <c r="P45" s="1331"/>
      <c r="Q45" s="801"/>
      <c r="R45" s="289"/>
      <c r="S45" s="1258">
        <f>INDEX(PT_DIFFERENTIATION_NUM_NTAR,MATCH(A45,PT_DIFFERENTIATION_NTAR_ID,0))</f>
        <v>0</v>
      </c>
      <c r="T45" s="233" t="s">
        <v>176</v>
      </c>
      <c r="U45" s="235"/>
      <c r="V45" s="3724"/>
      <c r="W45" s="3724"/>
      <c r="X45" s="3724"/>
      <c r="Y45" s="3724"/>
      <c r="Z45" s="3724"/>
      <c r="AA45" s="3725"/>
      <c r="AB45" s="3723" t="str">
        <f>INDEX(PT_DIFFERENTIATION_NTAR,MATCH(A45,PT_DIFFERENTIATION_NTAR_ID,0))</f>
        <v/>
      </c>
      <c r="AC45" s="3724"/>
      <c r="AD45" s="3724"/>
      <c r="AE45" s="3724"/>
      <c r="AF45" s="3724"/>
      <c r="AG45" s="3724"/>
      <c r="AH45" s="3724"/>
      <c r="AI45" s="3724"/>
      <c r="AJ45" s="3724"/>
      <c r="AK45" s="3724"/>
      <c r="AL45" s="3724"/>
      <c r="AM45" s="3724"/>
      <c r="AN45" s="3724"/>
      <c r="AO45" s="3724"/>
      <c r="AP45" s="3724"/>
      <c r="AQ45" s="3724"/>
      <c r="AR45" s="3724"/>
      <c r="AS45" s="3724"/>
      <c r="AT45" s="3725"/>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1077">
        <v>102</v>
      </c>
    </row>
    <row r="46" spans="1:53" ht="21.95" customHeight="1">
      <c r="A46" s="1285" t="s">
        <v>245</v>
      </c>
      <c r="B46" s="1285" t="s">
        <v>246</v>
      </c>
      <c r="C46" s="1285"/>
      <c r="D46" s="1285"/>
      <c r="E46" s="3738"/>
      <c r="F46" s="3737">
        <v>1</v>
      </c>
      <c r="G46" s="1285"/>
      <c r="H46" s="1285"/>
      <c r="I46" s="1285"/>
      <c r="J46" s="1285"/>
      <c r="K46" s="1285"/>
      <c r="L46" s="1286"/>
      <c r="M46" s="1287"/>
      <c r="N46" s="1287"/>
      <c r="O46" s="1287"/>
      <c r="P46" s="1332"/>
      <c r="Q46" s="1333"/>
      <c r="R46" s="287"/>
      <c r="S46" s="1258" t="str">
        <f>INDEX(PT_DIFFERENTIATION_NUM_TER,MATCH(B46,PT_DIFFERENTIATION_TER_ID,0))</f>
        <v>.</v>
      </c>
      <c r="T46" s="243" t="s">
        <v>442</v>
      </c>
      <c r="U46" s="235"/>
      <c r="V46" s="3724"/>
      <c r="W46" s="3724"/>
      <c r="X46" s="3724"/>
      <c r="Y46" s="3724"/>
      <c r="Z46" s="3724"/>
      <c r="AA46" s="3725"/>
      <c r="AB46" s="3723" t="str">
        <f>INDEX(PT_DIFFERENTIATION_TER,MATCH(B46,PT_DIFFERENTIATION_TER_ID,0))</f>
        <v/>
      </c>
      <c r="AC46" s="3724"/>
      <c r="AD46" s="3724"/>
      <c r="AE46" s="3724"/>
      <c r="AF46" s="3724"/>
      <c r="AG46" s="3724"/>
      <c r="AH46" s="3724"/>
      <c r="AI46" s="3724"/>
      <c r="AJ46" s="3724"/>
      <c r="AK46" s="3724"/>
      <c r="AL46" s="3724"/>
      <c r="AM46" s="3724"/>
      <c r="AN46" s="3724"/>
      <c r="AO46" s="3724"/>
      <c r="AP46" s="3724"/>
      <c r="AQ46" s="3724"/>
      <c r="AR46" s="3724"/>
      <c r="AS46" s="3724"/>
      <c r="AT46" s="3725"/>
      <c r="AU46" s="1180" t="s">
        <v>443</v>
      </c>
      <c r="AW46" s="434"/>
      <c r="AX46" s="434" t="str">
        <f t="shared" si="2"/>
        <v>Территория действия тарифа</v>
      </c>
      <c r="AY46" s="434"/>
      <c r="AZ46" s="434"/>
      <c r="BA46" s="1077">
        <v>21</v>
      </c>
    </row>
    <row r="47" spans="1:53" ht="24" customHeight="1">
      <c r="A47" s="1285" t="s">
        <v>245</v>
      </c>
      <c r="B47" s="1285" t="s">
        <v>246</v>
      </c>
      <c r="C47" s="1285" t="s">
        <v>247</v>
      </c>
      <c r="D47" s="1285"/>
      <c r="E47" s="3738"/>
      <c r="F47" s="3738"/>
      <c r="G47" s="3737">
        <v>1</v>
      </c>
      <c r="H47" s="1285"/>
      <c r="I47" s="1285"/>
      <c r="J47" s="1285"/>
      <c r="K47" s="1285"/>
      <c r="L47" s="1286"/>
      <c r="M47" s="1287"/>
      <c r="N47" s="1287"/>
      <c r="O47" s="1287"/>
      <c r="P47" s="1334"/>
      <c r="Q47" s="1333"/>
      <c r="R47" s="287"/>
      <c r="S47" s="1258" t="str">
        <f>INDEX(PT_DIFFERENTIATION_NUM_CS,MATCH(C47,PT_DIFFERENTIATION_CS_ID,0))</f>
        <v>..</v>
      </c>
      <c r="T47" s="244" t="s">
        <v>444</v>
      </c>
      <c r="U47" s="235"/>
      <c r="V47" s="3724"/>
      <c r="W47" s="3724"/>
      <c r="X47" s="3724"/>
      <c r="Y47" s="3724"/>
      <c r="Z47" s="3724"/>
      <c r="AA47" s="3725"/>
      <c r="AB47" s="3723" t="str">
        <f>INDEX(PT_DIFFERENTIATION_CS,MATCH(C47,PT_DIFFERENTIATION_CS_ID,0))</f>
        <v/>
      </c>
      <c r="AC47" s="3724"/>
      <c r="AD47" s="3724"/>
      <c r="AE47" s="3724"/>
      <c r="AF47" s="3724"/>
      <c r="AG47" s="3724"/>
      <c r="AH47" s="3724"/>
      <c r="AI47" s="3724"/>
      <c r="AJ47" s="3724"/>
      <c r="AK47" s="3724"/>
      <c r="AL47" s="3724"/>
      <c r="AM47" s="3724"/>
      <c r="AN47" s="3724"/>
      <c r="AO47" s="3724"/>
      <c r="AP47" s="3724"/>
      <c r="AQ47" s="3724"/>
      <c r="AR47" s="3724"/>
      <c r="AS47" s="3724"/>
      <c r="AT47" s="3725"/>
      <c r="AU47" s="1180" t="s">
        <v>445</v>
      </c>
      <c r="AW47" s="434"/>
      <c r="AX47" s="434" t="str">
        <f t="shared" si="2"/>
        <v xml:space="preserve">Наименование системы теплоснабжения </v>
      </c>
      <c r="AY47" s="434"/>
      <c r="AZ47" s="434"/>
      <c r="BA47" s="1077">
        <v>23</v>
      </c>
    </row>
    <row r="48" spans="1:53" ht="21" customHeight="1">
      <c r="A48" s="1285" t="s">
        <v>245</v>
      </c>
      <c r="B48" s="1285" t="s">
        <v>246</v>
      </c>
      <c r="C48" s="1285" t="s">
        <v>247</v>
      </c>
      <c r="D48" s="1285" t="s">
        <v>248</v>
      </c>
      <c r="E48" s="3738"/>
      <c r="F48" s="3738"/>
      <c r="G48" s="3738"/>
      <c r="H48" s="3737">
        <v>1</v>
      </c>
      <c r="I48" s="1285"/>
      <c r="J48" s="1285"/>
      <c r="K48" s="1285"/>
      <c r="L48" s="1286"/>
      <c r="M48" s="1287"/>
      <c r="N48" s="1287"/>
      <c r="O48" s="1287"/>
      <c r="P48" s="1334"/>
      <c r="Q48" s="1333"/>
      <c r="R48" s="287"/>
      <c r="S48" s="1258" t="str">
        <f>INDEX(PT_DIFFERENTIATION_NUM_IST_TE,MATCH(D48,PT_DIFFERENTIATION_IST_TE_ID,0))</f>
        <v>...</v>
      </c>
      <c r="T48" s="245" t="s">
        <v>446</v>
      </c>
      <c r="U48" s="235"/>
      <c r="V48" s="3724"/>
      <c r="W48" s="3724"/>
      <c r="X48" s="3724"/>
      <c r="Y48" s="3724"/>
      <c r="Z48" s="3724"/>
      <c r="AA48" s="3725"/>
      <c r="AB48" s="3723" t="str">
        <f>INDEX(PT_DIFFERENTIATION_IST_TE,MATCH(D48,PT_DIFFERENTIATION_IST_TE_ID,0))</f>
        <v/>
      </c>
      <c r="AC48" s="3724"/>
      <c r="AD48" s="3724"/>
      <c r="AE48" s="3724"/>
      <c r="AF48" s="3724"/>
      <c r="AG48" s="3724"/>
      <c r="AH48" s="3724"/>
      <c r="AI48" s="3724"/>
      <c r="AJ48" s="3724"/>
      <c r="AK48" s="3724"/>
      <c r="AL48" s="3724"/>
      <c r="AM48" s="3724"/>
      <c r="AN48" s="3724"/>
      <c r="AO48" s="3724"/>
      <c r="AP48" s="3724"/>
      <c r="AQ48" s="3724"/>
      <c r="AR48" s="3724"/>
      <c r="AS48" s="3724"/>
      <c r="AT48" s="3725"/>
      <c r="AU48" s="1180" t="s">
        <v>447</v>
      </c>
      <c r="AW48" s="434"/>
      <c r="AX48" s="434" t="str">
        <f t="shared" si="2"/>
        <v xml:space="preserve">Источник тепловой энергии  </v>
      </c>
      <c r="AY48" s="434"/>
      <c r="AZ48" s="434"/>
      <c r="BA48" s="1077">
        <v>20</v>
      </c>
    </row>
    <row r="49" spans="1:53" s="1564" customFormat="1" ht="1.1499999999999999" customHeight="1">
      <c r="A49" s="1265" t="s">
        <v>245</v>
      </c>
      <c r="B49" s="1265" t="s">
        <v>246</v>
      </c>
      <c r="C49" s="1265" t="s">
        <v>247</v>
      </c>
      <c r="D49" s="1265" t="s">
        <v>248</v>
      </c>
      <c r="E49" s="3738"/>
      <c r="F49" s="3738"/>
      <c r="G49" s="3738"/>
      <c r="H49" s="3738"/>
      <c r="I49" s="3735" t="str">
        <f>S48&amp;".1"</f>
        <v>....1</v>
      </c>
      <c r="J49" s="1265"/>
      <c r="K49" s="1265"/>
      <c r="L49" s="1268" t="s">
        <v>448</v>
      </c>
      <c r="M49" s="444"/>
      <c r="N49" s="444"/>
      <c r="O49" s="444"/>
      <c r="P49" s="3736">
        <v>1</v>
      </c>
      <c r="Q49" s="1253"/>
      <c r="R49" s="290"/>
      <c r="S49" s="968"/>
      <c r="T49" s="1305"/>
      <c r="U49" s="1306"/>
      <c r="V49" s="3767"/>
      <c r="W49" s="3767"/>
      <c r="X49" s="3767"/>
      <c r="Y49" s="3767"/>
      <c r="Z49" s="3767"/>
      <c r="AA49" s="3768"/>
      <c r="AB49" s="3766"/>
      <c r="AC49" s="3767"/>
      <c r="AD49" s="3767"/>
      <c r="AE49" s="3767"/>
      <c r="AF49" s="3767"/>
      <c r="AG49" s="3767"/>
      <c r="AH49" s="3767"/>
      <c r="AI49" s="3767"/>
      <c r="AJ49" s="3767"/>
      <c r="AK49" s="3767"/>
      <c r="AL49" s="3767"/>
      <c r="AM49" s="3767"/>
      <c r="AN49" s="3767"/>
      <c r="AO49" s="3767"/>
      <c r="AP49" s="3767"/>
      <c r="AQ49" s="3767"/>
      <c r="AR49" s="3767"/>
      <c r="AS49" s="3767"/>
      <c r="AT49" s="3768"/>
      <c r="AU49" s="1307"/>
      <c r="AW49" s="434"/>
      <c r="AX49" s="434" t="str">
        <f t="shared" si="2"/>
        <v/>
      </c>
      <c r="AY49" s="434"/>
      <c r="AZ49" s="434"/>
      <c r="BA49" s="445">
        <v>1</v>
      </c>
    </row>
    <row r="50" spans="1:53" s="1564" customFormat="1" ht="1.1499999999999999" customHeight="1">
      <c r="A50" s="1265" t="s">
        <v>245</v>
      </c>
      <c r="B50" s="1265" t="s">
        <v>246</v>
      </c>
      <c r="C50" s="1265" t="s">
        <v>247</v>
      </c>
      <c r="D50" s="1265" t="s">
        <v>248</v>
      </c>
      <c r="E50" s="3738"/>
      <c r="F50" s="3738"/>
      <c r="G50" s="3738"/>
      <c r="H50" s="3738"/>
      <c r="I50" s="3758"/>
      <c r="J50" s="3735" t="str">
        <f>S48&amp;".1"</f>
        <v>....1</v>
      </c>
      <c r="K50" s="1265"/>
      <c r="L50" s="1268"/>
      <c r="M50" s="444"/>
      <c r="N50" s="444"/>
      <c r="O50" s="444"/>
      <c r="P50" s="3736"/>
      <c r="Q50" s="3736">
        <v>1</v>
      </c>
      <c r="R50" s="291"/>
      <c r="S50" s="968"/>
      <c r="T50" s="1321"/>
      <c r="U50" s="1306"/>
      <c r="V50" s="3767"/>
      <c r="W50" s="3767"/>
      <c r="X50" s="3767"/>
      <c r="Y50" s="3767"/>
      <c r="Z50" s="3767"/>
      <c r="AA50" s="3768"/>
      <c r="AB50" s="3766"/>
      <c r="AC50" s="3767"/>
      <c r="AD50" s="3767"/>
      <c r="AE50" s="3767"/>
      <c r="AF50" s="3767"/>
      <c r="AG50" s="3767"/>
      <c r="AH50" s="3767"/>
      <c r="AI50" s="3767"/>
      <c r="AJ50" s="3767"/>
      <c r="AK50" s="3767"/>
      <c r="AL50" s="3767"/>
      <c r="AM50" s="3767"/>
      <c r="AN50" s="3767"/>
      <c r="AO50" s="3767"/>
      <c r="AP50" s="3767"/>
      <c r="AQ50" s="3767"/>
      <c r="AR50" s="3767"/>
      <c r="AS50" s="3767"/>
      <c r="AT50" s="3768"/>
      <c r="AU50" s="1307"/>
      <c r="AW50" s="434"/>
      <c r="AX50" s="434" t="str">
        <f t="shared" si="2"/>
        <v/>
      </c>
      <c r="AY50" s="434"/>
      <c r="AZ50" s="434"/>
      <c r="BA50" s="445">
        <v>1</v>
      </c>
    </row>
    <row r="51" spans="1:53" ht="21.95" customHeight="1">
      <c r="A51" s="1285" t="s">
        <v>245</v>
      </c>
      <c r="B51" s="1285" t="s">
        <v>246</v>
      </c>
      <c r="C51" s="1285" t="s">
        <v>247</v>
      </c>
      <c r="D51" s="1285" t="s">
        <v>248</v>
      </c>
      <c r="E51" s="3738"/>
      <c r="F51" s="3738"/>
      <c r="G51" s="3738"/>
      <c r="H51" s="3738"/>
      <c r="I51" s="3758"/>
      <c r="J51" s="3758"/>
      <c r="K51" s="3735" t="str">
        <f>S48&amp;".1"</f>
        <v>....1</v>
      </c>
      <c r="L51" s="1286"/>
      <c r="P51" s="3736"/>
      <c r="Q51" s="3736"/>
      <c r="R51" s="291">
        <v>1</v>
      </c>
      <c r="S51" s="3795" t="str">
        <f>$K51</f>
        <v>....1</v>
      </c>
      <c r="T51" s="3798"/>
      <c r="U51" s="235"/>
      <c r="V51" s="685"/>
      <c r="W51" s="1179"/>
      <c r="X51" s="1627"/>
      <c r="Y51" s="1381" t="s">
        <v>50</v>
      </c>
      <c r="Z51" s="1627"/>
      <c r="AA51" s="1381" t="s">
        <v>50</v>
      </c>
      <c r="AB51" s="3599" t="s">
        <v>6</v>
      </c>
      <c r="AC51" s="3780"/>
      <c r="AD51" s="3693">
        <v>1</v>
      </c>
      <c r="AE51" s="3802" t="s">
        <v>9</v>
      </c>
      <c r="AF51" s="3599" t="s">
        <v>6</v>
      </c>
      <c r="AG51" s="3780"/>
      <c r="AH51" s="3693">
        <v>1</v>
      </c>
      <c r="AI51" s="3802" t="s">
        <v>9</v>
      </c>
      <c r="AJ51" s="3599" t="s">
        <v>6</v>
      </c>
      <c r="AK51" s="246"/>
      <c r="AL51" s="1259">
        <v>1</v>
      </c>
      <c r="AM51" s="1324"/>
      <c r="AN51" s="685"/>
      <c r="AO51" s="1179"/>
      <c r="AP51" s="1627"/>
      <c r="AQ51" s="1381" t="s">
        <v>50</v>
      </c>
      <c r="AR51" s="1627"/>
      <c r="AS51" s="1381" t="s">
        <v>50</v>
      </c>
      <c r="AT51" s="1270"/>
      <c r="AU51" s="3732" t="s">
        <v>521</v>
      </c>
      <c r="AV51" s="445" t="e">
        <f ca="1">STRCHECKDATE(V54:AT54)</f>
        <v>#NAME?</v>
      </c>
      <c r="AW51" s="434"/>
      <c r="AX51" s="434" t="str">
        <f t="shared" si="2"/>
        <v/>
      </c>
      <c r="AY51" s="434"/>
      <c r="AZ51" s="434"/>
      <c r="BA51" s="1077">
        <v>21</v>
      </c>
    </row>
    <row r="52" spans="1:53" ht="11.45" customHeight="1">
      <c r="A52" s="1285" t="s">
        <v>245</v>
      </c>
      <c r="B52" s="1285"/>
      <c r="C52" s="1285"/>
      <c r="D52" s="1285"/>
      <c r="E52" s="3738"/>
      <c r="F52" s="3738"/>
      <c r="G52" s="3738"/>
      <c r="H52" s="3738"/>
      <c r="I52" s="3758"/>
      <c r="J52" s="3758"/>
      <c r="K52" s="3735"/>
      <c r="L52" s="1286"/>
      <c r="P52" s="3736"/>
      <c r="Q52" s="3736"/>
      <c r="R52" s="291"/>
      <c r="S52" s="3796"/>
      <c r="T52" s="3799"/>
      <c r="U52" s="235"/>
      <c r="V52" s="1315"/>
      <c r="W52" s="1418"/>
      <c r="X52" s="1315"/>
      <c r="Y52" s="1315"/>
      <c r="Z52" s="1315"/>
      <c r="AA52" s="1315"/>
      <c r="AB52" s="3599"/>
      <c r="AC52" s="3780"/>
      <c r="AD52" s="3693"/>
      <c r="AE52" s="3802"/>
      <c r="AF52" s="3599"/>
      <c r="AG52" s="3780"/>
      <c r="AH52" s="3693"/>
      <c r="AI52" s="3802"/>
      <c r="AJ52" s="3599"/>
      <c r="AK52" s="251"/>
      <c r="AL52" s="350"/>
      <c r="AM52" s="349" t="s">
        <v>506</v>
      </c>
      <c r="AN52" s="1315"/>
      <c r="AO52" s="1418"/>
      <c r="AP52" s="1315"/>
      <c r="AQ52" s="1315"/>
      <c r="AR52" s="1315"/>
      <c r="AS52" s="1315"/>
      <c r="AT52" s="1312"/>
      <c r="AU52" s="3733"/>
      <c r="AW52" s="434"/>
      <c r="AX52" s="434"/>
      <c r="AY52" s="434"/>
      <c r="AZ52" s="434"/>
      <c r="BA52" s="1077">
        <v>11</v>
      </c>
    </row>
    <row r="53" spans="1:53" ht="11.45" customHeight="1">
      <c r="A53" s="1285" t="s">
        <v>245</v>
      </c>
      <c r="B53" s="1285"/>
      <c r="C53" s="1285"/>
      <c r="D53" s="1285"/>
      <c r="E53" s="3738"/>
      <c r="F53" s="3738"/>
      <c r="G53" s="3738"/>
      <c r="H53" s="3738"/>
      <c r="I53" s="3758"/>
      <c r="J53" s="3758"/>
      <c r="K53" s="3735"/>
      <c r="L53" s="1286"/>
      <c r="P53" s="3736"/>
      <c r="Q53" s="3736"/>
      <c r="R53" s="291"/>
      <c r="S53" s="3796"/>
      <c r="T53" s="3799"/>
      <c r="U53" s="235"/>
      <c r="V53" s="1315"/>
      <c r="W53" s="1418"/>
      <c r="X53" s="1315"/>
      <c r="Y53" s="1315"/>
      <c r="Z53" s="1315"/>
      <c r="AA53" s="1315"/>
      <c r="AB53" s="3599"/>
      <c r="AC53" s="3780"/>
      <c r="AD53" s="3693"/>
      <c r="AE53" s="3802"/>
      <c r="AF53" s="3599"/>
      <c r="AG53" s="229"/>
      <c r="AH53" s="349"/>
      <c r="AI53" s="349" t="s">
        <v>507</v>
      </c>
      <c r="AJ53" s="1315"/>
      <c r="AK53" s="1315"/>
      <c r="AL53" s="1315"/>
      <c r="AM53" s="1315"/>
      <c r="AN53" s="1315"/>
      <c r="AO53" s="1418"/>
      <c r="AP53" s="1315"/>
      <c r="AQ53" s="1315"/>
      <c r="AR53" s="1315"/>
      <c r="AS53" s="1315"/>
      <c r="AT53" s="1312"/>
      <c r="AU53" s="3733"/>
      <c r="AW53" s="434"/>
      <c r="AX53" s="434"/>
      <c r="AY53" s="434"/>
      <c r="AZ53" s="434"/>
      <c r="BA53" s="1077">
        <v>11</v>
      </c>
    </row>
    <row r="54" spans="1:53" ht="11.45" customHeight="1">
      <c r="A54" s="1285" t="s">
        <v>245</v>
      </c>
      <c r="B54" s="1285" t="s">
        <v>246</v>
      </c>
      <c r="C54" s="1285" t="s">
        <v>247</v>
      </c>
      <c r="D54" s="1285" t="s">
        <v>248</v>
      </c>
      <c r="E54" s="3738"/>
      <c r="F54" s="3738"/>
      <c r="G54" s="3738"/>
      <c r="H54" s="3738"/>
      <c r="I54" s="3758"/>
      <c r="J54" s="3758"/>
      <c r="K54" s="3735"/>
      <c r="L54" s="1286"/>
      <c r="P54" s="3736"/>
      <c r="Q54" s="3736"/>
      <c r="R54" s="291"/>
      <c r="S54" s="3797"/>
      <c r="T54" s="3800"/>
      <c r="U54" s="235"/>
      <c r="V54" s="1315"/>
      <c r="W54" s="1316" t="str">
        <f>X51&amp;"-"&amp;Z51</f>
        <v>-</v>
      </c>
      <c r="X54" s="1315"/>
      <c r="Y54" s="1315"/>
      <c r="Z54" s="1315"/>
      <c r="AA54" s="1315"/>
      <c r="AB54" s="3599"/>
      <c r="AC54" s="247"/>
      <c r="AD54" s="249"/>
      <c r="AE54" s="349" t="s">
        <v>508</v>
      </c>
      <c r="AF54" s="1315"/>
      <c r="AG54" s="1315"/>
      <c r="AH54" s="1315"/>
      <c r="AI54" s="1315"/>
      <c r="AJ54" s="1315"/>
      <c r="AK54" s="1315"/>
      <c r="AL54" s="1315"/>
      <c r="AM54" s="1315"/>
      <c r="AN54" s="1315"/>
      <c r="AO54" s="1316" t="str">
        <f>AP51&amp;"-"&amp;AR51</f>
        <v>-</v>
      </c>
      <c r="AP54" s="1315"/>
      <c r="AQ54" s="1315"/>
      <c r="AR54" s="1315"/>
      <c r="AS54" s="1315"/>
      <c r="AT54" s="1271"/>
      <c r="AU54" s="3733"/>
      <c r="AW54" s="434"/>
      <c r="AX54" s="434" t="str">
        <f t="shared" ref="AX54:AX62" si="3">IF(T54="","",T54)</f>
        <v/>
      </c>
      <c r="AY54" s="434"/>
      <c r="AZ54" s="434"/>
      <c r="BA54" s="1077">
        <v>11</v>
      </c>
    </row>
    <row r="55" spans="1:53" ht="11.45" customHeight="1">
      <c r="A55" s="1285" t="s">
        <v>245</v>
      </c>
      <c r="B55" s="1285" t="s">
        <v>246</v>
      </c>
      <c r="C55" s="1285" t="s">
        <v>247</v>
      </c>
      <c r="D55" s="1285" t="s">
        <v>248</v>
      </c>
      <c r="E55" s="3738"/>
      <c r="F55" s="3738"/>
      <c r="G55" s="3738"/>
      <c r="H55" s="3738"/>
      <c r="I55" s="3758"/>
      <c r="J55" s="3735"/>
      <c r="K55" s="1285"/>
      <c r="L55" s="1286"/>
      <c r="P55" s="3736"/>
      <c r="Q55" s="3736"/>
      <c r="R55" s="290"/>
      <c r="S55" s="1200"/>
      <c r="T55" s="222" t="s">
        <v>509</v>
      </c>
      <c r="U55" s="301"/>
      <c r="V55" s="301"/>
      <c r="W55" s="301"/>
      <c r="X55" s="301"/>
      <c r="Y55" s="301"/>
      <c r="Z55" s="301"/>
      <c r="AA55" s="259"/>
      <c r="AB55" s="1427"/>
      <c r="AC55" s="301"/>
      <c r="AD55" s="301"/>
      <c r="AE55" s="301"/>
      <c r="AF55" s="301"/>
      <c r="AG55" s="301"/>
      <c r="AH55" s="301"/>
      <c r="AI55" s="301"/>
      <c r="AJ55" s="301"/>
      <c r="AK55" s="301"/>
      <c r="AL55" s="301"/>
      <c r="AM55" s="301"/>
      <c r="AN55" s="301"/>
      <c r="AO55" s="301"/>
      <c r="AP55" s="301"/>
      <c r="AQ55" s="301"/>
      <c r="AR55" s="301"/>
      <c r="AS55" s="301"/>
      <c r="AT55" s="259"/>
      <c r="AU55" s="3734"/>
      <c r="AW55" s="434"/>
      <c r="AX55" s="434" t="str">
        <f t="shared" si="3"/>
        <v>Добавить строку</v>
      </c>
      <c r="AY55" s="434"/>
      <c r="AZ55" s="434"/>
      <c r="BA55" s="1077">
        <v>11</v>
      </c>
    </row>
    <row r="56" spans="1:53" s="1564" customFormat="1" ht="1.1499999999999999" customHeight="1">
      <c r="A56" s="1265" t="s">
        <v>245</v>
      </c>
      <c r="B56" s="1265" t="s">
        <v>246</v>
      </c>
      <c r="C56" s="1265" t="s">
        <v>247</v>
      </c>
      <c r="D56" s="1265" t="s">
        <v>248</v>
      </c>
      <c r="E56" s="3738"/>
      <c r="F56" s="3738"/>
      <c r="G56" s="3738"/>
      <c r="H56" s="3738"/>
      <c r="I56" s="3735"/>
      <c r="J56" s="1265"/>
      <c r="K56" s="1265"/>
      <c r="L56" s="1268"/>
      <c r="M56" s="444"/>
      <c r="N56" s="444"/>
      <c r="O56" s="444"/>
      <c r="P56" s="3736"/>
      <c r="Q56" s="1253"/>
      <c r="R56" s="290"/>
      <c r="S56" s="1308"/>
      <c r="T56" s="1309" t="s">
        <v>457</v>
      </c>
      <c r="U56" s="1310"/>
      <c r="V56" s="1310"/>
      <c r="W56" s="1310"/>
      <c r="X56" s="1310"/>
      <c r="Y56" s="1310"/>
      <c r="Z56" s="1310"/>
      <c r="AA56" s="1310"/>
      <c r="AB56" s="1310"/>
      <c r="AC56" s="1310"/>
      <c r="AD56" s="1310"/>
      <c r="AE56" s="1310"/>
      <c r="AF56" s="1310"/>
      <c r="AG56" s="1310"/>
      <c r="AH56" s="1310"/>
      <c r="AI56" s="1310"/>
      <c r="AJ56" s="1310"/>
      <c r="AK56" s="1310"/>
      <c r="AL56" s="1310"/>
      <c r="AM56" s="1310"/>
      <c r="AN56" s="1310"/>
      <c r="AO56" s="1310"/>
      <c r="AP56" s="1310"/>
      <c r="AQ56" s="1310"/>
      <c r="AR56" s="1310"/>
      <c r="AS56" s="1310"/>
      <c r="AT56" s="1310"/>
      <c r="AU56" s="1311"/>
      <c r="AW56" s="434"/>
      <c r="AX56" s="434" t="str">
        <f t="shared" si="3"/>
        <v>Добавить группу потребителей</v>
      </c>
      <c r="AY56" s="434"/>
      <c r="AZ56" s="434"/>
      <c r="BA56" s="445">
        <v>1</v>
      </c>
    </row>
    <row r="57" spans="1:53" s="1563" customFormat="1" ht="1.1499999999999999" customHeight="1">
      <c r="A57" s="1265" t="s">
        <v>245</v>
      </c>
      <c r="B57" s="1265" t="s">
        <v>246</v>
      </c>
      <c r="C57" s="1265" t="s">
        <v>247</v>
      </c>
      <c r="D57" s="1265" t="s">
        <v>248</v>
      </c>
      <c r="E57" s="3738"/>
      <c r="F57" s="3738"/>
      <c r="G57" s="3738"/>
      <c r="H57" s="3737"/>
      <c r="I57" s="1265"/>
      <c r="J57" s="1265"/>
      <c r="K57" s="1265"/>
      <c r="L57" s="1268"/>
      <c r="M57" s="1237"/>
      <c r="N57" s="1237"/>
      <c r="O57" s="452"/>
      <c r="P57" s="314"/>
      <c r="Q57" s="1266"/>
      <c r="R57" s="1322"/>
      <c r="S57" s="1308"/>
      <c r="T57" s="1309"/>
      <c r="U57" s="1310"/>
      <c r="V57" s="1310"/>
      <c r="W57" s="1310"/>
      <c r="X57" s="1310"/>
      <c r="Y57" s="1310"/>
      <c r="Z57" s="1310"/>
      <c r="AA57" s="1310"/>
      <c r="AB57" s="1310"/>
      <c r="AC57" s="1310"/>
      <c r="AD57" s="1310"/>
      <c r="AE57" s="1310"/>
      <c r="AF57" s="1310"/>
      <c r="AG57" s="1310"/>
      <c r="AH57" s="1310"/>
      <c r="AI57" s="1310"/>
      <c r="AJ57" s="1310"/>
      <c r="AK57" s="1310"/>
      <c r="AL57" s="1310"/>
      <c r="AM57" s="1310"/>
      <c r="AN57" s="1310"/>
      <c r="AO57" s="1310"/>
      <c r="AP57" s="1310"/>
      <c r="AQ57" s="1310"/>
      <c r="AR57" s="1310"/>
      <c r="AS57" s="1310"/>
      <c r="AT57" s="1310"/>
      <c r="AU57" s="1311"/>
      <c r="AV57" s="445"/>
      <c r="AW57" s="434"/>
      <c r="AX57" s="434" t="str">
        <f t="shared" si="3"/>
        <v/>
      </c>
      <c r="AY57" s="434"/>
      <c r="AZ57" s="434"/>
      <c r="BA57" s="430">
        <v>1</v>
      </c>
    </row>
    <row r="58" spans="1:53" s="1564" customFormat="1" ht="1.1499999999999999" customHeight="1">
      <c r="A58" s="1265" t="s">
        <v>245</v>
      </c>
      <c r="B58" s="1265" t="s">
        <v>246</v>
      </c>
      <c r="C58" s="1265" t="s">
        <v>247</v>
      </c>
      <c r="D58" s="1236"/>
      <c r="E58" s="3738"/>
      <c r="F58" s="3738"/>
      <c r="G58" s="3737"/>
      <c r="H58" s="1236"/>
      <c r="I58" s="1236"/>
      <c r="J58" s="1236"/>
      <c r="K58" s="1236"/>
      <c r="L58" s="1261"/>
      <c r="M58" s="1237"/>
      <c r="N58" s="1237"/>
      <c r="P58" s="1238"/>
      <c r="Q58" s="1239"/>
      <c r="R58" s="1238"/>
      <c r="S58" s="1244"/>
      <c r="T58" s="1247" t="s">
        <v>459</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W58" s="717"/>
      <c r="AX58" s="717" t="str">
        <f t="shared" si="3"/>
        <v>Добавить источник для дифференциации</v>
      </c>
      <c r="AY58" s="717"/>
      <c r="AZ58" s="717"/>
      <c r="BA58" s="452">
        <v>1</v>
      </c>
    </row>
    <row r="59" spans="1:53" s="1564" customFormat="1" ht="1.1499999999999999" customHeight="1">
      <c r="A59" s="1265" t="s">
        <v>245</v>
      </c>
      <c r="B59" s="1265" t="s">
        <v>246</v>
      </c>
      <c r="C59" s="1236"/>
      <c r="D59" s="1236"/>
      <c r="E59" s="3738"/>
      <c r="F59" s="3737"/>
      <c r="G59" s="1236"/>
      <c r="H59" s="1236"/>
      <c r="I59" s="1236"/>
      <c r="J59" s="1236"/>
      <c r="K59" s="1236"/>
      <c r="L59" s="1261"/>
      <c r="M59" s="1243"/>
      <c r="N59" s="1243"/>
      <c r="P59" s="1238"/>
      <c r="Q59" s="1239"/>
      <c r="R59" s="1238"/>
      <c r="S59" s="1244"/>
      <c r="T59" s="1247" t="s">
        <v>460</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W59" s="717"/>
      <c r="AX59" s="717" t="str">
        <f t="shared" si="3"/>
        <v>Добавить централизованную систему для дифференциации</v>
      </c>
      <c r="AY59" s="717"/>
      <c r="AZ59" s="717"/>
      <c r="BA59" s="452">
        <v>1</v>
      </c>
    </row>
    <row r="60" spans="1:53" s="1564" customFormat="1" ht="1.1499999999999999" customHeight="1">
      <c r="A60" s="1265" t="s">
        <v>245</v>
      </c>
      <c r="B60" s="1265"/>
      <c r="C60" s="1265"/>
      <c r="D60" s="1265"/>
      <c r="E60" s="3738"/>
      <c r="F60" s="1265"/>
      <c r="G60" s="1265"/>
      <c r="H60" s="1265"/>
      <c r="I60" s="1265"/>
      <c r="J60" s="1265"/>
      <c r="K60" s="1265"/>
      <c r="L60" s="1268"/>
      <c r="M60" s="1243"/>
      <c r="N60" s="1243"/>
      <c r="O60" s="452"/>
      <c r="P60" s="314"/>
      <c r="Q60" s="1266"/>
      <c r="R60" s="314"/>
      <c r="S60" s="1244"/>
      <c r="T60" s="1247" t="s">
        <v>461</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W60" s="434"/>
      <c r="AX60" s="434" t="str">
        <f t="shared" si="3"/>
        <v>Добавить территорию для дифференциации</v>
      </c>
      <c r="AY60" s="434"/>
      <c r="AZ60" s="434"/>
      <c r="BA60" s="445">
        <v>1</v>
      </c>
    </row>
    <row r="61" spans="1:53" s="1564" customFormat="1" ht="1.1499999999999999" customHeight="1">
      <c r="A61" s="1265" t="s">
        <v>245</v>
      </c>
      <c r="B61" s="1265"/>
      <c r="C61" s="1265"/>
      <c r="D61" s="1265"/>
      <c r="E61" s="3737"/>
      <c r="F61" s="1265"/>
      <c r="G61" s="1265"/>
      <c r="H61" s="1265"/>
      <c r="I61" s="1265"/>
      <c r="J61" s="1265"/>
      <c r="K61" s="1265"/>
      <c r="L61" s="1268"/>
      <c r="M61" s="1243"/>
      <c r="N61" s="1243"/>
      <c r="O61" s="452"/>
      <c r="P61" s="314"/>
      <c r="Q61" s="1266"/>
      <c r="R61" s="314"/>
      <c r="S61" s="1244"/>
      <c r="T61" s="1247" t="s">
        <v>461</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W61" s="434"/>
      <c r="AX61" s="434" t="str">
        <f t="shared" si="3"/>
        <v>Добавить территорию для дифференциации</v>
      </c>
      <c r="AY61" s="434"/>
      <c r="AZ61" s="434"/>
      <c r="BA61" s="445">
        <v>1</v>
      </c>
    </row>
    <row r="62" spans="1:53" s="1564" customFormat="1" ht="1.1499999999999999" customHeight="1">
      <c r="A62" s="1236"/>
      <c r="B62" s="1236"/>
      <c r="C62" s="1236"/>
      <c r="D62" s="1236"/>
      <c r="E62" s="1265"/>
      <c r="F62" s="1236"/>
      <c r="G62" s="1236"/>
      <c r="H62" s="1236"/>
      <c r="I62" s="1236"/>
      <c r="J62" s="1236"/>
      <c r="K62" s="1236"/>
      <c r="L62" s="1261"/>
      <c r="M62" s="1243"/>
      <c r="N62" s="1243"/>
      <c r="P62" s="1238"/>
      <c r="Q62" s="1239"/>
      <c r="R62" s="1238"/>
      <c r="S62" s="1244"/>
      <c r="T62" s="1247" t="s">
        <v>489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W62" s="717"/>
      <c r="AX62" s="717" t="str">
        <f t="shared" si="3"/>
        <v>Добавить наименование тарифа</v>
      </c>
      <c r="AY62" s="717"/>
      <c r="AZ62" s="717"/>
      <c r="BA62" s="452">
        <v>1</v>
      </c>
    </row>
    <row r="63" spans="1:53" ht="11.45" customHeight="1">
      <c r="M63" s="1082"/>
      <c r="N63" s="1082"/>
      <c r="O63" s="471"/>
      <c r="P63" s="1082"/>
      <c r="Q63" s="1082"/>
      <c r="R63" s="1077"/>
      <c r="S63" s="1077"/>
      <c r="AV63" s="1077"/>
      <c r="AW63" s="1077"/>
      <c r="AX63" s="1077"/>
      <c r="AY63" s="1077"/>
      <c r="AZ63" s="1077"/>
      <c r="BA63" s="1077">
        <v>11</v>
      </c>
    </row>
    <row r="64" spans="1:53" ht="19.899999999999999" customHeight="1">
      <c r="O64" s="471"/>
      <c r="S64" s="1175"/>
      <c r="T64" s="3757"/>
      <c r="U64" s="3757"/>
      <c r="V64" s="3757"/>
      <c r="W64" s="3757"/>
      <c r="X64" s="3757"/>
      <c r="Y64" s="3757"/>
      <c r="Z64" s="3757"/>
      <c r="AA64" s="3757"/>
      <c r="AB64" s="3757"/>
      <c r="AC64" s="3757"/>
      <c r="AD64" s="3757"/>
      <c r="AE64" s="3757"/>
      <c r="AF64" s="3757"/>
      <c r="AG64" s="3757"/>
      <c r="AH64" s="3757"/>
      <c r="AI64" s="3757"/>
      <c r="AJ64" s="3757"/>
      <c r="AK64" s="3757"/>
      <c r="AL64" s="3757"/>
      <c r="AM64" s="3757"/>
      <c r="AN64" s="3757"/>
      <c r="AO64" s="3757"/>
      <c r="AP64" s="3757"/>
      <c r="AQ64" s="3757"/>
      <c r="AR64" s="3757"/>
      <c r="AS64" s="3757"/>
      <c r="AT64" s="3757"/>
      <c r="AU64" s="3757"/>
      <c r="BA64" s="1077">
        <v>19</v>
      </c>
    </row>
    <row r="65" spans="1:53" ht="21" customHeight="1">
      <c r="O65" s="471"/>
      <c r="T65" s="3757"/>
      <c r="U65" s="3757"/>
      <c r="V65" s="3757"/>
      <c r="W65" s="3757"/>
      <c r="X65" s="3757"/>
      <c r="Y65" s="3757"/>
      <c r="Z65" s="3757"/>
      <c r="AA65" s="3757"/>
      <c r="AB65" s="3757"/>
      <c r="AC65" s="3757"/>
      <c r="AD65" s="3757"/>
      <c r="AE65" s="3757"/>
      <c r="AF65" s="3757"/>
      <c r="AG65" s="3757"/>
      <c r="AH65" s="3757"/>
      <c r="AI65" s="3757"/>
      <c r="AJ65" s="3757"/>
      <c r="AK65" s="3757"/>
      <c r="AL65" s="3757"/>
      <c r="AM65" s="3757"/>
      <c r="AN65" s="3757"/>
      <c r="AO65" s="3757"/>
      <c r="AP65" s="3757"/>
      <c r="AQ65" s="3757"/>
      <c r="AR65" s="3757"/>
      <c r="AS65" s="3757"/>
      <c r="AT65" s="3757"/>
      <c r="AU65" s="3757"/>
      <c r="BA65" s="1077">
        <v>20</v>
      </c>
    </row>
    <row r="66" spans="1:53" ht="14.65" customHeight="1">
      <c r="O66" s="471"/>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BA66" s="1077">
        <v>14</v>
      </c>
    </row>
    <row r="67" spans="1:53" ht="19.899999999999999" customHeight="1">
      <c r="O67" s="471"/>
      <c r="T67" s="3757"/>
      <c r="U67" s="3757"/>
      <c r="V67" s="3757"/>
      <c r="W67" s="3757"/>
      <c r="X67" s="3757"/>
      <c r="Y67" s="3757"/>
      <c r="Z67" s="3757"/>
      <c r="AA67" s="3757"/>
      <c r="AB67" s="3757"/>
      <c r="AC67" s="3757"/>
      <c r="AD67" s="3757"/>
      <c r="AE67" s="3757"/>
      <c r="AF67" s="3757"/>
      <c r="AG67" s="3757"/>
      <c r="AH67" s="3757"/>
      <c r="AI67" s="3757"/>
      <c r="AJ67" s="3757"/>
      <c r="AK67" s="3757"/>
      <c r="AL67" s="3757"/>
      <c r="AM67" s="3757"/>
      <c r="AN67" s="3757"/>
      <c r="AO67" s="3757"/>
      <c r="AP67" s="3757"/>
      <c r="AQ67" s="3757"/>
      <c r="AR67" s="3757"/>
      <c r="AS67" s="3757"/>
      <c r="AT67" s="3757"/>
      <c r="AU67" s="3757"/>
      <c r="BA67" s="1077">
        <v>19</v>
      </c>
    </row>
    <row r="68" spans="1:53" ht="16.899999999999999" customHeight="1">
      <c r="O68" s="471"/>
      <c r="T68" s="3757"/>
      <c r="U68" s="3757"/>
      <c r="V68" s="3757"/>
      <c r="W68" s="3757"/>
      <c r="X68" s="3757"/>
      <c r="Y68" s="3757"/>
      <c r="Z68" s="3757"/>
      <c r="AA68" s="3757"/>
      <c r="AB68" s="3757"/>
      <c r="AC68" s="3757"/>
      <c r="AD68" s="3757"/>
      <c r="AE68" s="3757"/>
      <c r="AF68" s="3757"/>
      <c r="AG68" s="3757"/>
      <c r="AH68" s="3757"/>
      <c r="AI68" s="3757"/>
      <c r="AJ68" s="3757"/>
      <c r="AK68" s="3757"/>
      <c r="AL68" s="3757"/>
      <c r="AM68" s="3757"/>
      <c r="AN68" s="3757"/>
      <c r="AO68" s="3757"/>
      <c r="AP68" s="3757"/>
      <c r="AQ68" s="3757"/>
      <c r="AR68" s="3757"/>
      <c r="AS68" s="3757"/>
      <c r="AT68" s="3757"/>
      <c r="AU68" s="3757"/>
      <c r="BA68" s="1077">
        <v>16</v>
      </c>
    </row>
    <row r="69" spans="1:53" ht="14.65" customHeight="1">
      <c r="O69" s="471"/>
      <c r="BA69" s="1077">
        <v>14</v>
      </c>
    </row>
    <row r="70" spans="1:53" ht="22.5" hidden="1" customHeight="1">
      <c r="A70" s="1082" t="s">
        <v>70</v>
      </c>
      <c r="B70" s="1082">
        <v>0</v>
      </c>
      <c r="C70" s="1082">
        <v>0</v>
      </c>
      <c r="D70" s="1082">
        <v>0</v>
      </c>
      <c r="E70" s="1082">
        <v>0</v>
      </c>
      <c r="F70" s="1082">
        <v>0</v>
      </c>
      <c r="G70" s="1082">
        <v>0</v>
      </c>
      <c r="H70" s="1082">
        <v>0</v>
      </c>
      <c r="I70" s="1082">
        <v>0</v>
      </c>
      <c r="J70" s="1082">
        <v>0</v>
      </c>
      <c r="K70" s="1082">
        <v>0</v>
      </c>
      <c r="L70" s="1251">
        <v>0</v>
      </c>
      <c r="M70" s="1284">
        <v>0</v>
      </c>
      <c r="N70" s="1284">
        <v>0</v>
      </c>
      <c r="O70" s="1284">
        <v>0</v>
      </c>
      <c r="P70" s="1284">
        <v>3</v>
      </c>
      <c r="Q70" s="1293">
        <v>3</v>
      </c>
      <c r="R70" s="279">
        <v>3</v>
      </c>
      <c r="S70" s="515">
        <v>12</v>
      </c>
      <c r="T70" s="1077">
        <v>31</v>
      </c>
      <c r="U70" s="1077">
        <v>0</v>
      </c>
      <c r="V70" s="1077">
        <v>0</v>
      </c>
      <c r="W70" s="1077">
        <v>0</v>
      </c>
      <c r="X70" s="1077">
        <v>0</v>
      </c>
      <c r="Y70" s="1077">
        <v>0</v>
      </c>
      <c r="Z70" s="1077">
        <v>0</v>
      </c>
      <c r="AA70" s="1077">
        <v>0</v>
      </c>
      <c r="AB70" s="1077">
        <v>5</v>
      </c>
      <c r="AC70" s="1077">
        <v>3</v>
      </c>
      <c r="AD70" s="1077">
        <v>3</v>
      </c>
      <c r="AE70" s="1077">
        <v>24</v>
      </c>
      <c r="AF70" s="1077">
        <v>3</v>
      </c>
      <c r="AG70" s="1077">
        <v>3</v>
      </c>
      <c r="AH70" s="1077">
        <v>3</v>
      </c>
      <c r="AI70" s="1077">
        <v>24</v>
      </c>
      <c r="AJ70" s="1077">
        <v>3</v>
      </c>
      <c r="AK70" s="1077">
        <v>3</v>
      </c>
      <c r="AL70" s="1077">
        <v>3</v>
      </c>
      <c r="AM70" s="1077">
        <v>18</v>
      </c>
      <c r="AN70" s="1077">
        <v>21</v>
      </c>
      <c r="AO70" s="1077">
        <v>21</v>
      </c>
      <c r="AP70" s="1077">
        <v>11</v>
      </c>
      <c r="AQ70" s="1077">
        <v>3</v>
      </c>
      <c r="AR70" s="1077">
        <v>11</v>
      </c>
      <c r="AS70" s="1077">
        <v>8</v>
      </c>
      <c r="AT70" s="1077">
        <v>4</v>
      </c>
      <c r="AU70" s="1077">
        <v>115</v>
      </c>
      <c r="AV70" s="445">
        <v>10</v>
      </c>
      <c r="AW70" s="445">
        <v>10</v>
      </c>
      <c r="AX70" s="445">
        <v>10</v>
      </c>
      <c r="AY70" s="445">
        <v>10</v>
      </c>
      <c r="AZ70" s="445">
        <v>10</v>
      </c>
      <c r="BA70" s="1077">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47"/>
  <sheetViews>
    <sheetView showGridLines="0" zoomScale="90" workbookViewId="0">
      <pane xSplit="6" ySplit="11" topLeftCell="G12" activePane="bottomRight" state="frozen"/>
      <selection pane="topRight" activeCell="G1" sqref="G1"/>
      <selection pane="bottomLeft" activeCell="A12" sqref="A12"/>
      <selection pane="bottomRight" activeCell="G12" sqref="G12"/>
    </sheetView>
  </sheetViews>
  <sheetFormatPr defaultColWidth="9.140625" defaultRowHeight="14.25" customHeight="1"/>
  <cols>
    <col min="1" max="1" width="8" style="1557" hidden="1" customWidth="1"/>
    <col min="2" max="2" width="6" style="1288" hidden="1" customWidth="1"/>
    <col min="3" max="3" width="3" style="1557" customWidth="1"/>
    <col min="4" max="4" width="3" style="1731" customWidth="1"/>
    <col min="5" max="5" width="6" style="1557" customWidth="1"/>
    <col min="6" max="6" width="2.7109375" style="1557" hidden="1" customWidth="1"/>
    <col min="7" max="7" width="46.7109375" style="1557" customWidth="1"/>
    <col min="8" max="8" width="42" style="1557" customWidth="1"/>
    <col min="9" max="9" width="14" style="1557" customWidth="1"/>
    <col min="10" max="10" width="3" style="1546" customWidth="1"/>
    <col min="11" max="13" width="9.140625" style="1546" hidden="1"/>
    <col min="14" max="14" width="25.7109375" style="1546" hidden="1" customWidth="1"/>
    <col min="15" max="15" width="14.42578125" style="1546" hidden="1" customWidth="1"/>
    <col min="16" max="19" width="9.140625" style="160" hidden="1"/>
    <col min="20" max="27" width="9.140625" style="1557" hidden="1"/>
    <col min="28" max="28" width="8" style="1557" customWidth="1"/>
    <col min="29" max="29" width="9.140625" style="1557" hidden="1"/>
  </cols>
  <sheetData>
    <row r="1" spans="1:29" s="1564" customFormat="1" ht="5.25" hidden="1" customHeight="1">
      <c r="A1" s="430"/>
      <c r="B1" s="445"/>
      <c r="C1" s="445"/>
      <c r="D1" s="156"/>
      <c r="F1" s="445"/>
      <c r="G1" s="182" t="s">
        <v>71</v>
      </c>
      <c r="H1" s="428" t="s">
        <v>72</v>
      </c>
      <c r="I1" s="162" t="s">
        <v>73</v>
      </c>
      <c r="J1" s="182" t="s">
        <v>71</v>
      </c>
      <c r="K1" s="182"/>
      <c r="L1" s="182"/>
      <c r="M1" s="182"/>
      <c r="N1" s="183"/>
      <c r="O1" s="182"/>
      <c r="P1" s="182"/>
      <c r="Q1" s="182"/>
      <c r="R1" s="182"/>
      <c r="S1" s="182"/>
      <c r="T1" s="162"/>
      <c r="U1" s="162"/>
      <c r="V1" s="162"/>
      <c r="W1" s="162"/>
      <c r="X1" s="162"/>
      <c r="Y1" s="162"/>
      <c r="Z1" s="162"/>
      <c r="AA1" s="162"/>
      <c r="AB1" s="162"/>
      <c r="AC1" s="87" t="s">
        <v>1</v>
      </c>
    </row>
    <row r="2" spans="1:29" s="1334"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1711" customFormat="1" ht="3" customHeight="1">
      <c r="A3" s="690"/>
      <c r="B3" s="351"/>
      <c r="C3" s="690"/>
      <c r="D3" s="99"/>
      <c r="E3" s="42"/>
      <c r="F3" s="443"/>
      <c r="G3" s="42"/>
      <c r="H3" s="42"/>
      <c r="I3" s="101"/>
      <c r="J3" s="182"/>
      <c r="K3" s="90"/>
      <c r="L3" s="90"/>
      <c r="M3" s="90"/>
      <c r="N3" s="161"/>
      <c r="O3" s="90"/>
      <c r="P3" s="160"/>
      <c r="Q3" s="160"/>
      <c r="R3" s="160"/>
      <c r="S3" s="160"/>
      <c r="AC3" s="54">
        <v>3</v>
      </c>
    </row>
    <row r="4" spans="1:29" s="1711" customFormat="1" ht="27.4" customHeight="1">
      <c r="A4" s="690"/>
      <c r="B4" s="351"/>
      <c r="C4" s="690"/>
      <c r="D4" s="99"/>
      <c r="E4" s="3594" t="str">
        <f>NameTemplatesInListMO</f>
        <v>Перечень муниципальных районов и муниципальных образований (территорий оказания услуг)</v>
      </c>
      <c r="F4" s="3594"/>
      <c r="G4" s="3594"/>
      <c r="H4" s="3594"/>
      <c r="I4" s="3594"/>
      <c r="J4" s="182"/>
      <c r="K4" s="90"/>
      <c r="L4" s="90"/>
      <c r="M4" s="90"/>
      <c r="N4" s="161"/>
      <c r="O4" s="90"/>
      <c r="P4" s="160"/>
      <c r="Q4" s="160"/>
      <c r="R4" s="160"/>
      <c r="S4" s="160"/>
      <c r="AC4" s="54">
        <v>26</v>
      </c>
    </row>
    <row r="5" spans="1:29" s="1711" customFormat="1" ht="3" customHeight="1">
      <c r="A5" s="690"/>
      <c r="B5" s="351"/>
      <c r="C5" s="690"/>
      <c r="D5" s="99"/>
      <c r="E5" s="42"/>
      <c r="F5" s="443"/>
      <c r="G5" s="102"/>
      <c r="H5" s="102"/>
      <c r="I5" s="103"/>
      <c r="J5" s="90"/>
      <c r="K5" s="90"/>
      <c r="L5" s="90"/>
      <c r="M5" s="90"/>
      <c r="N5" s="161"/>
      <c r="O5" s="90"/>
      <c r="P5" s="160"/>
      <c r="Q5" s="160"/>
      <c r="R5" s="160"/>
      <c r="S5" s="160"/>
      <c r="AC5" s="54">
        <v>3</v>
      </c>
    </row>
    <row r="6" spans="1:29" s="1711" customFormat="1" ht="20.25" hidden="1" customHeight="1">
      <c r="A6" s="765"/>
      <c r="B6" s="761"/>
      <c r="C6" s="104"/>
      <c r="D6" s="99"/>
      <c r="E6" s="708"/>
      <c r="F6" s="708"/>
      <c r="G6" s="102"/>
      <c r="H6" s="105"/>
      <c r="I6" s="105"/>
      <c r="J6" s="90"/>
      <c r="K6" s="90"/>
      <c r="L6" s="90"/>
      <c r="M6" s="90"/>
      <c r="N6" s="161"/>
      <c r="O6" s="90"/>
      <c r="P6" s="160"/>
      <c r="Q6" s="160"/>
      <c r="R6" s="160"/>
      <c r="S6" s="160"/>
      <c r="AC6" s="54">
        <v>0</v>
      </c>
    </row>
    <row r="7" spans="1:29" ht="25.5" hidden="1" customHeight="1">
      <c r="AC7" s="22">
        <v>0</v>
      </c>
    </row>
    <row r="8" spans="1:29" s="1711" customFormat="1" ht="14.65" customHeight="1">
      <c r="A8" s="690"/>
      <c r="B8" s="351"/>
      <c r="C8" s="690"/>
      <c r="D8" s="99"/>
      <c r="E8" s="3589" t="s">
        <v>74</v>
      </c>
      <c r="F8" s="3595"/>
      <c r="G8" s="3588"/>
      <c r="H8" s="3596" t="s">
        <v>75</v>
      </c>
      <c r="I8" s="3596"/>
      <c r="J8" s="90"/>
      <c r="K8" s="90"/>
      <c r="L8" s="90"/>
      <c r="M8" s="90"/>
      <c r="N8" s="161"/>
      <c r="O8" s="90"/>
      <c r="P8" s="160"/>
      <c r="Q8" s="160"/>
      <c r="R8" s="160"/>
      <c r="S8" s="160"/>
      <c r="AC8" s="54">
        <v>14</v>
      </c>
    </row>
    <row r="9" spans="1:29" s="1711" customFormat="1" ht="21" customHeight="1">
      <c r="A9" s="690"/>
      <c r="B9" s="351"/>
      <c r="C9" s="690"/>
      <c r="D9" s="99"/>
      <c r="E9" s="706" t="s">
        <v>76</v>
      </c>
      <c r="F9" s="706"/>
      <c r="G9" s="107" t="s">
        <v>77</v>
      </c>
      <c r="H9" s="107" t="s">
        <v>77</v>
      </c>
      <c r="I9" s="107" t="s">
        <v>73</v>
      </c>
      <c r="J9" s="90"/>
      <c r="K9" s="90"/>
      <c r="L9" s="90"/>
      <c r="M9" s="90"/>
      <c r="N9" s="161"/>
      <c r="O9" s="90"/>
      <c r="P9" s="160"/>
      <c r="Q9" s="160"/>
      <c r="R9" s="160"/>
      <c r="S9" s="160"/>
      <c r="AC9" s="54">
        <v>20</v>
      </c>
    </row>
    <row r="10" spans="1:29" ht="11.45" customHeight="1">
      <c r="D10" s="111"/>
      <c r="E10" s="707" t="s">
        <v>78</v>
      </c>
      <c r="F10" s="707"/>
      <c r="G10" s="158" t="s">
        <v>79</v>
      </c>
      <c r="H10" s="158" t="s">
        <v>80</v>
      </c>
      <c r="I10" s="158" t="s">
        <v>81</v>
      </c>
      <c r="J10" s="121"/>
      <c r="K10" s="121"/>
      <c r="L10" s="121"/>
      <c r="M10" s="121"/>
      <c r="N10" s="106"/>
      <c r="O10" s="121"/>
      <c r="P10" s="159"/>
      <c r="Q10" s="159"/>
      <c r="R10" s="159"/>
      <c r="S10" s="159"/>
      <c r="AC10" s="22">
        <v>11</v>
      </c>
    </row>
    <row r="11" spans="1:29" s="1711" customFormat="1" ht="1.1499999999999999" customHeight="1">
      <c r="A11" s="690"/>
      <c r="B11" s="351"/>
      <c r="C11" s="690"/>
      <c r="D11" s="99"/>
      <c r="E11" s="718"/>
      <c r="F11" s="718"/>
      <c r="G11" s="108"/>
      <c r="H11" s="108"/>
      <c r="I11" s="110"/>
      <c r="J11" s="184" t="s">
        <v>82</v>
      </c>
      <c r="K11" s="90"/>
      <c r="L11" s="90"/>
      <c r="M11" s="90" t="s">
        <v>83</v>
      </c>
      <c r="N11" s="161" t="s">
        <v>84</v>
      </c>
      <c r="O11" s="90" t="s">
        <v>85</v>
      </c>
      <c r="P11" s="160"/>
      <c r="Q11" s="160"/>
      <c r="R11" s="160"/>
      <c r="S11" s="160"/>
      <c r="AC11" s="54">
        <v>1</v>
      </c>
    </row>
    <row r="12" spans="1:29" s="1711" customFormat="1" ht="15" customHeight="1">
      <c r="A12" s="3592">
        <v>1</v>
      </c>
      <c r="B12" s="351"/>
      <c r="C12" s="690"/>
      <c r="D12" s="710"/>
      <c r="E12" s="154">
        <f>A12</f>
        <v>1</v>
      </c>
      <c r="F12" s="730" t="s">
        <v>86</v>
      </c>
      <c r="G12" s="474" t="str">
        <f>"Территория "&amp;E12</f>
        <v>Территория 1</v>
      </c>
      <c r="H12" s="720"/>
      <c r="I12" s="720"/>
      <c r="J12" s="717"/>
      <c r="K12" s="434"/>
      <c r="L12" s="434"/>
      <c r="M12" s="434"/>
      <c r="N12" s="161"/>
      <c r="O12" s="434"/>
      <c r="P12" s="160"/>
      <c r="Q12" s="160"/>
      <c r="R12" s="160"/>
      <c r="S12" s="160"/>
      <c r="AC12" s="441">
        <v>14</v>
      </c>
    </row>
    <row r="13" spans="1:29" s="1739" customFormat="1" ht="15.75" customHeight="1">
      <c r="A13" s="3592"/>
      <c r="B13" s="351">
        <v>1</v>
      </c>
      <c r="C13" s="351"/>
      <c r="D13" s="728"/>
      <c r="E13" s="709" t="str">
        <f>A12&amp;"."&amp;B13</f>
        <v>1.1</v>
      </c>
      <c r="F13" s="723" t="s">
        <v>81</v>
      </c>
      <c r="G13" s="721" t="s">
        <v>87</v>
      </c>
      <c r="H13" s="721" t="s">
        <v>87</v>
      </c>
      <c r="I13" s="719" t="s">
        <v>88</v>
      </c>
      <c r="J13" s="434" t="e">
        <f ca="1">MERGEVALUE(G13)</f>
        <v>#NAME?</v>
      </c>
      <c r="K13" s="445"/>
      <c r="L13" s="445"/>
      <c r="M13" s="434" t="str">
        <f t="array" ref="M13">IF(ISERROR(MATCH(MID(N13,1,250),MID(note_ter,1,250),0)),"n","y")</f>
        <v>n</v>
      </c>
      <c r="N13" s="445"/>
      <c r="O13" s="434" t="str">
        <f t="shared" ref="O13:O31" si="0">H13&amp;"("&amp;I13&amp;")"</f>
        <v>Вяземский муниципальный округ(66505000)</v>
      </c>
      <c r="P13" s="351"/>
      <c r="Q13" s="351"/>
      <c r="R13" s="354"/>
      <c r="S13" s="351"/>
      <c r="T13" s="351"/>
      <c r="U13" s="351"/>
      <c r="V13" s="356"/>
      <c r="W13" s="356"/>
      <c r="X13" s="353"/>
      <c r="Y13" s="353"/>
      <c r="Z13" s="353"/>
      <c r="AA13" s="353"/>
      <c r="AB13" s="353"/>
      <c r="AC13" s="357">
        <v>15</v>
      </c>
    </row>
    <row r="14" spans="1:29" ht="15" customHeight="1">
      <c r="A14" s="3593"/>
      <c r="B14" s="1288" t="s">
        <v>89</v>
      </c>
      <c r="C14" s="1288"/>
      <c r="D14" s="728" t="s">
        <v>90</v>
      </c>
      <c r="E14" s="1767" t="str">
        <f>A12&amp;"."&amp;B14</f>
        <v>1.2</v>
      </c>
      <c r="F14" s="1772" t="s">
        <v>91</v>
      </c>
      <c r="G14" s="1776" t="s">
        <v>92</v>
      </c>
      <c r="H14" s="1776" t="s">
        <v>92</v>
      </c>
      <c r="I14" s="1774" t="s">
        <v>93</v>
      </c>
      <c r="K14" s="1558"/>
      <c r="L14" s="1558"/>
      <c r="M14" s="1546" t="str">
        <f t="array" ref="M14">IF(ISERROR(MATCH(MID(N14,1,250),MID(note_ter,1,250),0)),"n","y")</f>
        <v>n</v>
      </c>
      <c r="N14" s="1558"/>
      <c r="O14" s="1546" t="str">
        <f t="shared" si="0"/>
        <v>Гагаринский муниципальный округ(66508000)</v>
      </c>
      <c r="P14" s="1288"/>
      <c r="Q14" s="1288"/>
      <c r="R14" s="354"/>
      <c r="S14" s="1288"/>
      <c r="T14" s="1288"/>
      <c r="U14" s="1288"/>
      <c r="V14" s="761"/>
      <c r="W14" s="761"/>
      <c r="X14" s="561"/>
      <c r="Y14" s="561"/>
      <c r="Z14" s="561"/>
      <c r="AA14" s="561"/>
      <c r="AB14" s="561"/>
      <c r="AC14" s="561"/>
    </row>
    <row r="15" spans="1:29" ht="15" customHeight="1">
      <c r="A15" s="3593"/>
      <c r="B15" s="1288" t="s">
        <v>78</v>
      </c>
      <c r="C15" s="1288"/>
      <c r="D15" s="728" t="s">
        <v>90</v>
      </c>
      <c r="E15" s="1767" t="str">
        <f>A12&amp;"."&amp;B15</f>
        <v>1.3</v>
      </c>
      <c r="F15" s="1772" t="s">
        <v>94</v>
      </c>
      <c r="G15" s="1776" t="s">
        <v>95</v>
      </c>
      <c r="H15" s="1776" t="s">
        <v>95</v>
      </c>
      <c r="I15" s="1774" t="s">
        <v>96</v>
      </c>
      <c r="K15" s="1558"/>
      <c r="L15" s="1558"/>
      <c r="M15" s="1546" t="str">
        <f t="array" ref="M15">IF(ISERROR(MATCH(MID(N15,1,250),MID(note_ter,1,250),0)),"n","y")</f>
        <v>n</v>
      </c>
      <c r="N15" s="1558"/>
      <c r="O15" s="1546" t="str">
        <f t="shared" si="0"/>
        <v>Дорогобужский муниципальный округ(66514000)</v>
      </c>
      <c r="P15" s="1288"/>
      <c r="Q15" s="1288"/>
      <c r="R15" s="354"/>
      <c r="S15" s="1288"/>
      <c r="T15" s="1288"/>
      <c r="U15" s="1288"/>
      <c r="V15" s="761"/>
      <c r="W15" s="761"/>
      <c r="X15" s="561"/>
      <c r="Y15" s="561"/>
      <c r="Z15" s="561"/>
      <c r="AA15" s="561"/>
      <c r="AB15" s="561"/>
      <c r="AC15" s="561"/>
    </row>
    <row r="16" spans="1:29" ht="15" customHeight="1">
      <c r="A16" s="3593"/>
      <c r="B16" s="1288" t="s">
        <v>79</v>
      </c>
      <c r="C16" s="1288"/>
      <c r="D16" s="728" t="s">
        <v>90</v>
      </c>
      <c r="E16" s="1767" t="str">
        <f>A12&amp;"."&amp;B16</f>
        <v>1.4</v>
      </c>
      <c r="F16" s="1772" t="s">
        <v>97</v>
      </c>
      <c r="G16" s="1776" t="s">
        <v>98</v>
      </c>
      <c r="H16" s="1776" t="s">
        <v>98</v>
      </c>
      <c r="I16" s="1774" t="s">
        <v>99</v>
      </c>
      <c r="K16" s="1558"/>
      <c r="L16" s="1558"/>
      <c r="M16" s="1546" t="str">
        <f t="array" ref="M16">IF(ISERROR(MATCH(MID(N16,1,250),MID(note_ter,1,250),0)),"n","y")</f>
        <v>n</v>
      </c>
      <c r="N16" s="1558"/>
      <c r="O16" s="1546" t="str">
        <f t="shared" si="0"/>
        <v>Духовщинский муниципальный округ(66516000)</v>
      </c>
      <c r="P16" s="1288"/>
      <c r="Q16" s="1288"/>
      <c r="R16" s="354"/>
      <c r="S16" s="1288"/>
      <c r="T16" s="1288"/>
      <c r="U16" s="1288"/>
      <c r="V16" s="761"/>
      <c r="W16" s="761"/>
      <c r="X16" s="561"/>
      <c r="Y16" s="561"/>
      <c r="Z16" s="561"/>
      <c r="AA16" s="561"/>
      <c r="AB16" s="561"/>
      <c r="AC16" s="561"/>
    </row>
    <row r="17" spans="1:29" ht="15" customHeight="1">
      <c r="A17" s="3593"/>
      <c r="B17" s="1288" t="s">
        <v>100</v>
      </c>
      <c r="C17" s="1288"/>
      <c r="D17" s="728" t="s">
        <v>90</v>
      </c>
      <c r="E17" s="1767" t="str">
        <f>A12&amp;"."&amp;B17</f>
        <v>1.5</v>
      </c>
      <c r="F17" s="1772" t="s">
        <v>101</v>
      </c>
      <c r="G17" s="1776" t="s">
        <v>102</v>
      </c>
      <c r="H17" s="1776" t="s">
        <v>102</v>
      </c>
      <c r="I17" s="1774" t="s">
        <v>103</v>
      </c>
      <c r="K17" s="1558"/>
      <c r="L17" s="1558"/>
      <c r="M17" s="1546" t="str">
        <f t="array" ref="M17">IF(ISERROR(MATCH(MID(N17,1,250),MID(note_ter,1,250),0)),"n","y")</f>
        <v>n</v>
      </c>
      <c r="N17" s="1558"/>
      <c r="O17" s="1546" t="str">
        <f t="shared" si="0"/>
        <v>Ельнинский муниципальный округ(66519000)</v>
      </c>
      <c r="P17" s="1288"/>
      <c r="Q17" s="1288"/>
      <c r="R17" s="354"/>
      <c r="S17" s="1288"/>
      <c r="T17" s="1288"/>
      <c r="U17" s="1288"/>
      <c r="V17" s="761"/>
      <c r="W17" s="761"/>
      <c r="X17" s="561"/>
      <c r="Y17" s="561"/>
      <c r="Z17" s="561"/>
      <c r="AA17" s="561"/>
      <c r="AB17" s="561"/>
      <c r="AC17" s="561"/>
    </row>
    <row r="18" spans="1:29" ht="15" customHeight="1">
      <c r="A18" s="3593"/>
      <c r="B18" s="1288" t="s">
        <v>80</v>
      </c>
      <c r="C18" s="1288"/>
      <c r="D18" s="728" t="s">
        <v>90</v>
      </c>
      <c r="E18" s="1767" t="str">
        <f>A12&amp;"."&amp;B18</f>
        <v>1.6</v>
      </c>
      <c r="F18" s="1772" t="s">
        <v>104</v>
      </c>
      <c r="G18" s="1776" t="s">
        <v>105</v>
      </c>
      <c r="H18" s="1776" t="s">
        <v>105</v>
      </c>
      <c r="I18" s="1774" t="s">
        <v>106</v>
      </c>
      <c r="K18" s="1558"/>
      <c r="L18" s="1558"/>
      <c r="M18" s="1546" t="str">
        <f t="array" ref="M18">IF(ISERROR(MATCH(MID(N18,1,250),MID(note_ter,1,250),0)),"n","y")</f>
        <v>n</v>
      </c>
      <c r="N18" s="1558"/>
      <c r="O18" s="1546" t="str">
        <f t="shared" si="0"/>
        <v>Ершичский муниципальный округ(66521000)</v>
      </c>
      <c r="P18" s="1288"/>
      <c r="Q18" s="1288"/>
      <c r="R18" s="354"/>
      <c r="S18" s="1288"/>
      <c r="T18" s="1288"/>
      <c r="U18" s="1288"/>
      <c r="V18" s="761"/>
      <c r="W18" s="761"/>
      <c r="X18" s="561"/>
      <c r="Y18" s="561"/>
      <c r="Z18" s="561"/>
      <c r="AA18" s="561"/>
      <c r="AB18" s="561"/>
      <c r="AC18" s="561"/>
    </row>
    <row r="19" spans="1:29" ht="15" customHeight="1">
      <c r="A19" s="3593"/>
      <c r="B19" s="1288" t="s">
        <v>81</v>
      </c>
      <c r="C19" s="1288"/>
      <c r="D19" s="728" t="s">
        <v>90</v>
      </c>
      <c r="E19" s="1767" t="str">
        <f>A12&amp;"."&amp;B19</f>
        <v>1.7</v>
      </c>
      <c r="F19" s="1772" t="s">
        <v>107</v>
      </c>
      <c r="G19" s="1776" t="s">
        <v>108</v>
      </c>
      <c r="H19" s="1776" t="s">
        <v>108</v>
      </c>
      <c r="I19" s="1774" t="s">
        <v>109</v>
      </c>
      <c r="K19" s="1558"/>
      <c r="L19" s="1558"/>
      <c r="M19" s="1546" t="str">
        <f t="array" ref="M19">IF(ISERROR(MATCH(MID(N19,1,250),MID(note_ter,1,250),0)),"n","y")</f>
        <v>n</v>
      </c>
      <c r="N19" s="1558"/>
      <c r="O19" s="1546" t="str">
        <f t="shared" si="0"/>
        <v>Краснинский муниципальный округ(66524000)</v>
      </c>
      <c r="P19" s="1288"/>
      <c r="Q19" s="1288"/>
      <c r="R19" s="354"/>
      <c r="S19" s="1288"/>
      <c r="T19" s="1288"/>
      <c r="U19" s="1288"/>
      <c r="V19" s="761"/>
      <c r="W19" s="761"/>
      <c r="X19" s="561"/>
      <c r="Y19" s="561"/>
      <c r="Z19" s="561"/>
      <c r="AA19" s="561"/>
      <c r="AB19" s="561"/>
      <c r="AC19" s="561"/>
    </row>
    <row r="20" spans="1:29" ht="15" customHeight="1">
      <c r="A20" s="3593"/>
      <c r="B20" s="1288" t="s">
        <v>110</v>
      </c>
      <c r="C20" s="1288"/>
      <c r="D20" s="728" t="s">
        <v>90</v>
      </c>
      <c r="E20" s="1767" t="str">
        <f>A12&amp;"."&amp;B20</f>
        <v>1.8</v>
      </c>
      <c r="F20" s="1772" t="s">
        <v>111</v>
      </c>
      <c r="G20" s="1776" t="s">
        <v>112</v>
      </c>
      <c r="H20" s="1776" t="s">
        <v>112</v>
      </c>
      <c r="I20" s="1774" t="s">
        <v>113</v>
      </c>
      <c r="K20" s="1558"/>
      <c r="L20" s="1558"/>
      <c r="M20" s="1546" t="str">
        <f t="array" ref="M20">IF(ISERROR(MATCH(MID(N20,1,250),MID(note_ter,1,250),0)),"n","y")</f>
        <v>n</v>
      </c>
      <c r="N20" s="1558"/>
      <c r="O20" s="1546" t="str">
        <f t="shared" si="0"/>
        <v>Монастырщинский муниципальный округ(66527000)</v>
      </c>
      <c r="P20" s="1288"/>
      <c r="Q20" s="1288"/>
      <c r="R20" s="354"/>
      <c r="S20" s="1288"/>
      <c r="T20" s="1288"/>
      <c r="U20" s="1288"/>
      <c r="V20" s="761"/>
      <c r="W20" s="761"/>
      <c r="X20" s="561"/>
      <c r="Y20" s="561"/>
      <c r="Z20" s="561"/>
      <c r="AA20" s="561"/>
      <c r="AB20" s="561"/>
      <c r="AC20" s="561"/>
    </row>
    <row r="21" spans="1:29" ht="15" customHeight="1">
      <c r="A21" s="3593"/>
      <c r="B21" s="1288" t="s">
        <v>114</v>
      </c>
      <c r="C21" s="1288"/>
      <c r="D21" s="728" t="s">
        <v>90</v>
      </c>
      <c r="E21" s="1767" t="str">
        <f>A12&amp;"."&amp;B21</f>
        <v>1.9</v>
      </c>
      <c r="F21" s="1772" t="s">
        <v>115</v>
      </c>
      <c r="G21" s="1776" t="s">
        <v>116</v>
      </c>
      <c r="H21" s="1776" t="s">
        <v>116</v>
      </c>
      <c r="I21" s="1774" t="s">
        <v>117</v>
      </c>
      <c r="K21" s="1558"/>
      <c r="L21" s="1558"/>
      <c r="M21" s="1546" t="str">
        <f t="array" ref="M21">IF(ISERROR(MATCH(MID(N21,1,250),MID(note_ter,1,250),0)),"n","y")</f>
        <v>n</v>
      </c>
      <c r="N21" s="1558"/>
      <c r="O21" s="1546" t="str">
        <f t="shared" si="0"/>
        <v>Новодугинский муниципальный округ(66530000)</v>
      </c>
      <c r="P21" s="1288"/>
      <c r="Q21" s="1288"/>
      <c r="R21" s="354"/>
      <c r="S21" s="1288"/>
      <c r="T21" s="1288"/>
      <c r="U21" s="1288"/>
      <c r="V21" s="761"/>
      <c r="W21" s="761"/>
      <c r="X21" s="561"/>
      <c r="Y21" s="561"/>
      <c r="Z21" s="561"/>
      <c r="AA21" s="561"/>
      <c r="AB21" s="561"/>
      <c r="AC21" s="561"/>
    </row>
    <row r="22" spans="1:29" ht="15" customHeight="1">
      <c r="A22" s="3593"/>
      <c r="B22" s="1288" t="s">
        <v>118</v>
      </c>
      <c r="C22" s="1288"/>
      <c r="D22" s="728" t="s">
        <v>90</v>
      </c>
      <c r="E22" s="1767" t="str">
        <f>A12&amp;"."&amp;B22</f>
        <v>1.10</v>
      </c>
      <c r="F22" s="1772" t="s">
        <v>119</v>
      </c>
      <c r="G22" s="1776" t="s">
        <v>120</v>
      </c>
      <c r="H22" s="1776" t="s">
        <v>120</v>
      </c>
      <c r="I22" s="1774" t="s">
        <v>121</v>
      </c>
      <c r="K22" s="1558"/>
      <c r="L22" s="1558"/>
      <c r="M22" s="1546" t="str">
        <f t="array" ref="M22">IF(ISERROR(MATCH(MID(N22,1,250),MID(note_ter,1,250),0)),"n","y")</f>
        <v>n</v>
      </c>
      <c r="N22" s="1558"/>
      <c r="O22" s="1546" t="str">
        <f t="shared" si="0"/>
        <v>Починковский муниципальный округ(66533000)</v>
      </c>
      <c r="P22" s="1288"/>
      <c r="Q22" s="1288"/>
      <c r="R22" s="354"/>
      <c r="S22" s="1288"/>
      <c r="T22" s="1288"/>
      <c r="U22" s="1288"/>
      <c r="V22" s="761"/>
      <c r="W22" s="761"/>
      <c r="X22" s="561"/>
      <c r="Y22" s="561"/>
      <c r="Z22" s="561"/>
      <c r="AA22" s="561"/>
      <c r="AB22" s="561"/>
      <c r="AC22" s="561"/>
    </row>
    <row r="23" spans="1:29" ht="15" customHeight="1">
      <c r="A23" s="3593"/>
      <c r="B23" s="1288" t="s">
        <v>122</v>
      </c>
      <c r="C23" s="1288"/>
      <c r="D23" s="728" t="s">
        <v>90</v>
      </c>
      <c r="E23" s="1767" t="str">
        <f>A12&amp;"."&amp;B23</f>
        <v>1.11</v>
      </c>
      <c r="F23" s="1772" t="s">
        <v>123</v>
      </c>
      <c r="G23" s="1776" t="s">
        <v>124</v>
      </c>
      <c r="H23" s="1776" t="s">
        <v>124</v>
      </c>
      <c r="I23" s="1774" t="s">
        <v>125</v>
      </c>
      <c r="K23" s="1558"/>
      <c r="L23" s="1558"/>
      <c r="M23" s="1546" t="str">
        <f t="array" ref="M23">IF(ISERROR(MATCH(MID(N23,1,250),MID(note_ter,1,250),0)),"n","y")</f>
        <v>n</v>
      </c>
      <c r="N23" s="1558"/>
      <c r="O23" s="1546" t="str">
        <f t="shared" si="0"/>
        <v>Рославльский муниципальный округ(66536000)</v>
      </c>
      <c r="P23" s="1288"/>
      <c r="Q23" s="1288"/>
      <c r="R23" s="354"/>
      <c r="S23" s="1288"/>
      <c r="T23" s="1288"/>
      <c r="U23" s="1288"/>
      <c r="V23" s="761"/>
      <c r="W23" s="761"/>
      <c r="X23" s="561"/>
      <c r="Y23" s="561"/>
      <c r="Z23" s="561"/>
      <c r="AA23" s="561"/>
      <c r="AB23" s="561"/>
      <c r="AC23" s="561"/>
    </row>
    <row r="24" spans="1:29" ht="15" customHeight="1">
      <c r="A24" s="3593"/>
      <c r="B24" s="1288" t="s">
        <v>126</v>
      </c>
      <c r="C24" s="1288"/>
      <c r="D24" s="728" t="s">
        <v>90</v>
      </c>
      <c r="E24" s="1767" t="str">
        <f>A12&amp;"."&amp;B24</f>
        <v>1.12</v>
      </c>
      <c r="F24" s="1772" t="s">
        <v>127</v>
      </c>
      <c r="G24" s="1776" t="s">
        <v>128</v>
      </c>
      <c r="H24" s="1776" t="s">
        <v>128</v>
      </c>
      <c r="I24" s="1774" t="s">
        <v>129</v>
      </c>
      <c r="K24" s="1558"/>
      <c r="L24" s="1558"/>
      <c r="M24" s="1546" t="str">
        <f t="array" ref="M24">IF(ISERROR(MATCH(MID(N24,1,250),MID(note_ter,1,250),0)),"n","y")</f>
        <v>n</v>
      </c>
      <c r="N24" s="1558"/>
      <c r="O24" s="1546" t="str">
        <f t="shared" si="0"/>
        <v>Руднянский муниципальный округ(66538000)</v>
      </c>
      <c r="P24" s="1288"/>
      <c r="Q24" s="1288"/>
      <c r="R24" s="354"/>
      <c r="S24" s="1288"/>
      <c r="T24" s="1288"/>
      <c r="U24" s="1288"/>
      <c r="V24" s="761"/>
      <c r="W24" s="761"/>
      <c r="X24" s="561"/>
      <c r="Y24" s="561"/>
      <c r="Z24" s="561"/>
      <c r="AA24" s="561"/>
      <c r="AB24" s="561"/>
      <c r="AC24" s="561"/>
    </row>
    <row r="25" spans="1:29" ht="15" customHeight="1">
      <c r="A25" s="3593"/>
      <c r="B25" s="1288" t="s">
        <v>130</v>
      </c>
      <c r="C25" s="1288"/>
      <c r="D25" s="728" t="s">
        <v>90</v>
      </c>
      <c r="E25" s="1767" t="str">
        <f>A12&amp;"."&amp;B25</f>
        <v>1.13</v>
      </c>
      <c r="F25" s="1772" t="s">
        <v>131</v>
      </c>
      <c r="G25" s="1776" t="s">
        <v>132</v>
      </c>
      <c r="H25" s="1776" t="s">
        <v>132</v>
      </c>
      <c r="I25" s="1774" t="s">
        <v>133</v>
      </c>
      <c r="K25" s="1558"/>
      <c r="L25" s="1558"/>
      <c r="M25" s="1546" t="str">
        <f t="array" ref="M25">IF(ISERROR(MATCH(MID(N25,1,250),MID(note_ter,1,250),0)),"n","y")</f>
        <v>n</v>
      </c>
      <c r="N25" s="1558"/>
      <c r="O25" s="1546" t="str">
        <f t="shared" si="0"/>
        <v>Сафоновский муниципальный округ(66541000)</v>
      </c>
      <c r="P25" s="1288"/>
      <c r="Q25" s="1288"/>
      <c r="R25" s="354"/>
      <c r="S25" s="1288"/>
      <c r="T25" s="1288"/>
      <c r="U25" s="1288"/>
      <c r="V25" s="761"/>
      <c r="W25" s="761"/>
      <c r="X25" s="561"/>
      <c r="Y25" s="561"/>
      <c r="Z25" s="561"/>
      <c r="AA25" s="561"/>
      <c r="AB25" s="561"/>
      <c r="AC25" s="561"/>
    </row>
    <row r="26" spans="1:29" ht="15" customHeight="1">
      <c r="A26" s="3593"/>
      <c r="B26" s="1288" t="s">
        <v>134</v>
      </c>
      <c r="C26" s="1288"/>
      <c r="D26" s="728" t="s">
        <v>90</v>
      </c>
      <c r="E26" s="1767" t="str">
        <f>A12&amp;"."&amp;B26</f>
        <v>1.14</v>
      </c>
      <c r="F26" s="1772" t="s">
        <v>135</v>
      </c>
      <c r="G26" s="1776" t="s">
        <v>136</v>
      </c>
      <c r="H26" s="1776" t="s">
        <v>136</v>
      </c>
      <c r="I26" s="1774" t="s">
        <v>137</v>
      </c>
      <c r="K26" s="1558"/>
      <c r="L26" s="1558"/>
      <c r="M26" s="1546" t="str">
        <f t="array" ref="M26">IF(ISERROR(MATCH(MID(N26,1,250),MID(note_ter,1,250),0)),"n","y")</f>
        <v>n</v>
      </c>
      <c r="N26" s="1558"/>
      <c r="O26" s="1546" t="str">
        <f t="shared" si="0"/>
        <v>Смоленский муниципальный округ(66544000)</v>
      </c>
      <c r="P26" s="1288"/>
      <c r="Q26" s="1288"/>
      <c r="R26" s="354"/>
      <c r="S26" s="1288"/>
      <c r="T26" s="1288"/>
      <c r="U26" s="1288"/>
      <c r="V26" s="761"/>
      <c r="W26" s="761"/>
      <c r="X26" s="561"/>
      <c r="Y26" s="561"/>
      <c r="Z26" s="561"/>
      <c r="AA26" s="561"/>
      <c r="AB26" s="561"/>
      <c r="AC26" s="561"/>
    </row>
    <row r="27" spans="1:29" ht="15" customHeight="1">
      <c r="A27" s="3593"/>
      <c r="B27" s="1288" t="s">
        <v>138</v>
      </c>
      <c r="C27" s="1288"/>
      <c r="D27" s="728" t="s">
        <v>90</v>
      </c>
      <c r="E27" s="1767" t="str">
        <f>A12&amp;"."&amp;B27</f>
        <v>1.15</v>
      </c>
      <c r="F27" s="1772" t="s">
        <v>139</v>
      </c>
      <c r="G27" s="1776" t="s">
        <v>140</v>
      </c>
      <c r="H27" s="1776" t="s">
        <v>140</v>
      </c>
      <c r="I27" s="1774" t="s">
        <v>141</v>
      </c>
      <c r="K27" s="1558"/>
      <c r="L27" s="1558"/>
      <c r="M27" s="1546" t="str">
        <f t="array" ref="M27">IF(ISERROR(MATCH(MID(N27,1,250),MID(note_ter,1,250),0)),"n","y")</f>
        <v>n</v>
      </c>
      <c r="N27" s="1558"/>
      <c r="O27" s="1546" t="str">
        <f t="shared" si="0"/>
        <v>Сычевский муниципальный округ(66546000)</v>
      </c>
      <c r="P27" s="1288"/>
      <c r="Q27" s="1288"/>
      <c r="R27" s="354"/>
      <c r="S27" s="1288"/>
      <c r="T27" s="1288"/>
      <c r="U27" s="1288"/>
      <c r="V27" s="761"/>
      <c r="W27" s="761"/>
      <c r="X27" s="561"/>
      <c r="Y27" s="561"/>
      <c r="Z27" s="561"/>
      <c r="AA27" s="561"/>
      <c r="AB27" s="561"/>
      <c r="AC27" s="561"/>
    </row>
    <row r="28" spans="1:29" ht="15" customHeight="1">
      <c r="A28" s="3593"/>
      <c r="B28" s="1288" t="s">
        <v>142</v>
      </c>
      <c r="C28" s="1288"/>
      <c r="D28" s="728" t="s">
        <v>90</v>
      </c>
      <c r="E28" s="1767" t="str">
        <f>A12&amp;"."&amp;B28</f>
        <v>1.16</v>
      </c>
      <c r="F28" s="1772" t="s">
        <v>143</v>
      </c>
      <c r="G28" s="1776" t="s">
        <v>144</v>
      </c>
      <c r="H28" s="1776" t="s">
        <v>144</v>
      </c>
      <c r="I28" s="1774" t="s">
        <v>145</v>
      </c>
      <c r="K28" s="1558"/>
      <c r="L28" s="1558"/>
      <c r="M28" s="1546" t="str">
        <f t="array" ref="M28">IF(ISERROR(MATCH(MID(N28,1,250),MID(note_ter,1,250),0)),"n","y")</f>
        <v>n</v>
      </c>
      <c r="N28" s="1558"/>
      <c r="O28" s="1546" t="str">
        <f t="shared" si="0"/>
        <v>Хиславичский муниципальный округ(66552000)</v>
      </c>
      <c r="P28" s="1288"/>
      <c r="Q28" s="1288"/>
      <c r="R28" s="354"/>
      <c r="S28" s="1288"/>
      <c r="T28" s="1288"/>
      <c r="U28" s="1288"/>
      <c r="V28" s="761"/>
      <c r="W28" s="761"/>
      <c r="X28" s="561"/>
      <c r="Y28" s="561"/>
      <c r="Z28" s="561"/>
      <c r="AA28" s="561"/>
      <c r="AB28" s="561"/>
      <c r="AC28" s="561"/>
    </row>
    <row r="29" spans="1:29" ht="15" customHeight="1">
      <c r="A29" s="3593"/>
      <c r="B29" s="1288" t="s">
        <v>91</v>
      </c>
      <c r="C29" s="1288"/>
      <c r="D29" s="728" t="s">
        <v>90</v>
      </c>
      <c r="E29" s="1767" t="str">
        <f>A12&amp;"."&amp;B29</f>
        <v>1.17</v>
      </c>
      <c r="F29" s="1772" t="s">
        <v>146</v>
      </c>
      <c r="G29" s="1776" t="s">
        <v>147</v>
      </c>
      <c r="H29" s="1776" t="s">
        <v>147</v>
      </c>
      <c r="I29" s="1774" t="s">
        <v>148</v>
      </c>
      <c r="K29" s="1558"/>
      <c r="L29" s="1558"/>
      <c r="M29" s="1546" t="str">
        <f t="array" ref="M29">IF(ISERROR(MATCH(MID(N29,1,250),MID(note_ter,1,250),0)),"n","y")</f>
        <v>n</v>
      </c>
      <c r="N29" s="1558"/>
      <c r="O29" s="1546" t="str">
        <f t="shared" si="0"/>
        <v>Холм-Жирковский муниципальный округ(66554000)</v>
      </c>
      <c r="P29" s="1288"/>
      <c r="Q29" s="1288"/>
      <c r="R29" s="354"/>
      <c r="S29" s="1288"/>
      <c r="T29" s="1288"/>
      <c r="U29" s="1288"/>
      <c r="V29" s="761"/>
      <c r="W29" s="761"/>
      <c r="X29" s="561"/>
      <c r="Y29" s="561"/>
      <c r="Z29" s="561"/>
      <c r="AA29" s="561"/>
      <c r="AB29" s="561"/>
      <c r="AC29" s="561"/>
    </row>
    <row r="30" spans="1:29" ht="15" customHeight="1">
      <c r="A30" s="3593"/>
      <c r="B30" s="1288" t="s">
        <v>149</v>
      </c>
      <c r="C30" s="1288"/>
      <c r="D30" s="728" t="s">
        <v>90</v>
      </c>
      <c r="E30" s="1767" t="str">
        <f>A12&amp;"."&amp;B30</f>
        <v>1.18</v>
      </c>
      <c r="F30" s="1772" t="s">
        <v>150</v>
      </c>
      <c r="G30" s="1776" t="s">
        <v>151</v>
      </c>
      <c r="H30" s="1776" t="s">
        <v>151</v>
      </c>
      <c r="I30" s="1774" t="s">
        <v>152</v>
      </c>
      <c r="K30" s="1558"/>
      <c r="L30" s="1558"/>
      <c r="M30" s="1546" t="str">
        <f t="array" ref="M30">IF(ISERROR(MATCH(MID(N30,1,250),MID(note_ter,1,250),0)),"n","y")</f>
        <v>n</v>
      </c>
      <c r="N30" s="1558"/>
      <c r="O30" s="1546" t="str">
        <f t="shared" si="0"/>
        <v>Шумячский муниципальный округ(66556000)</v>
      </c>
      <c r="P30" s="1288"/>
      <c r="Q30" s="1288"/>
      <c r="R30" s="354"/>
      <c r="S30" s="1288"/>
      <c r="T30" s="1288"/>
      <c r="U30" s="1288"/>
      <c r="V30" s="761"/>
      <c r="W30" s="761"/>
      <c r="X30" s="561"/>
      <c r="Y30" s="561"/>
      <c r="Z30" s="561"/>
      <c r="AA30" s="561"/>
      <c r="AB30" s="561"/>
      <c r="AC30" s="561"/>
    </row>
    <row r="31" spans="1:29" ht="15" customHeight="1">
      <c r="A31" s="3593"/>
      <c r="B31" s="1288" t="s">
        <v>153</v>
      </c>
      <c r="C31" s="1288"/>
      <c r="D31" s="728" t="s">
        <v>90</v>
      </c>
      <c r="E31" s="1767" t="str">
        <f>A12&amp;"."&amp;B31</f>
        <v>1.19</v>
      </c>
      <c r="F31" s="1772" t="s">
        <v>154</v>
      </c>
      <c r="G31" s="1776" t="s">
        <v>155</v>
      </c>
      <c r="H31" s="1776" t="s">
        <v>155</v>
      </c>
      <c r="I31" s="1774" t="s">
        <v>156</v>
      </c>
      <c r="K31" s="1558"/>
      <c r="L31" s="1558"/>
      <c r="M31" s="1546" t="str">
        <f t="array" ref="M31">IF(ISERROR(MATCH(MID(N31,1,250),MID(note_ter,1,250),0)),"n","y")</f>
        <v>n</v>
      </c>
      <c r="N31" s="1558"/>
      <c r="O31" s="1546" t="str">
        <f t="shared" si="0"/>
        <v>Ярцевский муниципальный округ(66558000)</v>
      </c>
      <c r="P31" s="1288"/>
      <c r="Q31" s="1288"/>
      <c r="R31" s="354"/>
      <c r="S31" s="1288"/>
      <c r="T31" s="1288"/>
      <c r="U31" s="1288"/>
      <c r="V31" s="761"/>
      <c r="W31" s="761"/>
      <c r="X31" s="561"/>
      <c r="Y31" s="561"/>
      <c r="Z31" s="561"/>
      <c r="AA31" s="561"/>
      <c r="AB31" s="561"/>
      <c r="AC31" s="561"/>
    </row>
    <row r="32" spans="1:29" s="1739" customFormat="1" ht="15.75" customHeight="1">
      <c r="A32" s="3592"/>
      <c r="B32" s="351"/>
      <c r="C32" s="346"/>
      <c r="D32" s="729"/>
      <c r="E32" s="355"/>
      <c r="F32" s="112"/>
      <c r="G32" s="349" t="s">
        <v>157</v>
      </c>
      <c r="H32" s="122"/>
      <c r="I32" s="358"/>
      <c r="J32" s="445"/>
      <c r="K32" s="445"/>
      <c r="L32" s="445"/>
      <c r="M32" s="445"/>
      <c r="N32" s="434"/>
      <c r="O32" s="445"/>
      <c r="P32" s="351"/>
      <c r="Q32" s="351"/>
      <c r="R32" s="354"/>
      <c r="S32" s="351"/>
      <c r="T32" s="351"/>
      <c r="U32" s="351"/>
      <c r="V32" s="356"/>
      <c r="W32" s="356"/>
      <c r="X32" s="353"/>
      <c r="Y32" s="353"/>
      <c r="Z32" s="353"/>
      <c r="AA32" s="353"/>
      <c r="AB32" s="353"/>
      <c r="AC32" s="357">
        <v>15</v>
      </c>
    </row>
    <row r="33" spans="1:29" s="1711" customFormat="1" ht="14.65" customHeight="1">
      <c r="A33" s="690"/>
      <c r="B33" s="351"/>
      <c r="C33" s="690"/>
      <c r="D33" s="710"/>
      <c r="E33" s="722"/>
      <c r="F33" s="113"/>
      <c r="G33" s="350" t="s">
        <v>158</v>
      </c>
      <c r="H33" s="113"/>
      <c r="I33" s="114"/>
      <c r="J33" s="184"/>
      <c r="K33" s="90"/>
      <c r="L33" s="90"/>
      <c r="M33" s="90"/>
      <c r="N33" s="161" t="s">
        <v>159</v>
      </c>
      <c r="O33" s="90"/>
      <c r="P33" s="160"/>
      <c r="Q33" s="160"/>
      <c r="R33" s="160"/>
      <c r="S33" s="160"/>
      <c r="AC33" s="54">
        <v>14</v>
      </c>
    </row>
    <row r="34" spans="1:29" s="1711" customFormat="1" ht="21.95" customHeight="1">
      <c r="A34" s="690"/>
      <c r="B34" s="351"/>
      <c r="C34" s="690"/>
      <c r="D34" s="100"/>
      <c r="E34" s="115"/>
      <c r="F34" s="115"/>
      <c r="G34" s="115"/>
      <c r="H34" s="115"/>
      <c r="I34" s="115"/>
      <c r="J34" s="90"/>
      <c r="K34" s="90"/>
      <c r="L34" s="90"/>
      <c r="M34" s="90"/>
      <c r="N34" s="161"/>
      <c r="O34" s="90"/>
      <c r="P34" s="160"/>
      <c r="Q34" s="160"/>
      <c r="R34" s="160"/>
      <c r="S34" s="160"/>
      <c r="AC34" s="54">
        <v>21</v>
      </c>
    </row>
    <row r="35" spans="1:29" s="1711" customFormat="1" ht="14.65" customHeight="1">
      <c r="A35" s="690"/>
      <c r="B35" s="351"/>
      <c r="C35" s="690"/>
      <c r="D35" s="100"/>
      <c r="E35" s="22"/>
      <c r="F35" s="690"/>
      <c r="G35" s="22"/>
      <c r="H35" s="22"/>
      <c r="I35" s="22"/>
      <c r="J35" s="90"/>
      <c r="K35" s="90"/>
      <c r="L35" s="90"/>
      <c r="M35" s="90"/>
      <c r="N35" s="161"/>
      <c r="O35" s="90"/>
      <c r="P35" s="160"/>
      <c r="Q35" s="160"/>
      <c r="R35" s="160"/>
      <c r="S35" s="160"/>
      <c r="AC35" s="54">
        <v>14</v>
      </c>
    </row>
    <row r="36" spans="1:29" s="1711" customFormat="1" ht="1.1499999999999999" customHeight="1">
      <c r="A36" s="690"/>
      <c r="B36" s="351"/>
      <c r="C36" s="690"/>
      <c r="D36" s="100"/>
      <c r="E36" s="22"/>
      <c r="F36" s="690"/>
      <c r="G36" s="22"/>
      <c r="H36" s="22"/>
      <c r="I36" s="22"/>
      <c r="J36" s="90"/>
      <c r="K36" s="90"/>
      <c r="L36" s="90"/>
      <c r="M36" s="90"/>
      <c r="N36" s="161"/>
      <c r="O36" s="90"/>
      <c r="P36" s="160"/>
      <c r="Q36" s="160"/>
      <c r="R36" s="160"/>
      <c r="S36" s="160"/>
      <c r="AC36" s="54">
        <v>1</v>
      </c>
    </row>
    <row r="37" spans="1:29" s="990" customFormat="1" ht="10.5" customHeight="1">
      <c r="B37" s="762"/>
      <c r="D37" s="117"/>
      <c r="J37" s="90"/>
      <c r="K37" s="90"/>
      <c r="L37" s="90"/>
      <c r="M37" s="90"/>
      <c r="N37" s="161"/>
      <c r="O37" s="90"/>
      <c r="P37" s="160"/>
      <c r="Q37" s="160"/>
      <c r="R37" s="160"/>
      <c r="S37" s="160"/>
      <c r="AC37" s="116">
        <v>10</v>
      </c>
    </row>
    <row r="38" spans="1:29" s="990" customFormat="1" ht="10.5" customHeight="1">
      <c r="B38" s="762"/>
      <c r="D38" s="117"/>
      <c r="J38" s="90"/>
      <c r="K38" s="90"/>
      <c r="L38" s="90"/>
      <c r="M38" s="90"/>
      <c r="N38" s="161"/>
      <c r="O38" s="90"/>
      <c r="P38" s="160"/>
      <c r="Q38" s="160"/>
      <c r="R38" s="160"/>
      <c r="S38" s="160"/>
      <c r="AC38" s="116">
        <v>10</v>
      </c>
    </row>
    <row r="39" spans="1:29" ht="14.65" customHeight="1">
      <c r="AC39" s="22">
        <v>14</v>
      </c>
    </row>
    <row r="40" spans="1:29" ht="14.65" customHeight="1">
      <c r="AC40" s="22">
        <v>14</v>
      </c>
    </row>
    <row r="41" spans="1:29" ht="14.65" customHeight="1">
      <c r="AC41" s="22">
        <v>14</v>
      </c>
    </row>
    <row r="42" spans="1:29" ht="14.65" customHeight="1">
      <c r="H42" s="3"/>
      <c r="AC42" s="22">
        <v>14</v>
      </c>
    </row>
    <row r="43" spans="1:29" ht="14.65" customHeight="1">
      <c r="AC43" s="22">
        <v>14</v>
      </c>
    </row>
    <row r="44" spans="1:29" ht="14.65" customHeight="1">
      <c r="AC44" s="22">
        <v>14</v>
      </c>
    </row>
    <row r="45" spans="1:29" ht="14.65" customHeight="1">
      <c r="AC45" s="22">
        <v>14</v>
      </c>
    </row>
    <row r="46" spans="1:29" ht="14.65" customHeight="1">
      <c r="J46" s="22"/>
      <c r="K46" s="22"/>
      <c r="L46" s="22"/>
      <c r="AC46" s="22">
        <v>14</v>
      </c>
    </row>
    <row r="47" spans="1:29" ht="22.5" hidden="1" customHeight="1">
      <c r="A47" s="690" t="s">
        <v>70</v>
      </c>
      <c r="B47" s="351">
        <v>0</v>
      </c>
      <c r="C47" s="690">
        <v>3</v>
      </c>
      <c r="D47" s="100">
        <v>3</v>
      </c>
      <c r="E47" s="22">
        <v>6</v>
      </c>
      <c r="F47" s="690">
        <v>0</v>
      </c>
      <c r="G47" s="22">
        <v>46</v>
      </c>
      <c r="H47" s="22">
        <v>42</v>
      </c>
      <c r="I47" s="22">
        <v>14</v>
      </c>
      <c r="J47" s="90">
        <v>3</v>
      </c>
      <c r="K47" s="90">
        <v>0</v>
      </c>
      <c r="L47" s="90">
        <v>0</v>
      </c>
      <c r="M47" s="90">
        <v>0</v>
      </c>
      <c r="N47" s="161">
        <v>0</v>
      </c>
      <c r="O47" s="90">
        <v>0</v>
      </c>
      <c r="P47" s="160">
        <v>0</v>
      </c>
      <c r="Q47" s="160">
        <v>0</v>
      </c>
      <c r="R47" s="160">
        <v>0</v>
      </c>
      <c r="S47" s="160">
        <v>0</v>
      </c>
      <c r="T47" s="22">
        <v>0</v>
      </c>
      <c r="U47" s="22">
        <v>0</v>
      </c>
      <c r="V47" s="22">
        <v>0</v>
      </c>
      <c r="W47" s="22">
        <v>0</v>
      </c>
      <c r="X47" s="22">
        <v>0</v>
      </c>
      <c r="Y47" s="22">
        <v>0</v>
      </c>
      <c r="Z47" s="22">
        <v>0</v>
      </c>
      <c r="AA47" s="22">
        <v>0</v>
      </c>
      <c r="AB47" s="22">
        <v>8</v>
      </c>
      <c r="AC47" s="22">
        <v>23</v>
      </c>
    </row>
  </sheetData>
  <sheetProtection formatColumns="0" formatRows="0" insertRows="0" deleteColumns="0" deleteRows="0" sort="0" autoFilter="0"/>
  <mergeCells count="4">
    <mergeCell ref="A12:A32"/>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7" hidden="1" customWidth="1"/>
    <col min="4" max="4" width="11.85546875" style="1557" hidden="1" customWidth="1"/>
    <col min="5" max="11" width="10.140625" style="1557" hidden="1" customWidth="1"/>
    <col min="12" max="12" width="10.140625" style="1985" hidden="1" customWidth="1"/>
    <col min="13" max="15" width="10.140625" style="1991" hidden="1" customWidth="1"/>
    <col min="16" max="16" width="3" style="1668" customWidth="1"/>
    <col min="17" max="17" width="3" style="1293" customWidth="1"/>
    <col min="18" max="18" width="3" style="279" customWidth="1"/>
    <col min="19" max="19" width="12" style="1992" customWidth="1"/>
    <col min="20" max="20" width="31" style="1557" customWidth="1"/>
    <col min="21" max="21" width="0.140625" style="1557" customWidth="1"/>
    <col min="22" max="23" width="21.7109375" style="1557" hidden="1" customWidth="1"/>
    <col min="24" max="24" width="11.7109375" style="1557" hidden="1" customWidth="1"/>
    <col min="25" max="25" width="3.7109375" style="1557" hidden="1" customWidth="1"/>
    <col min="26" max="26" width="11.7109375" style="1557" hidden="1" customWidth="1"/>
    <col min="27" max="27" width="8.5703125" style="1557" hidden="1" customWidth="1"/>
    <col min="28" max="28" width="27" style="1557" customWidth="1"/>
    <col min="29" max="29" width="24.5703125" style="1557" customWidth="1"/>
    <col min="30" max="31" width="21"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0.75" hidden="1" customHeight="1">
      <c r="AQ1" s="1553" t="s">
        <v>1</v>
      </c>
    </row>
    <row r="2" spans="1:43" ht="21" hidden="1" customHeight="1">
      <c r="A2" s="1189"/>
      <c r="B2" s="1189"/>
      <c r="C2" s="1189"/>
      <c r="D2" s="1189"/>
      <c r="E2" s="3761">
        <v>1</v>
      </c>
      <c r="F2" s="1189"/>
      <c r="G2" s="1189"/>
      <c r="H2" s="1189"/>
      <c r="I2" s="1189"/>
      <c r="J2" s="1189"/>
      <c r="K2" s="1189"/>
      <c r="L2" s="1232"/>
      <c r="M2" s="1532"/>
      <c r="N2" s="1532"/>
      <c r="O2" s="1532"/>
      <c r="P2" s="1331"/>
      <c r="Q2" s="801"/>
      <c r="R2" s="289"/>
      <c r="S2" s="1844" t="e">
        <f>INDEX(PT_DIFFERENTIATION_NUM_NTAR,MATCH(A2,PT_DIFFERENTIATION_NTAR_ID,0))</f>
        <v>#N/A</v>
      </c>
      <c r="T2" s="1447" t="s">
        <v>176</v>
      </c>
      <c r="U2" s="235"/>
      <c r="V2" s="3724"/>
      <c r="W2" s="3724"/>
      <c r="X2" s="3724"/>
      <c r="Y2" s="3724"/>
      <c r="Z2" s="3724"/>
      <c r="AA2" s="3725"/>
      <c r="AB2" s="1838"/>
      <c r="AC2" s="3724" t="e">
        <f>INDEX(PT_DIFFERENTIATION_NTAR,MATCH(A2,PT_DIFFERENTIATION_NTAR_ID,0))</f>
        <v>#N/A</v>
      </c>
      <c r="AD2" s="3724"/>
      <c r="AE2" s="3724"/>
      <c r="AF2" s="3724"/>
      <c r="AG2" s="3724"/>
      <c r="AH2" s="3724"/>
      <c r="AI2" s="3724"/>
      <c r="AJ2" s="3725"/>
      <c r="AK2" s="1180" t="s">
        <v>441</v>
      </c>
      <c r="AM2" s="1546"/>
      <c r="AN2" s="1546" t="str">
        <f t="shared" ref="AN2:AN14" si="0">IF(T2="","",T2)</f>
        <v>Наименование тарифа</v>
      </c>
      <c r="AO2" s="1546"/>
      <c r="AP2" s="1546"/>
      <c r="AQ2" s="1553">
        <v>0</v>
      </c>
    </row>
    <row r="3" spans="1:43" ht="21" hidden="1" customHeight="1">
      <c r="A3" s="1189"/>
      <c r="B3" s="1189"/>
      <c r="C3" s="1189"/>
      <c r="D3" s="1189"/>
      <c r="E3" s="3762"/>
      <c r="F3" s="3761">
        <v>1</v>
      </c>
      <c r="G3" s="1189"/>
      <c r="H3" s="1189"/>
      <c r="I3" s="1189"/>
      <c r="J3" s="1189"/>
      <c r="K3" s="1189"/>
      <c r="L3" s="1232"/>
      <c r="M3" s="1532"/>
      <c r="N3" s="1532"/>
      <c r="O3" s="1532"/>
      <c r="P3" s="1855"/>
      <c r="Q3" s="1333"/>
      <c r="R3" s="287"/>
      <c r="S3" s="1844" t="e">
        <f>INDEX(PT_DIFFERENTIATION_NUM_TER,MATCH(B3,PT_DIFFERENTIATION_TER_ID,0))</f>
        <v>#N/A</v>
      </c>
      <c r="T3" s="1444" t="s">
        <v>442</v>
      </c>
      <c r="U3" s="235"/>
      <c r="V3" s="3724"/>
      <c r="W3" s="3724"/>
      <c r="X3" s="3724"/>
      <c r="Y3" s="3724"/>
      <c r="Z3" s="3724"/>
      <c r="AA3" s="3725"/>
      <c r="AB3" s="1838"/>
      <c r="AC3" s="3724" t="e">
        <f>INDEX(PT_DIFFERENTIATION_TER,MATCH(B3,PT_DIFFERENTIATION_TER_ID,0))</f>
        <v>#N/A</v>
      </c>
      <c r="AD3" s="3724"/>
      <c r="AE3" s="3724"/>
      <c r="AF3" s="3724"/>
      <c r="AG3" s="3724"/>
      <c r="AH3" s="3724"/>
      <c r="AI3" s="3724"/>
      <c r="AJ3" s="3725"/>
      <c r="AK3" s="1180" t="s">
        <v>443</v>
      </c>
      <c r="AM3" s="1546"/>
      <c r="AN3" s="1546" t="str">
        <f t="shared" si="0"/>
        <v>Территория действия тарифа</v>
      </c>
      <c r="AO3" s="1546"/>
      <c r="AP3" s="1546"/>
      <c r="AQ3" s="1553">
        <v>0</v>
      </c>
    </row>
    <row r="4" spans="1:43" ht="22.5" hidden="1" customHeight="1">
      <c r="A4" s="1189"/>
      <c r="B4" s="1189"/>
      <c r="C4" s="1189"/>
      <c r="D4" s="1189"/>
      <c r="E4" s="3762"/>
      <c r="F4" s="3762"/>
      <c r="G4" s="3761">
        <v>1</v>
      </c>
      <c r="H4" s="1189"/>
      <c r="I4" s="1189"/>
      <c r="J4" s="1189"/>
      <c r="K4" s="1189"/>
      <c r="L4" s="1232"/>
      <c r="M4" s="1532"/>
      <c r="N4" s="1532"/>
      <c r="O4" s="1532"/>
      <c r="P4" s="1334"/>
      <c r="Q4" s="1333"/>
      <c r="R4" s="287"/>
      <c r="S4" s="1844" t="e">
        <f>INDEX(PT_DIFFERENTIATION_NUM_CS,MATCH(C4,PT_DIFFERENTIATION_CS_ID,0))</f>
        <v>#N/A</v>
      </c>
      <c r="T4" s="244" t="s">
        <v>444</v>
      </c>
      <c r="U4" s="235"/>
      <c r="V4" s="3724"/>
      <c r="W4" s="3724"/>
      <c r="X4" s="3724"/>
      <c r="Y4" s="3724"/>
      <c r="Z4" s="3724"/>
      <c r="AA4" s="3725"/>
      <c r="AB4" s="1838"/>
      <c r="AC4" s="3724" t="e">
        <f>INDEX(PT_DIFFERENTIATION_CS,MATCH(C4,PT_DIFFERENTIATION_CS_ID,0))</f>
        <v>#N/A</v>
      </c>
      <c r="AD4" s="3724"/>
      <c r="AE4" s="3724"/>
      <c r="AF4" s="3724"/>
      <c r="AG4" s="3724"/>
      <c r="AH4" s="3724"/>
      <c r="AI4" s="3724"/>
      <c r="AJ4" s="3725"/>
      <c r="AK4" s="1180" t="s">
        <v>445</v>
      </c>
      <c r="AM4" s="1546"/>
      <c r="AN4" s="1546" t="str">
        <f t="shared" si="0"/>
        <v xml:space="preserve">Наименование системы теплоснабжения </v>
      </c>
      <c r="AO4" s="1546"/>
      <c r="AP4" s="1546"/>
      <c r="AQ4" s="1553">
        <v>0</v>
      </c>
    </row>
    <row r="5" spans="1:43" ht="21" hidden="1" customHeight="1">
      <c r="A5" s="1189"/>
      <c r="B5" s="1189"/>
      <c r="C5" s="1189"/>
      <c r="D5" s="1189"/>
      <c r="E5" s="3762"/>
      <c r="F5" s="3762"/>
      <c r="G5" s="3762"/>
      <c r="H5" s="3761">
        <v>1</v>
      </c>
      <c r="I5" s="1189"/>
      <c r="J5" s="1189"/>
      <c r="K5" s="1189"/>
      <c r="L5" s="1232"/>
      <c r="M5" s="1532"/>
      <c r="N5" s="1532"/>
      <c r="O5" s="1532"/>
      <c r="P5" s="1334"/>
      <c r="Q5" s="1333"/>
      <c r="R5" s="287"/>
      <c r="S5" s="1844" t="e">
        <f>INDEX(PT_DIFFERENTIATION_NUM_IST_TE,MATCH(D5,PT_DIFFERENTIATION_IST_TE_ID,0))</f>
        <v>#N/A</v>
      </c>
      <c r="T5" s="245" t="s">
        <v>446</v>
      </c>
      <c r="U5" s="235"/>
      <c r="V5" s="3724"/>
      <c r="W5" s="3724"/>
      <c r="X5" s="3724"/>
      <c r="Y5" s="3724"/>
      <c r="Z5" s="3724"/>
      <c r="AA5" s="3725"/>
      <c r="AB5" s="1838"/>
      <c r="AC5" s="3724" t="e">
        <f>INDEX(PT_DIFFERENTIATION_IST_TE,MATCH(D5,PT_DIFFERENTIATION_IST_TE_ID,0))</f>
        <v>#N/A</v>
      </c>
      <c r="AD5" s="3724"/>
      <c r="AE5" s="3724"/>
      <c r="AF5" s="3724"/>
      <c r="AG5" s="3724"/>
      <c r="AH5" s="3724"/>
      <c r="AI5" s="3724"/>
      <c r="AJ5" s="3725"/>
      <c r="AK5" s="1180" t="s">
        <v>447</v>
      </c>
      <c r="AM5" s="1546"/>
      <c r="AN5" s="1546" t="str">
        <f t="shared" si="0"/>
        <v xml:space="preserve">Источник тепловой энергии  </v>
      </c>
      <c r="AO5" s="1546"/>
      <c r="AP5" s="1546"/>
      <c r="AQ5" s="1553">
        <v>0</v>
      </c>
    </row>
    <row r="6" spans="1:43" s="1564" customFormat="1" ht="0.75" hidden="1" customHeight="1">
      <c r="A6" s="1297"/>
      <c r="B6" s="1297"/>
      <c r="C6" s="1297"/>
      <c r="D6" s="1297"/>
      <c r="E6" s="3762"/>
      <c r="F6" s="3762"/>
      <c r="G6" s="3762"/>
      <c r="H6" s="3762"/>
      <c r="I6" s="3618" t="e">
        <f>S5&amp;".1"</f>
        <v>#N/A</v>
      </c>
      <c r="J6" s="1297"/>
      <c r="K6" s="1297"/>
      <c r="L6" s="1303" t="s">
        <v>448</v>
      </c>
      <c r="M6" s="1168"/>
      <c r="N6" s="1168"/>
      <c r="O6" s="1168"/>
      <c r="P6" s="3736">
        <v>1</v>
      </c>
      <c r="Q6" s="1840"/>
      <c r="R6" s="290"/>
      <c r="S6" s="968"/>
      <c r="T6" s="1305"/>
      <c r="U6" s="1306"/>
      <c r="V6" s="3767"/>
      <c r="W6" s="3767"/>
      <c r="X6" s="3767"/>
      <c r="Y6" s="3767"/>
      <c r="Z6" s="3767"/>
      <c r="AA6" s="3768"/>
      <c r="AB6" s="1846"/>
      <c r="AC6" s="3767"/>
      <c r="AD6" s="3767"/>
      <c r="AE6" s="3767"/>
      <c r="AF6" s="3767"/>
      <c r="AG6" s="3767"/>
      <c r="AH6" s="3767"/>
      <c r="AI6" s="3767"/>
      <c r="AJ6" s="3768"/>
      <c r="AK6" s="1307"/>
      <c r="AM6" s="1546"/>
      <c r="AN6" s="1546" t="str">
        <f t="shared" si="0"/>
        <v/>
      </c>
      <c r="AO6" s="1546"/>
      <c r="AP6" s="1546"/>
      <c r="AQ6" s="1558">
        <v>0</v>
      </c>
    </row>
    <row r="7" spans="1:43" s="1564" customFormat="1" ht="0.75" hidden="1" customHeight="1">
      <c r="A7" s="1297"/>
      <c r="B7" s="1297"/>
      <c r="C7" s="1297"/>
      <c r="D7" s="1297"/>
      <c r="E7" s="3762"/>
      <c r="F7" s="3762"/>
      <c r="G7" s="3762"/>
      <c r="H7" s="3762"/>
      <c r="I7" s="3589"/>
      <c r="J7" s="3618" t="e">
        <f>S5&amp;".1"</f>
        <v>#N/A</v>
      </c>
      <c r="K7" s="1297"/>
      <c r="L7" s="1303"/>
      <c r="M7" s="1168"/>
      <c r="N7" s="1168"/>
      <c r="O7" s="1168"/>
      <c r="P7" s="3736"/>
      <c r="Q7" s="3736">
        <v>1</v>
      </c>
      <c r="R7" s="291"/>
      <c r="S7" s="968"/>
      <c r="T7" s="1321"/>
      <c r="U7" s="1306"/>
      <c r="V7" s="3767"/>
      <c r="W7" s="3767"/>
      <c r="X7" s="3767"/>
      <c r="Y7" s="3767"/>
      <c r="Z7" s="3767"/>
      <c r="AA7" s="3768"/>
      <c r="AB7" s="1846"/>
      <c r="AC7" s="3767"/>
      <c r="AD7" s="3767"/>
      <c r="AE7" s="3767"/>
      <c r="AF7" s="3767"/>
      <c r="AG7" s="3767"/>
      <c r="AH7" s="3767"/>
      <c r="AI7" s="3767"/>
      <c r="AJ7" s="3768"/>
      <c r="AK7" s="1307"/>
      <c r="AM7" s="1546"/>
      <c r="AN7" s="1546" t="str">
        <f t="shared" si="0"/>
        <v/>
      </c>
      <c r="AO7" s="1546"/>
      <c r="AP7" s="1546"/>
      <c r="AQ7" s="1558">
        <v>0</v>
      </c>
    </row>
    <row r="8" spans="1:43" ht="21" hidden="1" customHeight="1">
      <c r="A8" s="1189"/>
      <c r="B8" s="1189"/>
      <c r="C8" s="1189"/>
      <c r="D8" s="1189"/>
      <c r="E8" s="3762"/>
      <c r="F8" s="3762"/>
      <c r="G8" s="3762"/>
      <c r="H8" s="3762"/>
      <c r="I8" s="3589"/>
      <c r="J8" s="3589"/>
      <c r="K8" s="1877" t="e">
        <f>S5&amp;".1"</f>
        <v>#N/A</v>
      </c>
      <c r="L8" s="1232"/>
      <c r="P8" s="3736"/>
      <c r="Q8" s="3736"/>
      <c r="R8" s="1881">
        <v>1</v>
      </c>
      <c r="S8" s="1879" t="e">
        <f>$K8</f>
        <v>#N/A</v>
      </c>
      <c r="T8" s="1880"/>
      <c r="U8" s="235"/>
      <c r="V8" s="685"/>
      <c r="W8" s="1179"/>
      <c r="X8" s="1878"/>
      <c r="Y8" s="1876" t="s">
        <v>50</v>
      </c>
      <c r="Z8" s="1878"/>
      <c r="AA8" s="1876" t="s">
        <v>50</v>
      </c>
      <c r="AB8" s="1882"/>
      <c r="AC8" s="1883" t="s">
        <v>9</v>
      </c>
      <c r="AD8" s="685"/>
      <c r="AE8" s="1179"/>
      <c r="AF8" s="1841"/>
      <c r="AG8" s="1828" t="s">
        <v>50</v>
      </c>
      <c r="AH8" s="1841"/>
      <c r="AI8" s="1828" t="s">
        <v>50</v>
      </c>
      <c r="AJ8" s="1270"/>
      <c r="AK8" s="3732" t="s">
        <v>505</v>
      </c>
      <c r="AL8" s="1558" t="e">
        <f ca="1">STRCHECKDATE(#REF!)</f>
        <v>#NAME?</v>
      </c>
      <c r="AM8" s="1546"/>
      <c r="AN8" s="1546" t="str">
        <f t="shared" si="0"/>
        <v/>
      </c>
      <c r="AO8" s="1546"/>
      <c r="AP8" s="1546"/>
      <c r="AQ8" s="1553">
        <v>0</v>
      </c>
    </row>
    <row r="9" spans="1:43" ht="11.25" hidden="1" customHeight="1">
      <c r="A9" s="1189"/>
      <c r="B9" s="1189"/>
      <c r="C9" s="1189"/>
      <c r="D9" s="1189"/>
      <c r="E9" s="3762"/>
      <c r="F9" s="3762"/>
      <c r="G9" s="3762"/>
      <c r="H9" s="3762"/>
      <c r="I9" s="3589"/>
      <c r="J9" s="3618"/>
      <c r="K9" s="1189"/>
      <c r="L9" s="1232"/>
      <c r="P9" s="3736"/>
      <c r="Q9" s="3736"/>
      <c r="R9" s="290"/>
      <c r="S9" s="1200"/>
      <c r="T9" s="222" t="s">
        <v>509</v>
      </c>
      <c r="U9" s="534"/>
      <c r="V9" s="534"/>
      <c r="W9" s="534"/>
      <c r="X9" s="534"/>
      <c r="Y9" s="534"/>
      <c r="Z9" s="534"/>
      <c r="AA9" s="534"/>
      <c r="AB9" s="534"/>
      <c r="AC9" s="534"/>
      <c r="AD9" s="534"/>
      <c r="AE9" s="534"/>
      <c r="AF9" s="534"/>
      <c r="AG9" s="534"/>
      <c r="AH9" s="534"/>
      <c r="AI9" s="534"/>
      <c r="AJ9" s="259"/>
      <c r="AK9" s="3734"/>
      <c r="AM9" s="1546"/>
      <c r="AN9" s="1546" t="str">
        <f t="shared" si="0"/>
        <v>Добавить строку</v>
      </c>
      <c r="AO9" s="1546"/>
      <c r="AP9" s="1546"/>
      <c r="AQ9" s="1553">
        <v>0</v>
      </c>
    </row>
    <row r="10" spans="1:43" s="1564" customFormat="1" ht="0.75" hidden="1" customHeight="1">
      <c r="A10" s="1297"/>
      <c r="B10" s="1297"/>
      <c r="C10" s="1297"/>
      <c r="D10" s="1297"/>
      <c r="E10" s="3762"/>
      <c r="F10" s="3762"/>
      <c r="G10" s="3762"/>
      <c r="H10" s="3762"/>
      <c r="I10" s="3618"/>
      <c r="J10" s="1297"/>
      <c r="K10" s="1297"/>
      <c r="L10" s="1303"/>
      <c r="M10" s="1168"/>
      <c r="N10" s="1168"/>
      <c r="O10" s="1168"/>
      <c r="P10" s="3736"/>
      <c r="Q10" s="1840"/>
      <c r="R10" s="290"/>
      <c r="S10" s="1308"/>
      <c r="T10" s="1309"/>
      <c r="U10" s="1310"/>
      <c r="V10" s="1310"/>
      <c r="W10" s="1310"/>
      <c r="X10" s="1310"/>
      <c r="Y10" s="1310"/>
      <c r="Z10" s="1310"/>
      <c r="AA10" s="1310"/>
      <c r="AB10" s="1310"/>
      <c r="AC10" s="1310"/>
      <c r="AD10" s="1310"/>
      <c r="AE10" s="1310"/>
      <c r="AF10" s="1310"/>
      <c r="AG10" s="1310"/>
      <c r="AH10" s="1310"/>
      <c r="AI10" s="1310"/>
      <c r="AJ10" s="1310"/>
      <c r="AK10" s="1311"/>
      <c r="AM10" s="1546"/>
      <c r="AN10" s="1546" t="str">
        <f t="shared" si="0"/>
        <v/>
      </c>
      <c r="AO10" s="1546"/>
      <c r="AP10" s="1546"/>
      <c r="AQ10" s="1558">
        <v>0</v>
      </c>
    </row>
    <row r="11" spans="1:43" s="1564" customFormat="1" ht="0.75" hidden="1" customHeight="1">
      <c r="A11" s="1297"/>
      <c r="B11" s="1297"/>
      <c r="C11" s="1297"/>
      <c r="D11" s="1297"/>
      <c r="E11" s="3762"/>
      <c r="F11" s="3762"/>
      <c r="G11" s="3762"/>
      <c r="H11" s="3761"/>
      <c r="I11" s="1297"/>
      <c r="J11" s="1297"/>
      <c r="K11" s="1297"/>
      <c r="L11" s="1303"/>
      <c r="M11" s="1300"/>
      <c r="N11" s="1300"/>
      <c r="O11" s="285"/>
      <c r="P11" s="314"/>
      <c r="Q11" s="1266"/>
      <c r="R11" s="1323"/>
      <c r="S11" s="1308"/>
      <c r="T11" s="1309"/>
      <c r="U11" s="1310"/>
      <c r="V11" s="1310"/>
      <c r="W11" s="1310"/>
      <c r="X11" s="1310"/>
      <c r="Y11" s="1310"/>
      <c r="Z11" s="1310"/>
      <c r="AA11" s="1310"/>
      <c r="AB11" s="1310"/>
      <c r="AC11" s="1310"/>
      <c r="AD11" s="1310"/>
      <c r="AE11" s="1310"/>
      <c r="AF11" s="1310"/>
      <c r="AG11" s="1310"/>
      <c r="AH11" s="1310"/>
      <c r="AI11" s="1310"/>
      <c r="AJ11" s="1310"/>
      <c r="AK11" s="1311"/>
      <c r="AM11" s="1546"/>
      <c r="AN11" s="1546" t="str">
        <f t="shared" si="0"/>
        <v/>
      </c>
      <c r="AO11" s="1546"/>
      <c r="AP11" s="1546"/>
      <c r="AQ11" s="1558">
        <v>0</v>
      </c>
    </row>
    <row r="12" spans="1:43" s="1564" customFormat="1" ht="0.75" hidden="1" customHeight="1">
      <c r="A12" s="1297"/>
      <c r="B12" s="1297"/>
      <c r="C12" s="1297"/>
      <c r="D12" s="1296"/>
      <c r="E12" s="3762"/>
      <c r="F12" s="3762"/>
      <c r="G12" s="3761"/>
      <c r="H12" s="1296"/>
      <c r="I12" s="1296"/>
      <c r="J12" s="1296"/>
      <c r="K12" s="1296"/>
      <c r="L12" s="1299"/>
      <c r="M12" s="1300"/>
      <c r="N12" s="1300"/>
      <c r="O12" s="285"/>
      <c r="P12" s="1238"/>
      <c r="Q12" s="1239"/>
      <c r="R12" s="1238"/>
      <c r="S12" s="1244"/>
      <c r="T12" s="1247" t="s">
        <v>459</v>
      </c>
      <c r="U12" s="1246"/>
      <c r="V12" s="1246"/>
      <c r="W12" s="1246"/>
      <c r="X12" s="1246"/>
      <c r="Y12" s="1246"/>
      <c r="Z12" s="1246"/>
      <c r="AA12" s="1246"/>
      <c r="AB12" s="1246"/>
      <c r="AC12" s="1246"/>
      <c r="AD12" s="1246"/>
      <c r="AE12" s="1246"/>
      <c r="AF12" s="1246"/>
      <c r="AG12" s="1246"/>
      <c r="AH12" s="1246"/>
      <c r="AI12" s="1246"/>
      <c r="AJ12" s="1246"/>
      <c r="AK12" s="1246"/>
      <c r="AM12" s="1173"/>
      <c r="AN12" s="1173" t="str">
        <f t="shared" si="0"/>
        <v>Добавить источник для дифференциации</v>
      </c>
      <c r="AO12" s="1173"/>
      <c r="AP12" s="1173"/>
      <c r="AQ12" s="1564">
        <v>0</v>
      </c>
    </row>
    <row r="13" spans="1:43" s="1564" customFormat="1" ht="0.75" hidden="1" customHeight="1">
      <c r="A13" s="1297"/>
      <c r="B13" s="1297"/>
      <c r="C13" s="1296"/>
      <c r="D13" s="1296"/>
      <c r="E13" s="3762"/>
      <c r="F13" s="3761"/>
      <c r="G13" s="1296"/>
      <c r="H13" s="1296"/>
      <c r="I13" s="1296"/>
      <c r="J13" s="1296"/>
      <c r="K13" s="1296"/>
      <c r="L13" s="1299"/>
      <c r="M13" s="1301"/>
      <c r="N13" s="1301"/>
      <c r="O13" s="285"/>
      <c r="P13" s="1238"/>
      <c r="Q13" s="1239"/>
      <c r="R13" s="1238"/>
      <c r="S13" s="1244"/>
      <c r="T13" s="1247" t="s">
        <v>460</v>
      </c>
      <c r="U13" s="1246"/>
      <c r="V13" s="1246"/>
      <c r="W13" s="1246"/>
      <c r="X13" s="1246"/>
      <c r="Y13" s="1246"/>
      <c r="Z13" s="1246"/>
      <c r="AA13" s="1246"/>
      <c r="AB13" s="1246"/>
      <c r="AC13" s="1246"/>
      <c r="AD13" s="1246"/>
      <c r="AE13" s="1246"/>
      <c r="AF13" s="1246"/>
      <c r="AG13" s="1246"/>
      <c r="AH13" s="1246"/>
      <c r="AI13" s="1246"/>
      <c r="AJ13" s="1246"/>
      <c r="AK13" s="1246"/>
      <c r="AM13" s="1173"/>
      <c r="AN13" s="1173" t="str">
        <f t="shared" si="0"/>
        <v>Добавить централизованную систему для дифференциации</v>
      </c>
      <c r="AO13" s="1173"/>
      <c r="AP13" s="1173"/>
      <c r="AQ13" s="1564">
        <v>0</v>
      </c>
    </row>
    <row r="14" spans="1:43" s="1564" customFormat="1" ht="0.75" hidden="1" customHeight="1">
      <c r="A14" s="1297"/>
      <c r="B14" s="1297"/>
      <c r="C14" s="1297"/>
      <c r="D14" s="1297"/>
      <c r="E14" s="3761"/>
      <c r="F14" s="1297"/>
      <c r="G14" s="1297"/>
      <c r="H14" s="1297"/>
      <c r="I14" s="1297"/>
      <c r="J14" s="1297"/>
      <c r="K14" s="1297"/>
      <c r="L14" s="1303"/>
      <c r="M14" s="1301"/>
      <c r="N14" s="1301"/>
      <c r="O14" s="285"/>
      <c r="P14" s="314"/>
      <c r="Q14" s="1266"/>
      <c r="R14" s="314"/>
      <c r="S14" s="1244"/>
      <c r="T14" s="1247" t="s">
        <v>461</v>
      </c>
      <c r="U14" s="1246"/>
      <c r="V14" s="1246"/>
      <c r="W14" s="1246"/>
      <c r="X14" s="1246"/>
      <c r="Y14" s="1246"/>
      <c r="Z14" s="1246"/>
      <c r="AA14" s="1246"/>
      <c r="AB14" s="1246"/>
      <c r="AC14" s="1246"/>
      <c r="AD14" s="1246"/>
      <c r="AE14" s="1246"/>
      <c r="AF14" s="1246"/>
      <c r="AG14" s="1246"/>
      <c r="AH14" s="1246"/>
      <c r="AI14" s="1246"/>
      <c r="AJ14" s="1246"/>
      <c r="AK14" s="1246"/>
      <c r="AM14" s="1546"/>
      <c r="AN14" s="1546" t="str">
        <f t="shared" si="0"/>
        <v>Добавить территорию для дифференциации</v>
      </c>
      <c r="AO14" s="1546"/>
      <c r="AP14" s="1546"/>
      <c r="AQ14" s="1558">
        <v>0</v>
      </c>
    </row>
    <row r="15" spans="1:43" ht="14.25" hidden="1" customHeight="1">
      <c r="AQ15" s="1553">
        <v>0</v>
      </c>
    </row>
    <row r="16" spans="1:43" ht="14.25" hidden="1" customHeight="1">
      <c r="AC16" s="1424"/>
      <c r="AD16" s="1325"/>
      <c r="AE16" s="1326"/>
      <c r="AF16" s="1629"/>
      <c r="AG16" s="1852" t="s">
        <v>50</v>
      </c>
      <c r="AH16" s="1629"/>
      <c r="AI16" s="1852" t="s">
        <v>50</v>
      </c>
      <c r="AQ16" s="1553">
        <v>0</v>
      </c>
    </row>
    <row r="17" spans="1:43" ht="14.25" hidden="1" customHeight="1">
      <c r="AL17" s="1563"/>
      <c r="AM17" s="1563"/>
      <c r="AN17" s="1563"/>
      <c r="AO17" s="1563"/>
      <c r="AP17" s="1563"/>
      <c r="AQ17" s="1553">
        <v>0</v>
      </c>
    </row>
    <row r="18" spans="1:43" ht="14.25" hidden="1" customHeight="1">
      <c r="O18" s="1267" t="s">
        <v>462</v>
      </c>
      <c r="X18" s="1267"/>
      <c r="Z18" s="1267"/>
      <c r="AF18" s="1267"/>
      <c r="AH18" s="1267"/>
      <c r="AL18" s="1563"/>
      <c r="AM18" s="1563"/>
      <c r="AN18" s="1563"/>
      <c r="AO18" s="1563"/>
      <c r="AP18" s="1563"/>
      <c r="AQ18" s="1553">
        <v>0</v>
      </c>
    </row>
    <row r="19" spans="1:43" ht="14.25" hidden="1" customHeight="1">
      <c r="AL19" s="1563"/>
      <c r="AM19" s="1563"/>
      <c r="AN19" s="1563"/>
      <c r="AO19" s="1563"/>
      <c r="AP19" s="1563"/>
      <c r="AQ19" s="1553">
        <v>0</v>
      </c>
    </row>
    <row r="20" spans="1:43" s="1431" customFormat="1" ht="14.25" hidden="1" customHeight="1">
      <c r="A20" s="1857"/>
      <c r="B20" s="1857"/>
      <c r="C20" s="1857"/>
      <c r="D20" s="1857"/>
      <c r="E20" s="1857"/>
      <c r="F20" s="1857"/>
      <c r="G20" s="1857"/>
      <c r="H20" s="1857"/>
      <c r="I20" s="1857"/>
      <c r="J20" s="1857"/>
      <c r="K20" s="1857"/>
      <c r="L20" s="1857"/>
      <c r="M20" s="1858"/>
      <c r="N20" s="1858"/>
      <c r="O20" s="1859" t="s">
        <v>463</v>
      </c>
      <c r="P20" s="1430"/>
      <c r="Q20" s="1432"/>
      <c r="R20" s="1432"/>
      <c r="Y20" s="1429" t="s">
        <v>465</v>
      </c>
      <c r="AA20" s="1429" t="s">
        <v>466</v>
      </c>
      <c r="AC20" s="1429" t="s">
        <v>511</v>
      </c>
      <c r="AG20" s="1429" t="s">
        <v>465</v>
      </c>
      <c r="AI20" s="1429" t="s">
        <v>466</v>
      </c>
      <c r="AL20" s="1433"/>
      <c r="AM20" s="1433"/>
      <c r="AN20" s="1433"/>
      <c r="AO20" s="1433"/>
      <c r="AP20" s="1433"/>
      <c r="AQ20" s="1429">
        <v>0</v>
      </c>
    </row>
    <row r="21" spans="1:43" ht="14.25" hidden="1" customHeight="1">
      <c r="O21" s="1232"/>
      <c r="AL21" s="1563"/>
      <c r="AM21" s="1563"/>
      <c r="AN21" s="1563"/>
      <c r="AO21" s="1563"/>
      <c r="AP21" s="1563"/>
      <c r="AQ21" s="1553">
        <v>0</v>
      </c>
    </row>
    <row r="22" spans="1:43" ht="14.25" hidden="1" customHeight="1">
      <c r="O22" s="1232"/>
      <c r="AL22" s="1563"/>
      <c r="AM22" s="1563"/>
      <c r="AN22" s="1563"/>
      <c r="AO22" s="1563"/>
      <c r="AP22" s="1563"/>
      <c r="AQ22" s="1553">
        <v>0</v>
      </c>
    </row>
    <row r="23" spans="1:43" ht="14.65" customHeight="1">
      <c r="Q23" s="226"/>
      <c r="R23" s="310"/>
      <c r="S23" s="1197"/>
      <c r="T23" s="391"/>
      <c r="U23" s="391"/>
      <c r="AQ23" s="1553">
        <v>14</v>
      </c>
    </row>
    <row r="24" spans="1:43" ht="39.75" customHeight="1">
      <c r="Q24" s="226"/>
      <c r="R24" s="310"/>
      <c r="S24" s="37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721"/>
      <c r="U24" s="3721"/>
      <c r="V24" s="3721"/>
      <c r="W24" s="3721"/>
      <c r="X24" s="3721"/>
      <c r="Y24" s="3721"/>
      <c r="Z24" s="3721"/>
      <c r="AA24" s="3721"/>
      <c r="AB24" s="3721"/>
      <c r="AC24" s="3721"/>
      <c r="AD24" s="3721"/>
      <c r="AE24" s="3721"/>
      <c r="AF24" s="3721"/>
      <c r="AG24" s="3721"/>
      <c r="AH24" s="3721"/>
      <c r="AI24" s="1165"/>
      <c r="AQ24" s="1553">
        <v>38</v>
      </c>
    </row>
    <row r="25" spans="1:43" ht="14.65" customHeight="1">
      <c r="Q25" s="226"/>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1165"/>
      <c r="AQ25" s="1553">
        <v>14</v>
      </c>
    </row>
    <row r="26" spans="1:43" ht="14.25" hidden="1" customHeight="1">
      <c r="Q26" s="226"/>
      <c r="R26" s="310"/>
      <c r="S26" s="1197"/>
      <c r="T26" s="391"/>
      <c r="U26" s="391"/>
      <c r="V26" s="257"/>
      <c r="W26" s="257"/>
      <c r="X26" s="257"/>
      <c r="Y26" s="257"/>
      <c r="Z26" s="257"/>
      <c r="AA26" s="257"/>
      <c r="AB26" s="257"/>
      <c r="AC26" s="257"/>
      <c r="AD26" s="257"/>
      <c r="AE26" s="257"/>
      <c r="AF26" s="257"/>
      <c r="AG26" s="257"/>
      <c r="AH26" s="257"/>
      <c r="AI26" s="257"/>
      <c r="AQ26" s="1553">
        <v>0</v>
      </c>
    </row>
    <row r="27" spans="1:43" s="1742" customFormat="1" ht="25.5" hidden="1" customHeight="1">
      <c r="A27" s="1170"/>
      <c r="B27" s="1170"/>
      <c r="C27" s="1170"/>
      <c r="D27" s="1170"/>
      <c r="E27" s="1170"/>
      <c r="F27" s="1170"/>
      <c r="G27" s="1170"/>
      <c r="H27" s="1170"/>
      <c r="I27" s="1170"/>
      <c r="J27" s="1170"/>
      <c r="K27" s="1170"/>
      <c r="L27" s="1302"/>
      <c r="M27" s="1170"/>
      <c r="N27" s="1170"/>
      <c r="O27" s="1170"/>
      <c r="P27" s="1290"/>
      <c r="Q27" s="1290"/>
      <c r="S27" s="380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805"/>
      <c r="U27" s="1294"/>
      <c r="V27" s="3730" t="str">
        <f>IF(TITLE_NAME_OR_PR_CHANGE="",IF(TITLE_NAME_OR_PR="","",TITLE_NAME_OR_PR),TITLE_NAME_OR_PR_CHANGE)</f>
        <v/>
      </c>
      <c r="W27" s="3730"/>
      <c r="X27" s="3730"/>
      <c r="Y27" s="3730"/>
      <c r="Z27" s="3730"/>
      <c r="AA27" s="1557"/>
      <c r="AB27" s="1557"/>
      <c r="AC27" s="3730"/>
      <c r="AD27" s="3730"/>
      <c r="AE27" s="3730"/>
      <c r="AF27" s="3730"/>
      <c r="AG27" s="3730"/>
      <c r="AH27" s="3730"/>
      <c r="AI27" s="1557"/>
      <c r="AJ27" s="1557"/>
      <c r="AK27" s="215"/>
      <c r="AL27" s="302"/>
      <c r="AM27" s="302"/>
      <c r="AN27" s="302"/>
      <c r="AO27" s="302"/>
      <c r="AP27" s="302"/>
      <c r="AQ27" s="352">
        <v>0</v>
      </c>
    </row>
    <row r="28" spans="1:43" s="1742" customFormat="1" ht="18.75" hidden="1" customHeight="1">
      <c r="A28" s="1170"/>
      <c r="B28" s="1170"/>
      <c r="C28" s="1170"/>
      <c r="D28" s="1170"/>
      <c r="E28" s="1170"/>
      <c r="F28" s="1170"/>
      <c r="G28" s="1170"/>
      <c r="H28" s="1170"/>
      <c r="I28" s="1170"/>
      <c r="J28" s="1170"/>
      <c r="K28" s="1170"/>
      <c r="L28" s="1302"/>
      <c r="M28" s="1170"/>
      <c r="N28" s="1170"/>
      <c r="O28" s="1170"/>
      <c r="P28" s="1290"/>
      <c r="Q28" s="1290"/>
      <c r="S28" s="3804" t="str">
        <f>"Дата документа об "&amp;IF(TITLE_DATE_PR_CHANGE="","утверждении","изменении")&amp;" тарифов"</f>
        <v>Дата документа об утверждении тарифов</v>
      </c>
      <c r="T28" s="3805"/>
      <c r="U28" s="1294"/>
      <c r="V28" s="3739" t="str">
        <f>IF(TITLE_DATE_PR_CHANGE="",IF(TITLE_DATE_PR="","",TITLE_DATE_PR),TITLE_DATE_PR_CHANGE)</f>
        <v/>
      </c>
      <c r="W28" s="3739"/>
      <c r="X28" s="3739"/>
      <c r="Y28" s="3739"/>
      <c r="Z28" s="3739"/>
      <c r="AA28" s="1557"/>
      <c r="AB28" s="1557"/>
      <c r="AC28" s="3739"/>
      <c r="AD28" s="3739"/>
      <c r="AE28" s="3739"/>
      <c r="AF28" s="3739"/>
      <c r="AG28" s="3739"/>
      <c r="AH28" s="3739"/>
      <c r="AI28" s="1557"/>
      <c r="AJ28" s="1557"/>
      <c r="AK28" s="215"/>
      <c r="AL28" s="302"/>
      <c r="AM28" s="302"/>
      <c r="AN28" s="302"/>
      <c r="AO28" s="302"/>
      <c r="AP28" s="302"/>
      <c r="AQ28" s="352">
        <v>0</v>
      </c>
    </row>
    <row r="29" spans="1:43" s="1742" customFormat="1" ht="18.75" hidden="1" customHeight="1">
      <c r="A29" s="1170"/>
      <c r="B29" s="1170"/>
      <c r="C29" s="1170"/>
      <c r="D29" s="1170"/>
      <c r="E29" s="1170"/>
      <c r="F29" s="1170"/>
      <c r="G29" s="1170"/>
      <c r="H29" s="1170"/>
      <c r="I29" s="1170"/>
      <c r="J29" s="1170"/>
      <c r="K29" s="1170"/>
      <c r="L29" s="1302"/>
      <c r="M29" s="1170"/>
      <c r="N29" s="1170"/>
      <c r="O29" s="1170"/>
      <c r="P29" s="1290"/>
      <c r="Q29" s="1290"/>
      <c r="S29" s="3804" t="str">
        <f>"Номер документа об "&amp;IF(TITLE_DATE_PR_CHANGE="","утверждении","изменении")&amp;" тарифов"</f>
        <v>Номер документа об утверждении тарифов</v>
      </c>
      <c r="T29" s="3805"/>
      <c r="U29" s="1294"/>
      <c r="V29" s="3730" t="str">
        <f>IF(TITLE_NUMBER_PR_CHANGE="",IF(TITLE_NUMBER_PR="","",TITLE_NUMBER_PR),TITLE_NUMBER_PR_CHANGE)</f>
        <v/>
      </c>
      <c r="W29" s="3730"/>
      <c r="X29" s="3730"/>
      <c r="Y29" s="3730"/>
      <c r="Z29" s="3730"/>
      <c r="AA29" s="1557"/>
      <c r="AB29" s="1557"/>
      <c r="AC29" s="3730"/>
      <c r="AD29" s="3730"/>
      <c r="AE29" s="3730"/>
      <c r="AF29" s="3730"/>
      <c r="AG29" s="3730"/>
      <c r="AH29" s="3730"/>
      <c r="AI29" s="1557"/>
      <c r="AJ29" s="1557"/>
      <c r="AK29" s="215"/>
      <c r="AL29" s="302"/>
      <c r="AM29" s="302"/>
      <c r="AN29" s="302"/>
      <c r="AO29" s="302"/>
      <c r="AP29" s="302"/>
      <c r="AQ29" s="352">
        <v>0</v>
      </c>
    </row>
    <row r="30" spans="1:43" s="1742" customFormat="1" ht="18.75" hidden="1" customHeight="1">
      <c r="A30" s="1170"/>
      <c r="B30" s="1170"/>
      <c r="C30" s="1170"/>
      <c r="D30" s="1170"/>
      <c r="E30" s="1170"/>
      <c r="F30" s="1170"/>
      <c r="G30" s="1170"/>
      <c r="H30" s="1170"/>
      <c r="I30" s="1170"/>
      <c r="J30" s="1170"/>
      <c r="K30" s="1170"/>
      <c r="L30" s="1302"/>
      <c r="M30" s="1170"/>
      <c r="N30" s="1170"/>
      <c r="O30" s="1170"/>
      <c r="P30" s="1290"/>
      <c r="Q30" s="1290"/>
      <c r="S30" s="3804" t="s">
        <v>30</v>
      </c>
      <c r="T30" s="3805"/>
      <c r="U30" s="1294"/>
      <c r="V30" s="3730" t="str">
        <f>IF(TITLE_IST_PUB_CHANGE="",IF(TITLE_IST_PUB="","",TITLE_IST_PUB),TITLE_IST_PUB_CHANGE)</f>
        <v/>
      </c>
      <c r="W30" s="3730"/>
      <c r="X30" s="3730"/>
      <c r="Y30" s="3730"/>
      <c r="Z30" s="3730"/>
      <c r="AA30" s="1557"/>
      <c r="AB30" s="1557"/>
      <c r="AC30" s="3730"/>
      <c r="AD30" s="3730"/>
      <c r="AE30" s="3730"/>
      <c r="AF30" s="3730"/>
      <c r="AG30" s="3730"/>
      <c r="AH30" s="3730"/>
      <c r="AI30" s="1557"/>
      <c r="AJ30" s="1557"/>
      <c r="AK30" s="215"/>
      <c r="AL30" s="302"/>
      <c r="AM30" s="302"/>
      <c r="AN30" s="302"/>
      <c r="AO30" s="302"/>
      <c r="AP30" s="302"/>
      <c r="AQ30" s="352">
        <v>0</v>
      </c>
    </row>
    <row r="31" spans="1:43" ht="14.25" hidden="1" customHeight="1">
      <c r="Q31" s="226"/>
      <c r="R31" s="310"/>
      <c r="S31" s="1197"/>
      <c r="T31" s="391"/>
      <c r="U31" s="391"/>
      <c r="V31" s="257"/>
      <c r="W31" s="257"/>
      <c r="X31" s="257"/>
      <c r="Y31" s="257"/>
      <c r="Z31" s="257"/>
      <c r="AA31" s="257"/>
      <c r="AB31" s="257"/>
      <c r="AC31" s="257"/>
      <c r="AD31" s="257"/>
      <c r="AE31" s="257"/>
      <c r="AF31" s="257"/>
      <c r="AG31" s="257"/>
      <c r="AH31" s="257"/>
      <c r="AI31" s="257"/>
      <c r="AQ31" s="1553">
        <v>0</v>
      </c>
    </row>
    <row r="32" spans="1:43" s="1742" customFormat="1" ht="18.75" hidden="1" customHeight="1">
      <c r="A32" s="1170"/>
      <c r="B32" s="1170"/>
      <c r="C32" s="1170"/>
      <c r="D32" s="1170"/>
      <c r="E32" s="1170"/>
      <c r="F32" s="1170"/>
      <c r="G32" s="1170"/>
      <c r="H32" s="1170"/>
      <c r="I32" s="1170"/>
      <c r="J32" s="1170"/>
      <c r="K32" s="1170"/>
      <c r="L32" s="1302"/>
      <c r="M32" s="1170"/>
      <c r="N32" s="1170"/>
      <c r="O32" s="1170"/>
      <c r="P32" s="1290"/>
      <c r="Q32" s="1290"/>
      <c r="S32" s="3804" t="str">
        <f>"Дата подачи заявления об "&amp;IF(TITLE_DATE_PR_CHANGE="","утверждении","изменении")&amp;" тарифов"</f>
        <v>Дата подачи заявления об утверждении тарифов</v>
      </c>
      <c r="T32" s="3805"/>
      <c r="U32" s="1294"/>
      <c r="V32" s="3739" t="str">
        <f>IF(TITLE_DATE_PR_CHANGE="",IF(TITLE_DATE_PR="","",TITLE_DATE_PR),TITLE_DATE_PR_CHANGE)</f>
        <v/>
      </c>
      <c r="W32" s="3739"/>
      <c r="X32" s="3739"/>
      <c r="Y32" s="3739"/>
      <c r="Z32" s="3739"/>
      <c r="AA32" s="1557"/>
      <c r="AB32" s="1557"/>
      <c r="AC32" s="3739"/>
      <c r="AD32" s="3739"/>
      <c r="AE32" s="3739"/>
      <c r="AF32" s="3739"/>
      <c r="AG32" s="3739"/>
      <c r="AH32" s="3739"/>
      <c r="AI32" s="1557"/>
      <c r="AJ32" s="1557"/>
      <c r="AK32" s="215"/>
      <c r="AL32" s="302"/>
      <c r="AM32" s="302"/>
      <c r="AN32" s="302"/>
      <c r="AO32" s="302"/>
      <c r="AP32" s="302"/>
      <c r="AQ32" s="352">
        <v>0</v>
      </c>
    </row>
    <row r="33" spans="1:43" s="1742" customFormat="1" ht="18" hidden="1" customHeight="1">
      <c r="A33" s="1170"/>
      <c r="B33" s="1170"/>
      <c r="C33" s="1170"/>
      <c r="D33" s="1170"/>
      <c r="E33" s="1170"/>
      <c r="F33" s="1170"/>
      <c r="G33" s="1170"/>
      <c r="H33" s="1170"/>
      <c r="I33" s="1170"/>
      <c r="J33" s="1170"/>
      <c r="K33" s="1170"/>
      <c r="L33" s="1302"/>
      <c r="M33" s="1170"/>
      <c r="N33" s="1170"/>
      <c r="O33" s="1170"/>
      <c r="P33" s="1290"/>
      <c r="Q33" s="1290"/>
      <c r="S33" s="3804" t="str">
        <f>"Номер подачи заявления об "&amp;IF(TITLE_DATE_PR_CHANGE="","утверждении","изменении")&amp;" тарифов"</f>
        <v>Номер подачи заявления об утверждении тарифов</v>
      </c>
      <c r="T33" s="3805"/>
      <c r="U33" s="1294"/>
      <c r="V33" s="3730" t="str">
        <f>IF(TITLE_NUMBER_PR_CHANGE="",IF(TITLE_NUMBER_PR="","",TITLE_NUMBER_PR),TITLE_NUMBER_PR_CHANGE)</f>
        <v/>
      </c>
      <c r="W33" s="3730"/>
      <c r="X33" s="3730"/>
      <c r="Y33" s="3730"/>
      <c r="Z33" s="3730"/>
      <c r="AA33" s="1557"/>
      <c r="AB33" s="1557"/>
      <c r="AC33" s="3730"/>
      <c r="AD33" s="3730"/>
      <c r="AE33" s="3730"/>
      <c r="AF33" s="3730"/>
      <c r="AG33" s="3730"/>
      <c r="AH33" s="3730"/>
      <c r="AI33" s="1557"/>
      <c r="AJ33" s="1557"/>
      <c r="AK33" s="215"/>
      <c r="AL33" s="302"/>
      <c r="AM33" s="302"/>
      <c r="AN33" s="302"/>
      <c r="AO33" s="302"/>
      <c r="AP33" s="302"/>
      <c r="AQ33" s="352">
        <v>0</v>
      </c>
    </row>
    <row r="34" spans="1:43" s="1742" customFormat="1" ht="1.1499999999999999" customHeight="1">
      <c r="A34" s="1170"/>
      <c r="B34" s="1170"/>
      <c r="C34" s="1170"/>
      <c r="D34" s="1170"/>
      <c r="E34" s="1170"/>
      <c r="F34" s="1170"/>
      <c r="G34" s="1170"/>
      <c r="H34" s="1170"/>
      <c r="I34" s="1170"/>
      <c r="J34" s="1170"/>
      <c r="K34" s="1170"/>
      <c r="L34" s="1302"/>
      <c r="M34" s="1170"/>
      <c r="N34" s="1170"/>
      <c r="O34" s="1170"/>
      <c r="P34" s="1290"/>
      <c r="Q34" s="1290"/>
      <c r="S34" s="1557"/>
      <c r="T34" s="1557"/>
      <c r="U34" s="1856"/>
      <c r="V34" s="1557"/>
      <c r="W34" s="1557"/>
      <c r="X34" s="1557"/>
      <c r="Y34" s="1557"/>
      <c r="Z34" s="1557"/>
      <c r="AA34" s="1564" t="s">
        <v>468</v>
      </c>
      <c r="AB34" s="1564"/>
      <c r="AC34" s="1557"/>
      <c r="AD34" s="1557"/>
      <c r="AE34" s="1557"/>
      <c r="AF34" s="1557"/>
      <c r="AG34" s="1557"/>
      <c r="AH34" s="1557"/>
      <c r="AI34" s="1564" t="s">
        <v>468</v>
      </c>
      <c r="AL34" s="302"/>
      <c r="AM34" s="302"/>
      <c r="AN34" s="302"/>
      <c r="AO34" s="302"/>
      <c r="AP34" s="302"/>
      <c r="AQ34" s="352">
        <v>1</v>
      </c>
    </row>
    <row r="35" spans="1:43" ht="14.65" customHeight="1">
      <c r="Q35" s="226"/>
      <c r="R35" s="310"/>
      <c r="S35" s="1197"/>
      <c r="T35" s="391"/>
      <c r="U35" s="1166"/>
      <c r="V35" s="3731"/>
      <c r="W35" s="3731"/>
      <c r="X35" s="3731"/>
      <c r="Y35" s="3731"/>
      <c r="Z35" s="3731"/>
      <c r="AA35" s="3731"/>
      <c r="AB35" s="1843"/>
      <c r="AC35" s="3731"/>
      <c r="AD35" s="3731"/>
      <c r="AE35" s="3731"/>
      <c r="AF35" s="3731"/>
      <c r="AG35" s="3731"/>
      <c r="AH35" s="3731"/>
      <c r="AI35" s="3731"/>
      <c r="AQ35" s="1553">
        <v>14</v>
      </c>
    </row>
    <row r="36" spans="1:43" ht="14.65" customHeight="1">
      <c r="Q36" s="226"/>
      <c r="R36" s="310"/>
      <c r="S36" s="3618" t="s">
        <v>345</v>
      </c>
      <c r="T36" s="3618"/>
      <c r="U36" s="3618"/>
      <c r="V36" s="3618"/>
      <c r="W36" s="3618"/>
      <c r="X36" s="3618"/>
      <c r="Y36" s="3618"/>
      <c r="Z36" s="3618"/>
      <c r="AA36" s="3666"/>
      <c r="AB36" s="3666"/>
      <c r="AC36" s="3666"/>
      <c r="AD36" s="3618"/>
      <c r="AE36" s="3618"/>
      <c r="AF36" s="3618"/>
      <c r="AG36" s="3618"/>
      <c r="AH36" s="3618"/>
      <c r="AI36" s="3618"/>
      <c r="AJ36" s="3618"/>
      <c r="AK36" s="3618" t="s">
        <v>346</v>
      </c>
      <c r="AQ36" s="1553">
        <v>14</v>
      </c>
    </row>
    <row r="37" spans="1:43" ht="14.65" customHeight="1">
      <c r="Q37" s="226"/>
      <c r="R37" s="310"/>
      <c r="S37" s="3745" t="s">
        <v>76</v>
      </c>
      <c r="T37" s="3697" t="s">
        <v>522</v>
      </c>
      <c r="U37" s="272"/>
      <c r="V37" s="3747"/>
      <c r="W37" s="3747"/>
      <c r="X37" s="3747"/>
      <c r="Y37" s="3747"/>
      <c r="Z37" s="3747"/>
      <c r="AA37" s="3697" t="s">
        <v>471</v>
      </c>
      <c r="AB37" s="3696" t="s">
        <v>523</v>
      </c>
      <c r="AC37" s="3696" t="s">
        <v>515</v>
      </c>
      <c r="AD37" s="3763" t="s">
        <v>470</v>
      </c>
      <c r="AE37" s="3763"/>
      <c r="AF37" s="3747"/>
      <c r="AG37" s="3747"/>
      <c r="AH37" s="3748"/>
      <c r="AI37" s="3749" t="s">
        <v>471</v>
      </c>
      <c r="AJ37" s="3752" t="s">
        <v>473</v>
      </c>
      <c r="AK37" s="3618"/>
      <c r="AQ37" s="1553">
        <v>14</v>
      </c>
    </row>
    <row r="38" spans="1:43" ht="35.65" customHeight="1">
      <c r="Q38" s="226"/>
      <c r="R38" s="310"/>
      <c r="S38" s="3745"/>
      <c r="T38" s="3697"/>
      <c r="U38" s="957"/>
      <c r="V38" s="3588" t="s">
        <v>518</v>
      </c>
      <c r="W38" s="3618"/>
      <c r="X38" s="3683" t="s">
        <v>477</v>
      </c>
      <c r="Y38" s="3777"/>
      <c r="Z38" s="3777"/>
      <c r="AA38" s="3697"/>
      <c r="AB38" s="3696"/>
      <c r="AC38" s="3696"/>
      <c r="AD38" s="3588" t="s">
        <v>518</v>
      </c>
      <c r="AE38" s="3618"/>
      <c r="AF38" s="3777" t="s">
        <v>477</v>
      </c>
      <c r="AG38" s="3777"/>
      <c r="AH38" s="3684"/>
      <c r="AI38" s="3750"/>
      <c r="AJ38" s="3753"/>
      <c r="AK38" s="3618"/>
      <c r="AQ38" s="1553">
        <v>34</v>
      </c>
    </row>
    <row r="39" spans="1:43" ht="14.65" customHeight="1">
      <c r="Q39" s="226"/>
      <c r="R39" s="310"/>
      <c r="S39" s="3745"/>
      <c r="T39" s="3697"/>
      <c r="U39" s="957"/>
      <c r="V39" s="3794" t="str">
        <f>IF($AD$39&lt;&gt;"",$AD$39,"")</f>
        <v/>
      </c>
      <c r="W39" s="3794"/>
      <c r="X39" s="3688"/>
      <c r="Y39" s="3778"/>
      <c r="Z39" s="3778"/>
      <c r="AA39" s="3697"/>
      <c r="AB39" s="3696"/>
      <c r="AC39" s="3696"/>
      <c r="AD39" s="3803"/>
      <c r="AE39" s="3793"/>
      <c r="AF39" s="3778"/>
      <c r="AG39" s="3778"/>
      <c r="AH39" s="3689"/>
      <c r="AI39" s="3750"/>
      <c r="AJ39" s="3753"/>
      <c r="AK39" s="3618"/>
      <c r="AQ39" s="1553">
        <v>14</v>
      </c>
    </row>
    <row r="40" spans="1:43" ht="14.65" customHeight="1">
      <c r="A40" s="1188"/>
      <c r="B40" s="1188" t="s">
        <v>188</v>
      </c>
      <c r="C40" s="1188" t="s">
        <v>189</v>
      </c>
      <c r="D40" s="1188" t="s">
        <v>190</v>
      </c>
      <c r="E40" s="1232" t="s">
        <v>478</v>
      </c>
      <c r="F40" s="1232" t="s">
        <v>479</v>
      </c>
      <c r="G40" s="1232" t="s">
        <v>480</v>
      </c>
      <c r="H40" s="1232" t="s">
        <v>481</v>
      </c>
      <c r="I40" s="1232" t="s">
        <v>482</v>
      </c>
      <c r="J40" s="1232" t="s">
        <v>483</v>
      </c>
      <c r="K40" s="1232" t="s">
        <v>484</v>
      </c>
      <c r="L40" s="1232" t="s">
        <v>463</v>
      </c>
      <c r="Q40" s="226"/>
      <c r="R40" s="310"/>
      <c r="S40" s="3745"/>
      <c r="T40" s="3697"/>
      <c r="U40" s="237"/>
      <c r="V40" s="1836" t="s">
        <v>519</v>
      </c>
      <c r="W40" s="1836" t="s">
        <v>520</v>
      </c>
      <c r="X40" s="1824" t="s">
        <v>487</v>
      </c>
      <c r="Y40" s="3705" t="s">
        <v>488</v>
      </c>
      <c r="Z40" s="3706"/>
      <c r="AA40" s="3697"/>
      <c r="AB40" s="3696"/>
      <c r="AC40" s="3696"/>
      <c r="AD40" s="1854" t="s">
        <v>519</v>
      </c>
      <c r="AE40" s="1845" t="s">
        <v>520</v>
      </c>
      <c r="AF40" s="1824" t="s">
        <v>487</v>
      </c>
      <c r="AG40" s="3705" t="s">
        <v>488</v>
      </c>
      <c r="AH40" s="3707"/>
      <c r="AI40" s="3751"/>
      <c r="AJ40" s="3754"/>
      <c r="AK40" s="3618"/>
      <c r="AQ40" s="1553">
        <v>14</v>
      </c>
    </row>
    <row r="41" spans="1:43" s="1563" customFormat="1" ht="11.25" hidden="1" customHeight="1">
      <c r="A41" s="1188"/>
      <c r="B41" s="1188"/>
      <c r="C41" s="1188"/>
      <c r="D41" s="1188"/>
      <c r="E41" s="1188"/>
      <c r="F41" s="1188"/>
      <c r="G41" s="1188"/>
      <c r="H41" s="1188"/>
      <c r="I41" s="1188"/>
      <c r="J41" s="1188"/>
      <c r="K41" s="1188"/>
      <c r="L41" s="1232"/>
      <c r="M41" s="1851"/>
      <c r="N41" s="1851"/>
      <c r="O41" s="1851"/>
      <c r="P41" s="444"/>
      <c r="Q41" s="1176"/>
      <c r="R41" s="1176">
        <v>1</v>
      </c>
      <c r="S41" s="1199" t="s">
        <v>164</v>
      </c>
      <c r="T41" s="1177" t="s">
        <v>89</v>
      </c>
      <c r="U41" s="1167" t="str">
        <f ca="1">OFFSET(U41,0,-1)</f>
        <v>2</v>
      </c>
      <c r="V41" s="1842">
        <f ca="1">OFFSET(V41,0,-1)+1</f>
        <v>3</v>
      </c>
      <c r="W41" s="1842">
        <f ca="1">OFFSET(W41,0,-1)+1</f>
        <v>4</v>
      </c>
      <c r="X41" s="1842">
        <f ca="1">OFFSET(X41,0,-1)+1</f>
        <v>5</v>
      </c>
      <c r="Y41" s="3744">
        <f ca="1">OFFSET(Y41,0,-1)+1</f>
        <v>6</v>
      </c>
      <c r="Z41" s="3744"/>
      <c r="AA41" s="1263">
        <f ca="1">OFFSET(AA41,0,-2)+1</f>
        <v>7</v>
      </c>
      <c r="AB41" s="1263"/>
      <c r="AC41" s="1263"/>
      <c r="AD41" s="1842">
        <f ca="1">OFFSET(AD41,0,-1)+1</f>
        <v>1</v>
      </c>
      <c r="AE41" s="1842">
        <f ca="1">OFFSET(AE41,0,-1)+1</f>
        <v>2</v>
      </c>
      <c r="AF41" s="1842">
        <f ca="1">OFFSET(AF41,0,-1)+1</f>
        <v>3</v>
      </c>
      <c r="AG41" s="3744">
        <f ca="1">OFFSET(AG41,0,-1)+1</f>
        <v>4</v>
      </c>
      <c r="AH41" s="3744"/>
      <c r="AI41" s="1842">
        <f ca="1">OFFSET(AI41,0,-2)+1</f>
        <v>5</v>
      </c>
      <c r="AJ41" s="1167">
        <f ca="1">OFFSET(AJ41,0,-1)</f>
        <v>5</v>
      </c>
      <c r="AK41" s="1842">
        <f ca="1">OFFSET(AK41,0,-1)+1</f>
        <v>6</v>
      </c>
      <c r="AL41" s="1558"/>
      <c r="AM41" s="1558"/>
      <c r="AN41" s="1558"/>
      <c r="AO41" s="1558"/>
      <c r="AP41" s="1558"/>
      <c r="AQ41" s="1563">
        <v>0</v>
      </c>
    </row>
    <row r="42" spans="1:43" ht="107.25" customHeight="1">
      <c r="A42" s="1189" t="s">
        <v>251</v>
      </c>
      <c r="B42" s="1189"/>
      <c r="C42" s="1189"/>
      <c r="D42" s="1189"/>
      <c r="E42" s="3761">
        <v>1</v>
      </c>
      <c r="F42" s="1189"/>
      <c r="G42" s="1189"/>
      <c r="H42" s="1189"/>
      <c r="I42" s="1189"/>
      <c r="J42" s="1189"/>
      <c r="K42" s="1189"/>
      <c r="L42" s="1232"/>
      <c r="M42" s="1532"/>
      <c r="N42" s="1532"/>
      <c r="O42" s="1532"/>
      <c r="P42" s="1331"/>
      <c r="Q42" s="801"/>
      <c r="R42" s="289"/>
      <c r="S42" s="1844">
        <f>INDEX(PT_DIFFERENTIATION_NUM_NTAR,MATCH(A42,PT_DIFFERENTIATION_NTAR_ID,0))</f>
        <v>0</v>
      </c>
      <c r="T42" s="1447" t="s">
        <v>176</v>
      </c>
      <c r="U42" s="235"/>
      <c r="V42" s="3724"/>
      <c r="W42" s="3724"/>
      <c r="X42" s="3724"/>
      <c r="Y42" s="3724"/>
      <c r="Z42" s="3724"/>
      <c r="AA42" s="3725"/>
      <c r="AB42" s="1838"/>
      <c r="AC42" s="3724" t="str">
        <f>INDEX(PT_DIFFERENTIATION_NTAR,MATCH(A42,PT_DIFFERENTIATION_NTAR_ID,0))</f>
        <v/>
      </c>
      <c r="AD42" s="3724"/>
      <c r="AE42" s="3724"/>
      <c r="AF42" s="3724"/>
      <c r="AG42" s="3724"/>
      <c r="AH42" s="3724"/>
      <c r="AI42" s="3724"/>
      <c r="AJ42" s="3725"/>
      <c r="AK42"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6"/>
      <c r="AN42" s="1546" t="str">
        <f t="shared" ref="AN42:AN56" si="1">IF(T42="","",T42)</f>
        <v>Наименование тарифа</v>
      </c>
      <c r="AO42" s="1546"/>
      <c r="AP42" s="1546"/>
      <c r="AQ42" s="1553">
        <v>102</v>
      </c>
    </row>
    <row r="43" spans="1:43" ht="21.95" customHeight="1">
      <c r="A43" s="1189" t="s">
        <v>251</v>
      </c>
      <c r="B43" s="1189" t="s">
        <v>252</v>
      </c>
      <c r="C43" s="1189"/>
      <c r="D43" s="1189"/>
      <c r="E43" s="3762"/>
      <c r="F43" s="3761">
        <v>1</v>
      </c>
      <c r="G43" s="1189"/>
      <c r="H43" s="1189"/>
      <c r="I43" s="1189"/>
      <c r="J43" s="1189"/>
      <c r="K43" s="1189"/>
      <c r="L43" s="1232"/>
      <c r="M43" s="1532"/>
      <c r="N43" s="1532"/>
      <c r="O43" s="1532"/>
      <c r="P43" s="1855"/>
      <c r="Q43" s="1333"/>
      <c r="R43" s="287"/>
      <c r="S43" s="1844" t="str">
        <f>INDEX(PT_DIFFERENTIATION_NUM_TER,MATCH(B43,PT_DIFFERENTIATION_TER_ID,0))</f>
        <v>.</v>
      </c>
      <c r="T43" s="1444" t="s">
        <v>442</v>
      </c>
      <c r="U43" s="235"/>
      <c r="V43" s="3724"/>
      <c r="W43" s="3724"/>
      <c r="X43" s="3724"/>
      <c r="Y43" s="3724"/>
      <c r="Z43" s="3724"/>
      <c r="AA43" s="3725"/>
      <c r="AB43" s="1838"/>
      <c r="AC43" s="3724" t="str">
        <f>INDEX(PT_DIFFERENTIATION_TER,MATCH(B43,PT_DIFFERENTIATION_TER_ID,0))</f>
        <v/>
      </c>
      <c r="AD43" s="3724"/>
      <c r="AE43" s="3724"/>
      <c r="AF43" s="3724"/>
      <c r="AG43" s="3724"/>
      <c r="AH43" s="3724"/>
      <c r="AI43" s="3724"/>
      <c r="AJ43" s="3725"/>
      <c r="AK43" s="1180" t="s">
        <v>443</v>
      </c>
      <c r="AM43" s="1546"/>
      <c r="AN43" s="1546" t="str">
        <f t="shared" si="1"/>
        <v>Территория действия тарифа</v>
      </c>
      <c r="AO43" s="1546"/>
      <c r="AP43" s="1546"/>
      <c r="AQ43" s="1553">
        <v>21</v>
      </c>
    </row>
    <row r="44" spans="1:43" ht="24" customHeight="1">
      <c r="A44" s="1189" t="s">
        <v>251</v>
      </c>
      <c r="B44" s="1189" t="s">
        <v>252</v>
      </c>
      <c r="C44" s="1189" t="s">
        <v>253</v>
      </c>
      <c r="D44" s="1189"/>
      <c r="E44" s="3762"/>
      <c r="F44" s="3762"/>
      <c r="G44" s="3761">
        <v>1</v>
      </c>
      <c r="H44" s="1189"/>
      <c r="I44" s="1189"/>
      <c r="J44" s="1189"/>
      <c r="K44" s="1189"/>
      <c r="L44" s="1232"/>
      <c r="M44" s="1532"/>
      <c r="N44" s="1532"/>
      <c r="O44" s="1532"/>
      <c r="P44" s="1334"/>
      <c r="Q44" s="1333"/>
      <c r="R44" s="287"/>
      <c r="S44" s="1844" t="str">
        <f>INDEX(PT_DIFFERENTIATION_NUM_CS,MATCH(C44,PT_DIFFERENTIATION_CS_ID,0))</f>
        <v>..</v>
      </c>
      <c r="T44" s="244" t="s">
        <v>444</v>
      </c>
      <c r="U44" s="235"/>
      <c r="V44" s="3724"/>
      <c r="W44" s="3724"/>
      <c r="X44" s="3724"/>
      <c r="Y44" s="3724"/>
      <c r="Z44" s="3724"/>
      <c r="AA44" s="3725"/>
      <c r="AB44" s="1838"/>
      <c r="AC44" s="3724" t="str">
        <f>INDEX(PT_DIFFERENTIATION_CS,MATCH(C44,PT_DIFFERENTIATION_CS_ID,0))</f>
        <v/>
      </c>
      <c r="AD44" s="3724"/>
      <c r="AE44" s="3724"/>
      <c r="AF44" s="3724"/>
      <c r="AG44" s="3724"/>
      <c r="AH44" s="3724"/>
      <c r="AI44" s="3724"/>
      <c r="AJ44" s="3725"/>
      <c r="AK44" s="1180" t="s">
        <v>445</v>
      </c>
      <c r="AM44" s="1546"/>
      <c r="AN44" s="1546" t="str">
        <f t="shared" si="1"/>
        <v xml:space="preserve">Наименование системы теплоснабжения </v>
      </c>
      <c r="AO44" s="1546"/>
      <c r="AP44" s="1546"/>
      <c r="AQ44" s="1553">
        <v>23</v>
      </c>
    </row>
    <row r="45" spans="1:43" ht="21.95" customHeight="1">
      <c r="A45" s="1189" t="s">
        <v>251</v>
      </c>
      <c r="B45" s="1189" t="s">
        <v>252</v>
      </c>
      <c r="C45" s="1189" t="s">
        <v>253</v>
      </c>
      <c r="D45" s="1189" t="s">
        <v>254</v>
      </c>
      <c r="E45" s="3762"/>
      <c r="F45" s="3762"/>
      <c r="G45" s="3762"/>
      <c r="H45" s="3761">
        <v>1</v>
      </c>
      <c r="I45" s="1189"/>
      <c r="J45" s="1189"/>
      <c r="K45" s="1189"/>
      <c r="L45" s="1232"/>
      <c r="M45" s="1532"/>
      <c r="N45" s="1532"/>
      <c r="O45" s="1532"/>
      <c r="P45" s="1334"/>
      <c r="Q45" s="1333"/>
      <c r="R45" s="287"/>
      <c r="S45" s="1844" t="str">
        <f>INDEX(PT_DIFFERENTIATION_NUM_IST_TE,MATCH(D45,PT_DIFFERENTIATION_IST_TE_ID,0))</f>
        <v>...</v>
      </c>
      <c r="T45" s="245" t="s">
        <v>446</v>
      </c>
      <c r="U45" s="235"/>
      <c r="V45" s="3724"/>
      <c r="W45" s="3724"/>
      <c r="X45" s="3724"/>
      <c r="Y45" s="3724"/>
      <c r="Z45" s="3724"/>
      <c r="AA45" s="3725"/>
      <c r="AB45" s="1838"/>
      <c r="AC45" s="3724" t="str">
        <f>INDEX(PT_DIFFERENTIATION_IST_TE,MATCH(D45,PT_DIFFERENTIATION_IST_TE_ID,0))</f>
        <v/>
      </c>
      <c r="AD45" s="3724"/>
      <c r="AE45" s="3724"/>
      <c r="AF45" s="3724"/>
      <c r="AG45" s="3724"/>
      <c r="AH45" s="3724"/>
      <c r="AI45" s="3724"/>
      <c r="AJ45" s="3725"/>
      <c r="AK45" s="1180" t="s">
        <v>447</v>
      </c>
      <c r="AM45" s="1546"/>
      <c r="AN45" s="1546" t="str">
        <f t="shared" si="1"/>
        <v xml:space="preserve">Источник тепловой энергии  </v>
      </c>
      <c r="AO45" s="1546"/>
      <c r="AP45" s="1546"/>
      <c r="AQ45" s="1553">
        <v>21</v>
      </c>
    </row>
    <row r="46" spans="1:43" s="1564" customFormat="1" ht="0" hidden="1" customHeight="1">
      <c r="A46" s="1297" t="s">
        <v>251</v>
      </c>
      <c r="B46" s="1297" t="s">
        <v>252</v>
      </c>
      <c r="C46" s="1297" t="s">
        <v>253</v>
      </c>
      <c r="D46" s="1297" t="s">
        <v>254</v>
      </c>
      <c r="E46" s="3762"/>
      <c r="F46" s="3762"/>
      <c r="G46" s="3762"/>
      <c r="H46" s="3762"/>
      <c r="I46" s="3618" t="str">
        <f>S45&amp;".1"</f>
        <v>....1</v>
      </c>
      <c r="J46" s="1297"/>
      <c r="K46" s="1297"/>
      <c r="L46" s="1303" t="s">
        <v>448</v>
      </c>
      <c r="M46" s="1168"/>
      <c r="N46" s="1168"/>
      <c r="O46" s="1168"/>
      <c r="P46" s="3736">
        <v>1</v>
      </c>
      <c r="Q46" s="1840"/>
      <c r="R46" s="290"/>
      <c r="S46" s="968"/>
      <c r="T46" s="1305"/>
      <c r="U46" s="1306"/>
      <c r="V46" s="3767"/>
      <c r="W46" s="3767"/>
      <c r="X46" s="3767"/>
      <c r="Y46" s="3767"/>
      <c r="Z46" s="3767"/>
      <c r="AA46" s="3768"/>
      <c r="AB46" s="1846"/>
      <c r="AC46" s="3767"/>
      <c r="AD46" s="3767"/>
      <c r="AE46" s="3767"/>
      <c r="AF46" s="3767"/>
      <c r="AG46" s="3767"/>
      <c r="AH46" s="3767"/>
      <c r="AI46" s="3767"/>
      <c r="AJ46" s="3768"/>
      <c r="AK46" s="1307"/>
      <c r="AM46" s="1546"/>
      <c r="AN46" s="1546" t="str">
        <f t="shared" si="1"/>
        <v/>
      </c>
      <c r="AO46" s="1546"/>
      <c r="AP46" s="1546"/>
      <c r="AQ46" s="1558">
        <v>0</v>
      </c>
    </row>
    <row r="47" spans="1:43" s="1564" customFormat="1" ht="0" hidden="1" customHeight="1">
      <c r="A47" s="1297" t="s">
        <v>251</v>
      </c>
      <c r="B47" s="1297" t="s">
        <v>252</v>
      </c>
      <c r="C47" s="1297" t="s">
        <v>253</v>
      </c>
      <c r="D47" s="1297" t="s">
        <v>254</v>
      </c>
      <c r="E47" s="3762"/>
      <c r="F47" s="3762"/>
      <c r="G47" s="3762"/>
      <c r="H47" s="3762"/>
      <c r="I47" s="3589"/>
      <c r="J47" s="3618" t="str">
        <f>S45&amp;".1"</f>
        <v>....1</v>
      </c>
      <c r="K47" s="1297"/>
      <c r="L47" s="1303"/>
      <c r="M47" s="1168"/>
      <c r="N47" s="1168"/>
      <c r="O47" s="1168"/>
      <c r="P47" s="3736"/>
      <c r="Q47" s="3736">
        <v>1</v>
      </c>
      <c r="R47" s="291"/>
      <c r="S47" s="968"/>
      <c r="T47" s="1321"/>
      <c r="U47" s="1306"/>
      <c r="V47" s="3767"/>
      <c r="W47" s="3767"/>
      <c r="X47" s="3767"/>
      <c r="Y47" s="3767"/>
      <c r="Z47" s="3767"/>
      <c r="AA47" s="3768"/>
      <c r="AB47" s="1846"/>
      <c r="AC47" s="3767"/>
      <c r="AD47" s="3767"/>
      <c r="AE47" s="3767"/>
      <c r="AF47" s="3767"/>
      <c r="AG47" s="3767"/>
      <c r="AH47" s="3767"/>
      <c r="AI47" s="3767"/>
      <c r="AJ47" s="3768"/>
      <c r="AK47" s="1307"/>
      <c r="AM47" s="1546"/>
      <c r="AN47" s="1546" t="str">
        <f t="shared" si="1"/>
        <v/>
      </c>
      <c r="AO47" s="1546"/>
      <c r="AP47" s="1546"/>
      <c r="AQ47" s="1558">
        <v>0</v>
      </c>
    </row>
    <row r="48" spans="1:43" ht="21.95" customHeight="1">
      <c r="A48" s="1189" t="s">
        <v>251</v>
      </c>
      <c r="B48" s="1189" t="s">
        <v>252</v>
      </c>
      <c r="C48" s="1189" t="s">
        <v>253</v>
      </c>
      <c r="D48" s="1189" t="s">
        <v>254</v>
      </c>
      <c r="E48" s="3762"/>
      <c r="F48" s="3762"/>
      <c r="G48" s="3762"/>
      <c r="H48" s="3762"/>
      <c r="I48" s="3589"/>
      <c r="J48" s="3589"/>
      <c r="K48" s="1827" t="str">
        <f>S45&amp;".1"</f>
        <v>....1</v>
      </c>
      <c r="L48" s="1232"/>
      <c r="P48" s="3736"/>
      <c r="Q48" s="3736"/>
      <c r="R48" s="291">
        <v>1</v>
      </c>
      <c r="S48" s="1848" t="str">
        <f>$K48</f>
        <v>....1</v>
      </c>
      <c r="T48" s="1847"/>
      <c r="U48" s="235"/>
      <c r="V48" s="685"/>
      <c r="W48" s="1179"/>
      <c r="X48" s="1841"/>
      <c r="Y48" s="1828" t="s">
        <v>50</v>
      </c>
      <c r="Z48" s="1841"/>
      <c r="AA48" s="1828" t="s">
        <v>50</v>
      </c>
      <c r="AB48" s="1850"/>
      <c r="AC48" s="1849" t="s">
        <v>9</v>
      </c>
      <c r="AD48" s="685"/>
      <c r="AE48" s="1179"/>
      <c r="AF48" s="1841"/>
      <c r="AG48" s="1828" t="s">
        <v>50</v>
      </c>
      <c r="AH48" s="1841"/>
      <c r="AI48" s="1828" t="s">
        <v>50</v>
      </c>
      <c r="AJ48" s="1270"/>
      <c r="AK48" s="3732" t="s">
        <v>521</v>
      </c>
      <c r="AL48" s="1558" t="e">
        <f ca="1">STRCHECKDATE(#REF!)</f>
        <v>#NAME?</v>
      </c>
      <c r="AM48" s="1546"/>
      <c r="AN48" s="1546" t="str">
        <f t="shared" si="1"/>
        <v/>
      </c>
      <c r="AO48" s="1546"/>
      <c r="AP48" s="1546"/>
      <c r="AQ48" s="1553">
        <v>21</v>
      </c>
    </row>
    <row r="49" spans="1:43" ht="11.45" customHeight="1">
      <c r="A49" s="1189" t="s">
        <v>251</v>
      </c>
      <c r="B49" s="1189" t="s">
        <v>252</v>
      </c>
      <c r="C49" s="1189" t="s">
        <v>253</v>
      </c>
      <c r="D49" s="1189" t="s">
        <v>254</v>
      </c>
      <c r="E49" s="3762"/>
      <c r="F49" s="3762"/>
      <c r="G49" s="3762"/>
      <c r="H49" s="3762"/>
      <c r="I49" s="3589"/>
      <c r="J49" s="3618"/>
      <c r="K49" s="1189"/>
      <c r="L49" s="1232"/>
      <c r="P49" s="3736"/>
      <c r="Q49" s="3736"/>
      <c r="R49" s="290"/>
      <c r="S49" s="1200"/>
      <c r="T49" s="222" t="s">
        <v>509</v>
      </c>
      <c r="U49" s="534"/>
      <c r="V49" s="534"/>
      <c r="W49" s="534"/>
      <c r="X49" s="534"/>
      <c r="Y49" s="534"/>
      <c r="Z49" s="534"/>
      <c r="AA49" s="259"/>
      <c r="AB49" s="534"/>
      <c r="AC49" s="534"/>
      <c r="AD49" s="534"/>
      <c r="AE49" s="534"/>
      <c r="AF49" s="534"/>
      <c r="AG49" s="534"/>
      <c r="AH49" s="534"/>
      <c r="AI49" s="534"/>
      <c r="AJ49" s="259"/>
      <c r="AK49" s="3734"/>
      <c r="AM49" s="1546"/>
      <c r="AN49" s="1546" t="str">
        <f t="shared" si="1"/>
        <v>Добавить строку</v>
      </c>
      <c r="AO49" s="1546"/>
      <c r="AP49" s="1546"/>
      <c r="AQ49" s="1553">
        <v>11</v>
      </c>
    </row>
    <row r="50" spans="1:43" s="1564" customFormat="1" ht="1.1499999999999999" customHeight="1">
      <c r="A50" s="1297" t="s">
        <v>251</v>
      </c>
      <c r="B50" s="1297" t="s">
        <v>252</v>
      </c>
      <c r="C50" s="1297" t="s">
        <v>253</v>
      </c>
      <c r="D50" s="1297" t="s">
        <v>254</v>
      </c>
      <c r="E50" s="3762"/>
      <c r="F50" s="3762"/>
      <c r="G50" s="3762"/>
      <c r="H50" s="3762"/>
      <c r="I50" s="3618"/>
      <c r="J50" s="1297"/>
      <c r="K50" s="1297"/>
      <c r="L50" s="1303"/>
      <c r="M50" s="1168"/>
      <c r="N50" s="1168"/>
      <c r="O50" s="1168"/>
      <c r="P50" s="3736"/>
      <c r="Q50" s="1840"/>
      <c r="R50" s="290"/>
      <c r="S50" s="1308"/>
      <c r="T50" s="1309" t="s">
        <v>457</v>
      </c>
      <c r="U50" s="1310"/>
      <c r="V50" s="1310"/>
      <c r="W50" s="1310"/>
      <c r="X50" s="1310"/>
      <c r="Y50" s="1310"/>
      <c r="Z50" s="1310"/>
      <c r="AA50" s="1310"/>
      <c r="AB50" s="1310"/>
      <c r="AC50" s="1310"/>
      <c r="AD50" s="1310"/>
      <c r="AE50" s="1310"/>
      <c r="AF50" s="1310"/>
      <c r="AG50" s="1310"/>
      <c r="AH50" s="1310"/>
      <c r="AI50" s="1310"/>
      <c r="AJ50" s="1310"/>
      <c r="AK50" s="1311"/>
      <c r="AM50" s="1546"/>
      <c r="AN50" s="1546" t="str">
        <f t="shared" si="1"/>
        <v>Добавить группу потребителей</v>
      </c>
      <c r="AO50" s="1546"/>
      <c r="AP50" s="1546"/>
      <c r="AQ50" s="1558">
        <v>1</v>
      </c>
    </row>
    <row r="51" spans="1:43" s="1563" customFormat="1" ht="1.1499999999999999" customHeight="1">
      <c r="A51" s="1297" t="s">
        <v>251</v>
      </c>
      <c r="B51" s="1297" t="s">
        <v>252</v>
      </c>
      <c r="C51" s="1297" t="s">
        <v>253</v>
      </c>
      <c r="D51" s="1297" t="s">
        <v>254</v>
      </c>
      <c r="E51" s="3762"/>
      <c r="F51" s="3762"/>
      <c r="G51" s="3762"/>
      <c r="H51" s="3761"/>
      <c r="I51" s="1297"/>
      <c r="J51" s="1297"/>
      <c r="K51" s="1297"/>
      <c r="L51" s="1303"/>
      <c r="M51" s="1300"/>
      <c r="N51" s="1300"/>
      <c r="O51" s="285"/>
      <c r="P51" s="314"/>
      <c r="Q51" s="1266"/>
      <c r="R51" s="1322"/>
      <c r="S51" s="1308"/>
      <c r="T51" s="1309"/>
      <c r="U51" s="1310"/>
      <c r="V51" s="1310"/>
      <c r="W51" s="1310"/>
      <c r="X51" s="1310"/>
      <c r="Y51" s="1310"/>
      <c r="Z51" s="1310"/>
      <c r="AA51" s="1310"/>
      <c r="AB51" s="1310"/>
      <c r="AC51" s="1310"/>
      <c r="AD51" s="1310"/>
      <c r="AE51" s="1310"/>
      <c r="AF51" s="1310"/>
      <c r="AG51" s="1310"/>
      <c r="AH51" s="1310"/>
      <c r="AI51" s="1310"/>
      <c r="AJ51" s="1310"/>
      <c r="AK51" s="1311"/>
      <c r="AL51" s="1558"/>
      <c r="AM51" s="1546"/>
      <c r="AN51" s="1546" t="str">
        <f t="shared" si="1"/>
        <v/>
      </c>
      <c r="AO51" s="1546"/>
      <c r="AP51" s="1546"/>
      <c r="AQ51" s="1563">
        <v>1</v>
      </c>
    </row>
    <row r="52" spans="1:43" s="1564" customFormat="1" ht="1.1499999999999999" customHeight="1">
      <c r="A52" s="1297" t="s">
        <v>251</v>
      </c>
      <c r="B52" s="1297" t="s">
        <v>252</v>
      </c>
      <c r="C52" s="1297" t="s">
        <v>253</v>
      </c>
      <c r="D52" s="1296"/>
      <c r="E52" s="3762"/>
      <c r="F52" s="3762"/>
      <c r="G52" s="3761"/>
      <c r="H52" s="1296"/>
      <c r="I52" s="1296"/>
      <c r="J52" s="1296"/>
      <c r="K52" s="1296"/>
      <c r="L52" s="1299"/>
      <c r="M52" s="1300"/>
      <c r="N52" s="1300"/>
      <c r="O52" s="285"/>
      <c r="P52" s="1238"/>
      <c r="Q52" s="1239"/>
      <c r="R52" s="1238"/>
      <c r="S52" s="1244"/>
      <c r="T52" s="1247" t="s">
        <v>459</v>
      </c>
      <c r="U52" s="1246"/>
      <c r="V52" s="1246"/>
      <c r="W52" s="1246"/>
      <c r="X52" s="1246"/>
      <c r="Y52" s="1246"/>
      <c r="Z52" s="1246"/>
      <c r="AA52" s="1246"/>
      <c r="AB52" s="1246"/>
      <c r="AC52" s="1246"/>
      <c r="AD52" s="1246"/>
      <c r="AE52" s="1246"/>
      <c r="AF52" s="1246"/>
      <c r="AG52" s="1246"/>
      <c r="AH52" s="1246"/>
      <c r="AI52" s="1246"/>
      <c r="AJ52" s="1246"/>
      <c r="AK52" s="1246"/>
      <c r="AM52" s="1173"/>
      <c r="AN52" s="1173" t="str">
        <f t="shared" si="1"/>
        <v>Добавить источник для дифференциации</v>
      </c>
      <c r="AO52" s="1173"/>
      <c r="AP52" s="1173"/>
      <c r="AQ52" s="1564">
        <v>1</v>
      </c>
    </row>
    <row r="53" spans="1:43" s="1564" customFormat="1" ht="1.1499999999999999" customHeight="1">
      <c r="A53" s="1297" t="s">
        <v>251</v>
      </c>
      <c r="B53" s="1297" t="s">
        <v>252</v>
      </c>
      <c r="C53" s="1296"/>
      <c r="D53" s="1296"/>
      <c r="E53" s="3762"/>
      <c r="F53" s="3761"/>
      <c r="G53" s="1296"/>
      <c r="H53" s="1296"/>
      <c r="I53" s="1296"/>
      <c r="J53" s="1296"/>
      <c r="K53" s="1296"/>
      <c r="L53" s="1299"/>
      <c r="M53" s="1301"/>
      <c r="N53" s="1301"/>
      <c r="O53" s="285"/>
      <c r="P53" s="1238"/>
      <c r="Q53" s="1239"/>
      <c r="R53" s="1238"/>
      <c r="S53" s="1244"/>
      <c r="T53" s="1247" t="s">
        <v>460</v>
      </c>
      <c r="U53" s="1246"/>
      <c r="V53" s="1246"/>
      <c r="W53" s="1246"/>
      <c r="X53" s="1246"/>
      <c r="Y53" s="1246"/>
      <c r="Z53" s="1246"/>
      <c r="AA53" s="1246"/>
      <c r="AB53" s="1246"/>
      <c r="AC53" s="1246"/>
      <c r="AD53" s="1246"/>
      <c r="AE53" s="1246"/>
      <c r="AF53" s="1246"/>
      <c r="AG53" s="1246"/>
      <c r="AH53" s="1246"/>
      <c r="AI53" s="1246"/>
      <c r="AJ53" s="1246"/>
      <c r="AK53" s="1246"/>
      <c r="AM53" s="1173"/>
      <c r="AN53" s="1173" t="str">
        <f t="shared" si="1"/>
        <v>Добавить централизованную систему для дифференциации</v>
      </c>
      <c r="AO53" s="1173"/>
      <c r="AP53" s="1173"/>
      <c r="AQ53" s="1564">
        <v>1</v>
      </c>
    </row>
    <row r="54" spans="1:43" s="1564" customFormat="1" ht="1.1499999999999999" customHeight="1">
      <c r="A54" s="1297" t="s">
        <v>251</v>
      </c>
      <c r="B54" s="1297"/>
      <c r="C54" s="1297"/>
      <c r="D54" s="1297"/>
      <c r="E54" s="3762"/>
      <c r="F54" s="1297"/>
      <c r="G54" s="1297"/>
      <c r="H54" s="1297"/>
      <c r="I54" s="1297"/>
      <c r="J54" s="1297"/>
      <c r="K54" s="1297"/>
      <c r="L54" s="1303"/>
      <c r="M54" s="1301"/>
      <c r="N54" s="1301"/>
      <c r="O54" s="285"/>
      <c r="P54" s="314"/>
      <c r="Q54" s="1266"/>
      <c r="R54" s="314"/>
      <c r="S54" s="1244"/>
      <c r="T54" s="1247" t="s">
        <v>461</v>
      </c>
      <c r="U54" s="1246"/>
      <c r="V54" s="1246"/>
      <c r="W54" s="1246"/>
      <c r="X54" s="1246"/>
      <c r="Y54" s="1246"/>
      <c r="Z54" s="1246"/>
      <c r="AA54" s="1246"/>
      <c r="AB54" s="1246"/>
      <c r="AC54" s="1246"/>
      <c r="AD54" s="1246"/>
      <c r="AE54" s="1246"/>
      <c r="AF54" s="1246"/>
      <c r="AG54" s="1246"/>
      <c r="AH54" s="1246"/>
      <c r="AI54" s="1246"/>
      <c r="AJ54" s="1246"/>
      <c r="AK54" s="1246"/>
      <c r="AM54" s="1546"/>
      <c r="AN54" s="1546" t="str">
        <f t="shared" si="1"/>
        <v>Добавить территорию для дифференциации</v>
      </c>
      <c r="AO54" s="1546"/>
      <c r="AP54" s="1546"/>
      <c r="AQ54" s="1558">
        <v>1</v>
      </c>
    </row>
    <row r="55" spans="1:43" s="1564" customFormat="1" ht="1.1499999999999999" customHeight="1">
      <c r="A55" s="1297" t="s">
        <v>251</v>
      </c>
      <c r="B55" s="1297"/>
      <c r="C55" s="1297"/>
      <c r="D55" s="1297"/>
      <c r="E55" s="3761"/>
      <c r="F55" s="1297"/>
      <c r="G55" s="1297"/>
      <c r="H55" s="1297"/>
      <c r="I55" s="1297"/>
      <c r="J55" s="1297"/>
      <c r="K55" s="1297"/>
      <c r="L55" s="1303"/>
      <c r="M55" s="1301"/>
      <c r="N55" s="1301"/>
      <c r="O55" s="285"/>
      <c r="P55" s="314"/>
      <c r="Q55" s="1266"/>
      <c r="R55" s="314"/>
      <c r="S55" s="1244"/>
      <c r="T55" s="1247" t="s">
        <v>461</v>
      </c>
      <c r="U55" s="1246"/>
      <c r="V55" s="1246"/>
      <c r="W55" s="1246"/>
      <c r="X55" s="1246"/>
      <c r="Y55" s="1246"/>
      <c r="Z55" s="1246"/>
      <c r="AA55" s="1246"/>
      <c r="AB55" s="1246"/>
      <c r="AC55" s="1246"/>
      <c r="AD55" s="1246"/>
      <c r="AE55" s="1246"/>
      <c r="AF55" s="1246"/>
      <c r="AG55" s="1246"/>
      <c r="AH55" s="1246"/>
      <c r="AI55" s="1246"/>
      <c r="AJ55" s="1246"/>
      <c r="AK55" s="1246"/>
      <c r="AM55" s="1546"/>
      <c r="AN55" s="1546" t="str">
        <f t="shared" si="1"/>
        <v>Добавить территорию для дифференциации</v>
      </c>
      <c r="AO55" s="1546"/>
      <c r="AP55" s="1546"/>
      <c r="AQ55" s="1558">
        <v>1</v>
      </c>
    </row>
    <row r="56" spans="1:43" s="1564" customFormat="1" ht="1.1499999999999999" customHeight="1">
      <c r="A56" s="1296"/>
      <c r="B56" s="1296"/>
      <c r="C56" s="1296"/>
      <c r="D56" s="1296"/>
      <c r="E56" s="1297"/>
      <c r="F56" s="1296"/>
      <c r="G56" s="1296"/>
      <c r="H56" s="1296"/>
      <c r="I56" s="1296"/>
      <c r="J56" s="1296"/>
      <c r="K56" s="1296"/>
      <c r="L56" s="1299"/>
      <c r="M56" s="1301"/>
      <c r="N56" s="1301"/>
      <c r="O56" s="285"/>
      <c r="P56" s="1238"/>
      <c r="Q56" s="1239"/>
      <c r="R56" s="1238"/>
      <c r="S56" s="1244"/>
      <c r="T56" s="1247" t="s">
        <v>489</v>
      </c>
      <c r="U56" s="1246"/>
      <c r="V56" s="1246"/>
      <c r="W56" s="1246"/>
      <c r="X56" s="1246"/>
      <c r="Y56" s="1246"/>
      <c r="Z56" s="1246"/>
      <c r="AA56" s="1246"/>
      <c r="AB56" s="1246"/>
      <c r="AC56" s="1246"/>
      <c r="AD56" s="1246"/>
      <c r="AE56" s="1246"/>
      <c r="AF56" s="1246"/>
      <c r="AG56" s="1246"/>
      <c r="AH56" s="1246"/>
      <c r="AI56" s="1246"/>
      <c r="AJ56" s="1246"/>
      <c r="AK56" s="1246"/>
      <c r="AM56" s="1173"/>
      <c r="AN56" s="1173" t="str">
        <f t="shared" si="1"/>
        <v>Добавить наименование тарифа</v>
      </c>
      <c r="AO56" s="1173"/>
      <c r="AP56" s="1173"/>
      <c r="AQ56" s="1564">
        <v>1</v>
      </c>
    </row>
    <row r="57" spans="1:43" ht="11.45" customHeight="1">
      <c r="M57" s="1553"/>
      <c r="N57" s="1553"/>
      <c r="O57" s="1557"/>
      <c r="P57" s="1288"/>
      <c r="Q57" s="1288"/>
      <c r="R57" s="1553"/>
      <c r="S57" s="1553"/>
      <c r="AL57" s="1553"/>
      <c r="AM57" s="1553"/>
      <c r="AN57" s="1553"/>
      <c r="AO57" s="1553"/>
      <c r="AP57" s="1553"/>
      <c r="AQ57" s="1553">
        <v>11</v>
      </c>
    </row>
    <row r="58" spans="1:43" ht="19.899999999999999" customHeight="1">
      <c r="O58" s="1557"/>
      <c r="S58" s="1175"/>
      <c r="T58" s="3757"/>
      <c r="U58" s="3757"/>
      <c r="V58" s="3757"/>
      <c r="W58" s="3757"/>
      <c r="X58" s="3757"/>
      <c r="Y58" s="3757"/>
      <c r="Z58" s="3757"/>
      <c r="AA58" s="3757"/>
      <c r="AB58" s="3757"/>
      <c r="AC58" s="3757"/>
      <c r="AD58" s="3757"/>
      <c r="AE58" s="3757"/>
      <c r="AF58" s="3757"/>
      <c r="AG58" s="3757"/>
      <c r="AH58" s="3757"/>
      <c r="AI58" s="3757"/>
      <c r="AJ58" s="3757"/>
      <c r="AK58" s="3757"/>
      <c r="AQ58" s="1553">
        <v>19</v>
      </c>
    </row>
    <row r="59" spans="1:43" ht="21" customHeight="1">
      <c r="O59" s="1557"/>
      <c r="T59" s="3757"/>
      <c r="U59" s="3757"/>
      <c r="V59" s="3757"/>
      <c r="W59" s="3757"/>
      <c r="X59" s="3757"/>
      <c r="Y59" s="3757"/>
      <c r="Z59" s="3757"/>
      <c r="AA59" s="3757"/>
      <c r="AB59" s="3757"/>
      <c r="AC59" s="3757"/>
      <c r="AD59" s="3757"/>
      <c r="AE59" s="3757"/>
      <c r="AF59" s="3757"/>
      <c r="AG59" s="3757"/>
      <c r="AH59" s="3757"/>
      <c r="AI59" s="3757"/>
      <c r="AJ59" s="3757"/>
      <c r="AK59" s="3757"/>
      <c r="AQ59" s="1553">
        <v>20</v>
      </c>
    </row>
    <row r="60" spans="1:43" ht="14.65" customHeight="1">
      <c r="O60" s="1557"/>
      <c r="T60" s="1839"/>
      <c r="U60" s="1839"/>
      <c r="V60" s="1839"/>
      <c r="W60" s="1839"/>
      <c r="X60" s="1839"/>
      <c r="Y60" s="1839"/>
      <c r="Z60" s="1839"/>
      <c r="AA60" s="1839"/>
      <c r="AB60" s="1839"/>
      <c r="AC60" s="1839"/>
      <c r="AD60" s="1839"/>
      <c r="AE60" s="1839"/>
      <c r="AF60" s="1839"/>
      <c r="AG60" s="1839"/>
      <c r="AH60" s="1839"/>
      <c r="AI60" s="1839"/>
      <c r="AJ60" s="1839"/>
      <c r="AK60" s="1839"/>
      <c r="AQ60" s="1553">
        <v>14</v>
      </c>
    </row>
    <row r="61" spans="1:43" ht="19.899999999999999" customHeight="1">
      <c r="O61" s="1557"/>
      <c r="T61" s="3757"/>
      <c r="U61" s="3757"/>
      <c r="V61" s="3757"/>
      <c r="W61" s="3757"/>
      <c r="X61" s="3757"/>
      <c r="Y61" s="3757"/>
      <c r="Z61" s="3757"/>
      <c r="AA61" s="3757"/>
      <c r="AB61" s="3757"/>
      <c r="AC61" s="3757"/>
      <c r="AD61" s="3757"/>
      <c r="AE61" s="3757"/>
      <c r="AF61" s="3757"/>
      <c r="AG61" s="3757"/>
      <c r="AH61" s="3757"/>
      <c r="AI61" s="3757"/>
      <c r="AJ61" s="3757"/>
      <c r="AK61" s="3757"/>
      <c r="AQ61" s="1553">
        <v>19</v>
      </c>
    </row>
    <row r="62" spans="1:43" ht="16.899999999999999" customHeight="1">
      <c r="O62" s="1557"/>
      <c r="T62" s="3757"/>
      <c r="U62" s="3757"/>
      <c r="V62" s="3757"/>
      <c r="W62" s="3757"/>
      <c r="X62" s="3757"/>
      <c r="Y62" s="3757"/>
      <c r="Z62" s="3757"/>
      <c r="AA62" s="3757"/>
      <c r="AB62" s="3757"/>
      <c r="AC62" s="3757"/>
      <c r="AD62" s="3757"/>
      <c r="AE62" s="3757"/>
      <c r="AF62" s="3757"/>
      <c r="AG62" s="3757"/>
      <c r="AH62" s="3757"/>
      <c r="AI62" s="3757"/>
      <c r="AJ62" s="3757"/>
      <c r="AK62" s="3757"/>
      <c r="AQ62" s="1553">
        <v>16</v>
      </c>
    </row>
    <row r="63" spans="1:43" ht="14.65" customHeight="1">
      <c r="O63" s="1557"/>
      <c r="AQ63" s="1553">
        <v>14</v>
      </c>
    </row>
    <row r="64" spans="1:43" ht="22.5" hidden="1" customHeight="1">
      <c r="A64" s="1553" t="s">
        <v>70</v>
      </c>
      <c r="B64" s="1553">
        <v>0</v>
      </c>
      <c r="C64" s="1553">
        <v>0</v>
      </c>
      <c r="D64" s="1553">
        <v>0</v>
      </c>
      <c r="E64" s="1553">
        <v>0</v>
      </c>
      <c r="F64" s="1553">
        <v>0</v>
      </c>
      <c r="G64" s="1553">
        <v>0</v>
      </c>
      <c r="H64" s="1553">
        <v>0</v>
      </c>
      <c r="I64" s="1553">
        <v>0</v>
      </c>
      <c r="J64" s="1553">
        <v>0</v>
      </c>
      <c r="K64" s="1553">
        <v>0</v>
      </c>
      <c r="L64" s="1825">
        <v>0</v>
      </c>
      <c r="M64" s="1851">
        <v>0</v>
      </c>
      <c r="N64" s="1851">
        <v>0</v>
      </c>
      <c r="O64" s="1851">
        <v>0</v>
      </c>
      <c r="P64" s="1284">
        <v>3</v>
      </c>
      <c r="Q64" s="1293">
        <v>3</v>
      </c>
      <c r="R64" s="279">
        <v>3</v>
      </c>
      <c r="S64" s="515">
        <v>12</v>
      </c>
      <c r="T64" s="1553">
        <v>31</v>
      </c>
      <c r="U64" s="1553">
        <v>0</v>
      </c>
      <c r="V64" s="1553">
        <v>0</v>
      </c>
      <c r="W64" s="1553">
        <v>0</v>
      </c>
      <c r="X64" s="1553">
        <v>0</v>
      </c>
      <c r="Y64" s="1553">
        <v>0</v>
      </c>
      <c r="Z64" s="1553">
        <v>0</v>
      </c>
      <c r="AA64" s="1553">
        <v>0</v>
      </c>
      <c r="AB64" s="1553">
        <v>27</v>
      </c>
      <c r="AC64" s="1553">
        <v>24</v>
      </c>
      <c r="AD64" s="1553">
        <v>21</v>
      </c>
      <c r="AE64" s="1553">
        <v>21</v>
      </c>
      <c r="AF64" s="1553">
        <v>11</v>
      </c>
      <c r="AG64" s="1553">
        <v>3</v>
      </c>
      <c r="AH64" s="1553">
        <v>11</v>
      </c>
      <c r="AI64" s="1553">
        <v>8</v>
      </c>
      <c r="AJ64" s="1553">
        <v>4</v>
      </c>
      <c r="AK64" s="1553">
        <v>115</v>
      </c>
      <c r="AL64" s="1558">
        <v>10</v>
      </c>
      <c r="AM64" s="1558">
        <v>10</v>
      </c>
      <c r="AN64" s="1558">
        <v>10</v>
      </c>
      <c r="AO64" s="1558">
        <v>10</v>
      </c>
      <c r="AP64" s="1558">
        <v>10</v>
      </c>
      <c r="AQ64" s="1553">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v>
      </c>
    </row>
    <row r="2" spans="1:43" ht="23.25" hidden="1" customHeight="1">
      <c r="A2" s="1285"/>
      <c r="B2" s="1285"/>
      <c r="C2" s="1285"/>
      <c r="D2" s="1285"/>
      <c r="E2" s="3737">
        <v>1</v>
      </c>
      <c r="F2" s="1285"/>
      <c r="G2" s="1285"/>
      <c r="H2" s="1285"/>
      <c r="I2" s="1285"/>
      <c r="J2" s="1285"/>
      <c r="K2" s="1285"/>
      <c r="L2" s="1286"/>
      <c r="M2" s="1287"/>
      <c r="N2" s="1287"/>
      <c r="O2" s="1287"/>
      <c r="P2" s="295"/>
      <c r="Q2" s="294"/>
      <c r="R2" s="289"/>
      <c r="S2" s="1347" t="e">
        <f>INDEX(PT_DIFFERENTIATION_NUM_NTAR,MATCH(A2,PT_DIFFERENTIATION_NTAR_ID,0))</f>
        <v>#N/A</v>
      </c>
      <c r="T2" s="233" t="s">
        <v>176</v>
      </c>
      <c r="U2" s="235"/>
      <c r="V2" s="3723"/>
      <c r="W2" s="3724"/>
      <c r="X2" s="3724"/>
      <c r="Y2" s="3724"/>
      <c r="Z2" s="3724"/>
      <c r="AA2" s="3724"/>
      <c r="AB2" s="3725"/>
      <c r="AC2" s="3723" t="e">
        <f>INDEX(PT_DIFFERENTIATION_NTAR,MATCH(A2,PT_DIFFERENTIATION_NTAR_ID,0))</f>
        <v>#N/A</v>
      </c>
      <c r="AD2" s="3724"/>
      <c r="AE2" s="3724"/>
      <c r="AF2" s="3724"/>
      <c r="AG2" s="3724"/>
      <c r="AH2" s="3724"/>
      <c r="AI2" s="3724"/>
      <c r="AJ2" s="3725"/>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3738"/>
      <c r="F3" s="3737">
        <v>1</v>
      </c>
      <c r="G3" s="1285"/>
      <c r="H3" s="1285"/>
      <c r="I3" s="1285"/>
      <c r="J3" s="1285"/>
      <c r="K3" s="1285"/>
      <c r="L3" s="1286"/>
      <c r="M3" s="1287"/>
      <c r="N3" s="1287"/>
      <c r="O3" s="1287"/>
      <c r="P3" s="1345"/>
      <c r="Q3" s="286"/>
      <c r="R3" s="287"/>
      <c r="S3" s="1347" t="e">
        <f>INDEX(PT_DIFFERENTIATION_NUM_TER,MATCH(B3,PT_DIFFERENTIATION_TER_ID,0))</f>
        <v>#N/A</v>
      </c>
      <c r="T3" s="243" t="s">
        <v>442</v>
      </c>
      <c r="U3" s="235"/>
      <c r="V3" s="3723"/>
      <c r="W3" s="3724"/>
      <c r="X3" s="3724"/>
      <c r="Y3" s="3724"/>
      <c r="Z3" s="3724"/>
      <c r="AA3" s="3724"/>
      <c r="AB3" s="3725"/>
      <c r="AC3" s="3723" t="e">
        <f>INDEX(PT_DIFFERENTIATION_TER,MATCH(B3,PT_DIFFERENTIATION_TER_ID,0))</f>
        <v>#N/A</v>
      </c>
      <c r="AD3" s="3724"/>
      <c r="AE3" s="3724"/>
      <c r="AF3" s="3724"/>
      <c r="AG3" s="3724"/>
      <c r="AH3" s="3724"/>
      <c r="AI3" s="3724"/>
      <c r="AJ3" s="3725"/>
      <c r="AK3" s="1180" t="s">
        <v>443</v>
      </c>
      <c r="AM3" s="434"/>
      <c r="AN3" s="434" t="str">
        <f t="shared" si="0"/>
        <v>Территория действия тарифа</v>
      </c>
      <c r="AO3" s="434"/>
      <c r="AP3" s="434"/>
      <c r="AQ3" s="1077">
        <v>0</v>
      </c>
    </row>
    <row r="4" spans="1:43" ht="23.25" hidden="1" customHeight="1">
      <c r="A4" s="1285"/>
      <c r="B4" s="1285"/>
      <c r="C4" s="1285"/>
      <c r="D4" s="1285"/>
      <c r="E4" s="3738"/>
      <c r="F4" s="3738"/>
      <c r="G4" s="3737">
        <v>1</v>
      </c>
      <c r="H4" s="1285"/>
      <c r="I4" s="1285"/>
      <c r="J4" s="1285"/>
      <c r="K4" s="1285"/>
      <c r="L4" s="1286"/>
      <c r="M4" s="1287"/>
      <c r="N4" s="1287"/>
      <c r="O4" s="1287"/>
      <c r="P4" s="288"/>
      <c r="Q4" s="286"/>
      <c r="R4" s="287"/>
      <c r="S4" s="1347" t="e">
        <f>INDEX(PT_DIFFERENTIATION_NUM_CS,MATCH(C4,PT_DIFFERENTIATION_CS_ID,0))</f>
        <v>#N/A</v>
      </c>
      <c r="T4" s="244" t="s">
        <v>524</v>
      </c>
      <c r="U4" s="235"/>
      <c r="V4" s="3723"/>
      <c r="W4" s="3724"/>
      <c r="X4" s="3724"/>
      <c r="Y4" s="3724"/>
      <c r="Z4" s="3724"/>
      <c r="AA4" s="3724"/>
      <c r="AB4" s="3725"/>
      <c r="AC4" s="3723" t="e">
        <f>INDEX(PT_DIFFERENTIATION_CS,MATCH(C4,PT_DIFFERENTIATION_CS_ID,0))</f>
        <v>#N/A</v>
      </c>
      <c r="AD4" s="3724"/>
      <c r="AE4" s="3724"/>
      <c r="AF4" s="3724"/>
      <c r="AG4" s="3724"/>
      <c r="AH4" s="3724"/>
      <c r="AI4" s="3724"/>
      <c r="AJ4" s="3725"/>
      <c r="AK4" s="1180" t="s">
        <v>525</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3738"/>
      <c r="F5" s="3738"/>
      <c r="G5" s="3738"/>
      <c r="H5" s="3738"/>
      <c r="I5" s="3735" t="e">
        <f>S4&amp;".1"</f>
        <v>#N/A</v>
      </c>
      <c r="J5" s="1285"/>
      <c r="K5" s="1285"/>
      <c r="L5" s="1286"/>
      <c r="P5" s="3736">
        <v>1</v>
      </c>
      <c r="Q5" s="1344"/>
      <c r="R5" s="290"/>
      <c r="S5" s="1347" t="e">
        <f>$I5</f>
        <v>#N/A</v>
      </c>
      <c r="T5" s="220" t="s">
        <v>526</v>
      </c>
      <c r="U5" s="235"/>
      <c r="V5" s="3807"/>
      <c r="W5" s="3808"/>
      <c r="X5" s="3808"/>
      <c r="Y5" s="3808"/>
      <c r="Z5" s="3808"/>
      <c r="AA5" s="3808"/>
      <c r="AB5" s="3809"/>
      <c r="AC5" s="3810"/>
      <c r="AD5" s="3811"/>
      <c r="AE5" s="3811"/>
      <c r="AF5" s="3811"/>
      <c r="AG5" s="3811"/>
      <c r="AH5" s="3811"/>
      <c r="AI5" s="3811"/>
      <c r="AJ5" s="3812"/>
      <c r="AK5" s="1180" t="s">
        <v>527</v>
      </c>
      <c r="AM5" s="434"/>
      <c r="AN5" s="434" t="str">
        <f t="shared" si="0"/>
        <v>Наименование признака дифференциации</v>
      </c>
      <c r="AO5" s="434"/>
      <c r="AP5" s="434"/>
      <c r="AQ5" s="1077">
        <v>0</v>
      </c>
    </row>
    <row r="6" spans="1:43" ht="23.25" hidden="1" customHeight="1">
      <c r="A6" s="1285"/>
      <c r="B6" s="1285"/>
      <c r="C6" s="1285"/>
      <c r="D6" s="1285"/>
      <c r="E6" s="3738"/>
      <c r="F6" s="3738"/>
      <c r="G6" s="3738"/>
      <c r="H6" s="3738"/>
      <c r="I6" s="3758"/>
      <c r="J6" s="3735" t="e">
        <f>I5&amp;".1"</f>
        <v>#N/A</v>
      </c>
      <c r="K6" s="1285"/>
      <c r="L6" s="1286" t="s">
        <v>451</v>
      </c>
      <c r="P6" s="3736"/>
      <c r="Q6" s="3736">
        <v>1</v>
      </c>
      <c r="R6" s="291"/>
      <c r="S6" s="1347" t="e">
        <f>$J6</f>
        <v>#N/A</v>
      </c>
      <c r="T6" s="221" t="s">
        <v>452</v>
      </c>
      <c r="U6" s="235"/>
      <c r="V6" s="3726"/>
      <c r="W6" s="3727"/>
      <c r="X6" s="3727"/>
      <c r="Y6" s="3727"/>
      <c r="Z6" s="3727"/>
      <c r="AA6" s="3727"/>
      <c r="AB6" s="3728"/>
      <c r="AC6" s="3726"/>
      <c r="AD6" s="3727"/>
      <c r="AE6" s="3727"/>
      <c r="AF6" s="3727"/>
      <c r="AG6" s="3727"/>
      <c r="AH6" s="3727"/>
      <c r="AI6" s="3727"/>
      <c r="AJ6" s="3728"/>
      <c r="AK6" s="1229" t="s">
        <v>528</v>
      </c>
      <c r="AM6" s="434"/>
      <c r="AN6" s="434" t="str">
        <f t="shared" si="0"/>
        <v>Группа потребителей</v>
      </c>
      <c r="AO6" s="434"/>
      <c r="AP6" s="434"/>
      <c r="AQ6" s="1077">
        <v>0</v>
      </c>
    </row>
    <row r="7" spans="1:43" ht="23.25" hidden="1" customHeight="1">
      <c r="A7" s="1285"/>
      <c r="B7" s="1285"/>
      <c r="C7" s="1285"/>
      <c r="D7" s="1285"/>
      <c r="E7" s="3738"/>
      <c r="F7" s="3738"/>
      <c r="G7" s="3738"/>
      <c r="H7" s="3738"/>
      <c r="I7" s="3758"/>
      <c r="J7" s="3758"/>
      <c r="K7" s="3735" t="e">
        <f>J6&amp;".1"</f>
        <v>#N/A</v>
      </c>
      <c r="L7" s="1286"/>
      <c r="P7" s="3736"/>
      <c r="Q7" s="3736"/>
      <c r="R7" s="291">
        <v>1</v>
      </c>
      <c r="S7" s="1347" t="e">
        <f>$K7</f>
        <v>#N/A</v>
      </c>
      <c r="T7" s="1359"/>
      <c r="U7" s="235"/>
      <c r="V7" s="685"/>
      <c r="W7" s="685"/>
      <c r="X7" s="1179"/>
      <c r="Y7" s="3740"/>
      <c r="Z7" s="3599" t="s">
        <v>50</v>
      </c>
      <c r="AA7" s="3740"/>
      <c r="AB7" s="3599" t="s">
        <v>50</v>
      </c>
      <c r="AC7" s="685"/>
      <c r="AD7" s="685"/>
      <c r="AE7" s="1179"/>
      <c r="AF7" s="3740"/>
      <c r="AG7" s="3599" t="s">
        <v>50</v>
      </c>
      <c r="AH7" s="3759"/>
      <c r="AI7" s="3599" t="s">
        <v>50</v>
      </c>
      <c r="AJ7" s="1360"/>
      <c r="AK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3738"/>
      <c r="F8" s="3738"/>
      <c r="G8" s="3738"/>
      <c r="H8" s="3738"/>
      <c r="I8" s="3758"/>
      <c r="J8" s="3758"/>
      <c r="K8" s="3735"/>
      <c r="L8" s="1286"/>
      <c r="P8" s="3736"/>
      <c r="Q8" s="3736"/>
      <c r="R8" s="291"/>
      <c r="S8" s="1346"/>
      <c r="T8" s="235"/>
      <c r="U8" s="235"/>
      <c r="V8" s="260"/>
      <c r="W8" s="260"/>
      <c r="X8" s="263" t="str">
        <f>Y7&amp;"-"&amp;AA7</f>
        <v>-</v>
      </c>
      <c r="Y8" s="3741"/>
      <c r="Z8" s="3599"/>
      <c r="AA8" s="3741"/>
      <c r="AB8" s="3599"/>
      <c r="AC8" s="260"/>
      <c r="AD8" s="260"/>
      <c r="AE8" s="263" t="str">
        <f>AF7&amp;"-"&amp;AH7</f>
        <v>-</v>
      </c>
      <c r="AF8" s="3741"/>
      <c r="AG8" s="3599"/>
      <c r="AH8" s="3760"/>
      <c r="AI8" s="3599"/>
      <c r="AJ8" s="1361"/>
      <c r="AK8" s="3806"/>
      <c r="AM8" s="434"/>
      <c r="AN8" s="434" t="str">
        <f t="shared" si="0"/>
        <v/>
      </c>
      <c r="AO8" s="434"/>
      <c r="AP8" s="434"/>
      <c r="AQ8" s="1077">
        <v>0</v>
      </c>
    </row>
    <row r="9" spans="1:43" ht="21" hidden="1" customHeight="1">
      <c r="A9" s="1285"/>
      <c r="B9" s="1285"/>
      <c r="C9" s="1285"/>
      <c r="D9" s="1285"/>
      <c r="E9" s="3738"/>
      <c r="F9" s="3738"/>
      <c r="G9" s="3738"/>
      <c r="H9" s="3738"/>
      <c r="I9" s="3758"/>
      <c r="J9" s="3735"/>
      <c r="K9" s="1285"/>
      <c r="L9" s="1286"/>
      <c r="P9" s="3736"/>
      <c r="Q9" s="3736"/>
      <c r="R9" s="290"/>
      <c r="S9" s="1200"/>
      <c r="T9" s="222" t="s">
        <v>529</v>
      </c>
      <c r="U9" s="301"/>
      <c r="V9" s="301"/>
      <c r="W9" s="301"/>
      <c r="X9" s="301"/>
      <c r="Y9" s="301"/>
      <c r="Z9" s="301"/>
      <c r="AA9" s="301"/>
      <c r="AB9" s="301"/>
      <c r="AC9" s="301"/>
      <c r="AD9" s="301"/>
      <c r="AE9" s="301"/>
      <c r="AF9" s="301"/>
      <c r="AG9" s="301"/>
      <c r="AH9" s="301"/>
      <c r="AI9" s="301"/>
      <c r="AJ9" s="301"/>
      <c r="AK9" s="1180" t="s">
        <v>530</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3738"/>
      <c r="F10" s="3738"/>
      <c r="G10" s="3738"/>
      <c r="H10" s="3738"/>
      <c r="I10" s="3735"/>
      <c r="J10" s="1285"/>
      <c r="K10" s="1285"/>
      <c r="L10" s="1286"/>
      <c r="P10" s="3736"/>
      <c r="Q10" s="1344"/>
      <c r="R10" s="290"/>
      <c r="S10" s="1200"/>
      <c r="T10" s="299" t="s">
        <v>457</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14.25"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3738"/>
      <c r="F12" s="3737"/>
      <c r="G12" s="1236"/>
      <c r="H12" s="1236"/>
      <c r="I12" s="1236"/>
      <c r="J12" s="1236"/>
      <c r="K12" s="1236"/>
      <c r="L12" s="1348"/>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3742"/>
      <c r="AG15" s="3743" t="s">
        <v>50</v>
      </c>
      <c r="AH15" s="3742"/>
      <c r="AI15" s="3743" t="s">
        <v>50</v>
      </c>
      <c r="AQ15" s="1077">
        <v>0</v>
      </c>
    </row>
    <row r="16" spans="1:43" ht="14.25" hidden="1" customHeight="1">
      <c r="AC16" s="1282"/>
      <c r="AD16" s="1282"/>
      <c r="AE16" s="263" t="str">
        <f>AF15&amp;"-"&amp;AH15</f>
        <v>-</v>
      </c>
      <c r="AF16" s="3743"/>
      <c r="AG16" s="3743"/>
      <c r="AH16" s="3743"/>
      <c r="AI16" s="3743"/>
      <c r="AQ16" s="1077">
        <v>0</v>
      </c>
    </row>
    <row r="17" spans="1:43" ht="14.25" hidden="1" customHeight="1">
      <c r="AI17" s="262"/>
      <c r="AQ17" s="1077">
        <v>0</v>
      </c>
    </row>
    <row r="18" spans="1:43" s="1288" customFormat="1" ht="22.5" hidden="1" customHeight="1">
      <c r="L18" s="1343"/>
      <c r="M18" s="1284"/>
      <c r="N18" s="1284"/>
      <c r="O18" s="1289" t="s">
        <v>462</v>
      </c>
      <c r="P18" s="1284"/>
      <c r="Q18" s="1293"/>
      <c r="R18" s="1293"/>
      <c r="S18" s="663"/>
      <c r="Y18" s="1289"/>
      <c r="AA18" s="1289"/>
      <c r="AF18" s="1289"/>
      <c r="AH18" s="1289"/>
      <c r="AL18" s="445"/>
      <c r="AM18" s="445"/>
      <c r="AN18" s="445"/>
      <c r="AO18" s="445"/>
      <c r="AP18" s="445"/>
      <c r="AQ18" s="1082">
        <v>0</v>
      </c>
    </row>
    <row r="19" spans="1:43" s="1288" customFormat="1" ht="14.25" hidden="1" customHeight="1">
      <c r="L19" s="1343"/>
      <c r="M19" s="1284"/>
      <c r="N19" s="1284"/>
      <c r="O19" s="1284"/>
      <c r="P19" s="1284"/>
      <c r="Q19" s="1293"/>
      <c r="R19" s="1293"/>
      <c r="S19" s="663"/>
      <c r="AL19" s="445"/>
      <c r="AM19" s="445"/>
      <c r="AN19" s="445"/>
      <c r="AO19" s="445"/>
      <c r="AP19" s="445"/>
      <c r="AQ19" s="1082">
        <v>0</v>
      </c>
    </row>
    <row r="20" spans="1:43" s="1288" customFormat="1" ht="12" hidden="1" customHeight="1">
      <c r="L20" s="1343"/>
      <c r="M20" s="1284"/>
      <c r="N20" s="1284"/>
      <c r="O20" s="1286" t="s">
        <v>463</v>
      </c>
      <c r="P20" s="1284"/>
      <c r="Q20" s="1364"/>
      <c r="R20" s="1364"/>
      <c r="S20" s="663"/>
      <c r="T20" s="1082" t="s">
        <v>464</v>
      </c>
      <c r="Z20" s="121" t="s">
        <v>465</v>
      </c>
      <c r="AB20" s="121" t="s">
        <v>466</v>
      </c>
      <c r="AC20" s="1082" t="s">
        <v>464</v>
      </c>
      <c r="AG20" s="121" t="s">
        <v>467</v>
      </c>
      <c r="AI20" s="121" t="s">
        <v>466</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37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721"/>
      <c r="U24" s="3721"/>
      <c r="V24" s="3721"/>
      <c r="W24" s="3721"/>
      <c r="X24" s="3721"/>
      <c r="Y24" s="3721"/>
      <c r="Z24" s="3721"/>
      <c r="AA24" s="3721"/>
      <c r="AB24" s="3721"/>
      <c r="AC24" s="3721"/>
      <c r="AD24" s="3721"/>
      <c r="AE24" s="3721"/>
      <c r="AF24" s="3721"/>
      <c r="AG24" s="3721"/>
      <c r="AH24" s="3721"/>
      <c r="AI24" s="1165"/>
      <c r="AQ24" s="1077">
        <v>14</v>
      </c>
    </row>
    <row r="25" spans="1:43"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261"/>
      <c r="AC27" s="3730" t="str">
        <f>IF(TITLE_NAME_OR_PR_CHANGE="",IF(TITLE_NAME_OR_PR="","",TITLE_NAME_OR_PR),TITLE_NAME_OR_PR_CHANGE)</f>
        <v/>
      </c>
      <c r="AD27" s="3730"/>
      <c r="AE27" s="3730"/>
      <c r="AF27" s="3730"/>
      <c r="AG27" s="3730"/>
      <c r="AH27" s="3730"/>
      <c r="AI27" s="261"/>
      <c r="AJ27" s="261"/>
      <c r="AK27" s="215"/>
      <c r="AL27" s="302"/>
      <c r="AM27" s="302"/>
      <c r="AN27" s="302"/>
      <c r="AO27" s="302"/>
      <c r="AP27" s="302"/>
      <c r="AQ27" s="352">
        <v>0</v>
      </c>
    </row>
    <row r="28" spans="1:43"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261"/>
      <c r="AC28" s="3739" t="str">
        <f>IF(TITLE_DATE_PR_CHANGE="",IF(TITLE_DATE_PR="","",TITLE_DATE_PR),TITLE_DATE_PR_CHANGE)</f>
        <v/>
      </c>
      <c r="AD28" s="3739"/>
      <c r="AE28" s="3739"/>
      <c r="AF28" s="3739"/>
      <c r="AG28" s="3739"/>
      <c r="AH28" s="3739"/>
      <c r="AI28" s="261"/>
      <c r="AJ28" s="261"/>
      <c r="AK28" s="215"/>
      <c r="AL28" s="302"/>
      <c r="AM28" s="302"/>
      <c r="AN28" s="302"/>
      <c r="AO28" s="302"/>
      <c r="AP28" s="302"/>
      <c r="AQ28" s="352">
        <v>0</v>
      </c>
    </row>
    <row r="29" spans="1:43"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261"/>
      <c r="AC29" s="3730" t="str">
        <f>IF(TITLE_NUMBER_PR_CHANGE="",IF(TITLE_NUMBER_PR="","",TITLE_NUMBER_PR),TITLE_NUMBER_PR_CHANGE)</f>
        <v/>
      </c>
      <c r="AD29" s="3730"/>
      <c r="AE29" s="3730"/>
      <c r="AF29" s="3730"/>
      <c r="AG29" s="3730"/>
      <c r="AH29" s="3730"/>
      <c r="AI29" s="261"/>
      <c r="AJ29" s="261"/>
      <c r="AK29" s="215"/>
      <c r="AL29" s="302"/>
      <c r="AM29" s="302"/>
      <c r="AN29" s="302"/>
      <c r="AO29" s="302"/>
      <c r="AP29" s="302"/>
      <c r="AQ29" s="352">
        <v>0</v>
      </c>
    </row>
    <row r="30" spans="1:43"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261"/>
      <c r="AC30" s="3730" t="str">
        <f>IF(TITLE_IST_PUB_CHANGE="",IF(TITLE_IST_PUB="","",TITLE_IST_PUB),TITLE_IST_PUB_CHANGE)</f>
        <v/>
      </c>
      <c r="AD30" s="3730"/>
      <c r="AE30" s="3730"/>
      <c r="AF30" s="3730"/>
      <c r="AG30" s="3730"/>
      <c r="AH30" s="3730"/>
      <c r="AI30" s="261"/>
      <c r="AJ30" s="261"/>
      <c r="AK30" s="215"/>
      <c r="AL30" s="302"/>
      <c r="AM30" s="302"/>
      <c r="AN30" s="302"/>
      <c r="AO30" s="302"/>
      <c r="AP30" s="302"/>
      <c r="AQ30" s="352">
        <v>0</v>
      </c>
    </row>
    <row r="31" spans="1:43" ht="14.25" hidden="1" customHeight="1">
      <c r="Q31" s="310"/>
      <c r="R31" s="310"/>
      <c r="S31" s="1197"/>
      <c r="T31" s="297"/>
      <c r="U31" s="297"/>
      <c r="V31" s="257"/>
      <c r="W31" s="257"/>
      <c r="X31" s="257"/>
      <c r="Y31" s="257"/>
      <c r="Z31" s="257"/>
      <c r="AA31" s="257"/>
      <c r="AB31" s="257"/>
      <c r="AC31" s="257"/>
      <c r="AD31" s="257"/>
      <c r="AE31" s="257"/>
      <c r="AF31" s="257"/>
      <c r="AG31" s="257"/>
      <c r="AH31" s="257"/>
      <c r="AI31" s="257"/>
      <c r="AJ31" s="443"/>
      <c r="AQ31" s="1077">
        <v>0</v>
      </c>
    </row>
    <row r="32" spans="1:43"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261"/>
      <c r="AC32" s="3739" t="str">
        <f>IF(TITLE_DATE_PR_CHANGE="",IF(TITLE_DATE_PR="","",TITLE_DATE_PR),TITLE_DATE_PR_CHANGE)</f>
        <v/>
      </c>
      <c r="AD32" s="3739"/>
      <c r="AE32" s="3739"/>
      <c r="AF32" s="3739"/>
      <c r="AG32" s="3739"/>
      <c r="AH32" s="3739"/>
      <c r="AI32" s="261"/>
      <c r="AJ32" s="261"/>
      <c r="AK32" s="215"/>
      <c r="AL32" s="302"/>
      <c r="AM32" s="302"/>
      <c r="AN32" s="302"/>
      <c r="AO32" s="302"/>
      <c r="AP32" s="302"/>
      <c r="AQ32" s="352">
        <v>0</v>
      </c>
    </row>
    <row r="33" spans="1:43"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261"/>
      <c r="AC33" s="3730" t="str">
        <f>IF(TITLE_NUMBER_PR_CHANGE="",IF(TITLE_NUMBER_PR="","",TITLE_NUMBER_PR),TITLE_NUMBER_PR_CHANGE)</f>
        <v/>
      </c>
      <c r="AD33" s="3730"/>
      <c r="AE33" s="3730"/>
      <c r="AF33" s="3730"/>
      <c r="AG33" s="3730"/>
      <c r="AH33" s="3730"/>
      <c r="AI33" s="261"/>
      <c r="AJ33" s="261"/>
      <c r="AK33" s="215"/>
      <c r="AL33" s="302"/>
      <c r="AM33" s="302"/>
      <c r="AN33" s="302"/>
      <c r="AO33" s="302"/>
      <c r="AP33" s="302"/>
      <c r="AQ33" s="352">
        <v>0</v>
      </c>
    </row>
    <row r="34" spans="1:43"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277"/>
      <c r="V34" s="261"/>
      <c r="W34" s="261"/>
      <c r="X34" s="261"/>
      <c r="Y34" s="261"/>
      <c r="Z34" s="261"/>
      <c r="AA34" s="261"/>
      <c r="AB34" s="213" t="s">
        <v>468</v>
      </c>
      <c r="AC34" s="261"/>
      <c r="AD34" s="261"/>
      <c r="AE34" s="261"/>
      <c r="AF34" s="261"/>
      <c r="AG34" s="261"/>
      <c r="AH34" s="261"/>
      <c r="AI34" s="213" t="s">
        <v>468</v>
      </c>
      <c r="AL34" s="302"/>
      <c r="AM34" s="302"/>
      <c r="AN34" s="302"/>
      <c r="AO34" s="302"/>
      <c r="AP34" s="302"/>
      <c r="AQ34" s="352">
        <v>1</v>
      </c>
    </row>
    <row r="35" spans="1:43" ht="14.65" customHeight="1">
      <c r="Q35" s="310"/>
      <c r="R35" s="310"/>
      <c r="S35" s="1197"/>
      <c r="T35" s="297"/>
      <c r="U35" s="1166"/>
      <c r="V35" s="3731"/>
      <c r="W35" s="3731"/>
      <c r="X35" s="3731"/>
      <c r="Y35" s="3731"/>
      <c r="Z35" s="3731"/>
      <c r="AA35" s="3731"/>
      <c r="AB35" s="3731"/>
      <c r="AC35" s="3731"/>
      <c r="AD35" s="3731"/>
      <c r="AE35" s="3731"/>
      <c r="AF35" s="3731"/>
      <c r="AG35" s="3731"/>
      <c r="AH35" s="3731"/>
      <c r="AI35" s="3731"/>
      <c r="AQ35" s="1077">
        <v>14</v>
      </c>
    </row>
    <row r="36" spans="1:43"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t="s">
        <v>346</v>
      </c>
      <c r="AQ36" s="1077">
        <v>14</v>
      </c>
    </row>
    <row r="37" spans="1:43" ht="14.65" customHeight="1">
      <c r="Q37" s="310"/>
      <c r="R37" s="310"/>
      <c r="S37" s="3745" t="s">
        <v>76</v>
      </c>
      <c r="T37" s="3697" t="s">
        <v>469</v>
      </c>
      <c r="U37" s="236"/>
      <c r="V37" s="3746" t="s">
        <v>470</v>
      </c>
      <c r="W37" s="3747"/>
      <c r="X37" s="3747"/>
      <c r="Y37" s="3747"/>
      <c r="Z37" s="3747"/>
      <c r="AA37" s="3748"/>
      <c r="AB37" s="3749" t="s">
        <v>471</v>
      </c>
      <c r="AC37" s="3746" t="s">
        <v>470</v>
      </c>
      <c r="AD37" s="3747"/>
      <c r="AE37" s="3747"/>
      <c r="AF37" s="3747"/>
      <c r="AG37" s="3747"/>
      <c r="AH37" s="3748"/>
      <c r="AI37" s="3749" t="s">
        <v>472</v>
      </c>
      <c r="AJ37" s="3752" t="s">
        <v>473</v>
      </c>
      <c r="AK37" s="3618"/>
      <c r="AQ37" s="1077">
        <v>14</v>
      </c>
    </row>
    <row r="38" spans="1:43" ht="35.65" customHeight="1">
      <c r="Q38" s="310"/>
      <c r="R38" s="310"/>
      <c r="S38" s="3745"/>
      <c r="T38" s="3697"/>
      <c r="U38" s="957"/>
      <c r="V38" s="1274" t="s">
        <v>532</v>
      </c>
      <c r="W38" s="3589" t="s">
        <v>476</v>
      </c>
      <c r="X38" s="3588"/>
      <c r="Y38" s="3589" t="s">
        <v>477</v>
      </c>
      <c r="Z38" s="3595"/>
      <c r="AA38" s="3588"/>
      <c r="AB38" s="3750"/>
      <c r="AC38" s="1274" t="s">
        <v>532</v>
      </c>
      <c r="AD38" s="3589" t="s">
        <v>476</v>
      </c>
      <c r="AE38" s="3588"/>
      <c r="AF38" s="3589" t="s">
        <v>477</v>
      </c>
      <c r="AG38" s="3595"/>
      <c r="AH38" s="3588"/>
      <c r="AI38" s="3750"/>
      <c r="AJ38" s="3753"/>
      <c r="AK38" s="3618"/>
      <c r="AQ38" s="1077">
        <v>34</v>
      </c>
    </row>
    <row r="39" spans="1:43" ht="35.65" customHeight="1">
      <c r="A39" s="1292"/>
      <c r="B39" s="1292" t="s">
        <v>188</v>
      </c>
      <c r="C39" s="1292" t="s">
        <v>189</v>
      </c>
      <c r="D39" s="1292" t="s">
        <v>190</v>
      </c>
      <c r="E39" s="1286" t="s">
        <v>478</v>
      </c>
      <c r="F39" s="1286" t="s">
        <v>479</v>
      </c>
      <c r="G39" s="1286" t="s">
        <v>480</v>
      </c>
      <c r="H39" s="1286"/>
      <c r="I39" s="1286" t="s">
        <v>533</v>
      </c>
      <c r="J39" s="1286" t="s">
        <v>483</v>
      </c>
      <c r="K39" s="1286" t="s">
        <v>534</v>
      </c>
      <c r="L39" s="1286" t="s">
        <v>463</v>
      </c>
      <c r="Q39" s="310"/>
      <c r="R39" s="310"/>
      <c r="S39" s="3745"/>
      <c r="T39" s="3697"/>
      <c r="U39" s="237"/>
      <c r="V39" s="1274" t="s">
        <v>535</v>
      </c>
      <c r="W39" s="1144" t="s">
        <v>536</v>
      </c>
      <c r="X39" s="1144" t="s">
        <v>537</v>
      </c>
      <c r="Y39" s="1279" t="s">
        <v>487</v>
      </c>
      <c r="Z39" s="3705" t="s">
        <v>488</v>
      </c>
      <c r="AA39" s="3707"/>
      <c r="AB39" s="3751"/>
      <c r="AC39" s="1274" t="s">
        <v>535</v>
      </c>
      <c r="AD39" s="1144" t="s">
        <v>536</v>
      </c>
      <c r="AE39" s="1144" t="s">
        <v>537</v>
      </c>
      <c r="AF39" s="1279" t="s">
        <v>487</v>
      </c>
      <c r="AG39" s="3705" t="s">
        <v>488</v>
      </c>
      <c r="AH39" s="3707"/>
      <c r="AI39" s="3751"/>
      <c r="AJ39" s="3754"/>
      <c r="AK39" s="3618"/>
      <c r="AQ39" s="1077">
        <v>34</v>
      </c>
    </row>
    <row r="40" spans="1:43" s="1563" customFormat="1" ht="11.25"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164</v>
      </c>
      <c r="T40" s="1177" t="s">
        <v>89</v>
      </c>
      <c r="U40" s="1167" t="str">
        <f ca="1">OFFSET(U40,0,-1)</f>
        <v>2</v>
      </c>
      <c r="V40" s="1275">
        <f ca="1">OFFSET(V40,0,-1)+1</f>
        <v>3</v>
      </c>
      <c r="W40" s="1275">
        <f ca="1">OFFSET(W40,0,-1)+1</f>
        <v>4</v>
      </c>
      <c r="X40" s="1275">
        <f ca="1">OFFSET(X40,0,-1)+1</f>
        <v>5</v>
      </c>
      <c r="Y40" s="1275">
        <f ca="1">OFFSET(Y40,0,-1)+1</f>
        <v>6</v>
      </c>
      <c r="Z40" s="3744">
        <f ca="1">OFFSET(Z40,0,-1)+1</f>
        <v>7</v>
      </c>
      <c r="AA40" s="3744"/>
      <c r="AB40" s="1275">
        <f ca="1">OFFSET(AB40,0,-2)+1</f>
        <v>8</v>
      </c>
      <c r="AC40" s="1275">
        <f ca="1">OFFSET(AC40,0,-1)+1</f>
        <v>9</v>
      </c>
      <c r="AD40" s="1275">
        <f ca="1">OFFSET(AD40,0,-1)+1</f>
        <v>10</v>
      </c>
      <c r="AE40" s="1275">
        <f ca="1">OFFSET(AE40,0,-1)+1</f>
        <v>11</v>
      </c>
      <c r="AF40" s="1275">
        <f ca="1">OFFSET(AF40,0,-1)+1</f>
        <v>12</v>
      </c>
      <c r="AG40" s="3744">
        <f ca="1">OFFSET(AG40,0,-1)+1</f>
        <v>13</v>
      </c>
      <c r="AH40" s="3744"/>
      <c r="AI40" s="1275">
        <f ca="1">OFFSET(AI40,0,-2)+1</f>
        <v>14</v>
      </c>
      <c r="AJ40" s="1167">
        <f ca="1">OFFSET(AJ40,0,-1)</f>
        <v>14</v>
      </c>
      <c r="AK40" s="1275">
        <f ca="1">OFFSET(AK40,0,-1)+1</f>
        <v>15</v>
      </c>
      <c r="AL40" s="445"/>
      <c r="AM40" s="445"/>
      <c r="AN40" s="445"/>
      <c r="AO40" s="445"/>
      <c r="AP40" s="445"/>
      <c r="AQ40" s="430">
        <v>0</v>
      </c>
    </row>
    <row r="41" spans="1:43" ht="24" customHeight="1">
      <c r="A41" s="1285" t="s">
        <v>271</v>
      </c>
      <c r="B41" s="1285"/>
      <c r="C41" s="1285"/>
      <c r="D41" s="1285"/>
      <c r="E41" s="3737">
        <v>1</v>
      </c>
      <c r="F41" s="1285"/>
      <c r="G41" s="1285"/>
      <c r="H41" s="1285"/>
      <c r="I41" s="1285"/>
      <c r="J41" s="1285"/>
      <c r="K41" s="1285"/>
      <c r="L41" s="1286"/>
      <c r="M41" s="1287"/>
      <c r="N41" s="1287"/>
      <c r="O41" s="1287"/>
      <c r="P41" s="295"/>
      <c r="Q41" s="294"/>
      <c r="R41" s="289"/>
      <c r="S41" s="1280">
        <f>INDEX(PT_DIFFERENTIATION_NUM_NTAR,MATCH(A41,PT_DIFFERENTIATION_NTAR_ID,0))</f>
        <v>0</v>
      </c>
      <c r="T41" s="233" t="s">
        <v>176</v>
      </c>
      <c r="U41" s="235"/>
      <c r="V41" s="3723"/>
      <c r="W41" s="3724"/>
      <c r="X41" s="3724"/>
      <c r="Y41" s="3724"/>
      <c r="Z41" s="3724"/>
      <c r="AA41" s="3724"/>
      <c r="AB41" s="3725"/>
      <c r="AC41" s="3723" t="str">
        <f>INDEX(PT_DIFFERENTIATION_NTAR,MATCH(A41,PT_DIFFERENTIATION_NTAR_ID,0))</f>
        <v/>
      </c>
      <c r="AD41" s="3724"/>
      <c r="AE41" s="3724"/>
      <c r="AF41" s="3724"/>
      <c r="AG41" s="3724"/>
      <c r="AH41" s="3724"/>
      <c r="AI41" s="3724"/>
      <c r="AJ41" s="3725"/>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271</v>
      </c>
      <c r="B42" s="1285" t="s">
        <v>272</v>
      </c>
      <c r="C42" s="1285"/>
      <c r="D42" s="1285"/>
      <c r="E42" s="3738"/>
      <c r="F42" s="3737">
        <v>1</v>
      </c>
      <c r="G42" s="1285"/>
      <c r="H42" s="1285"/>
      <c r="I42" s="1285"/>
      <c r="J42" s="1285"/>
      <c r="K42" s="1285"/>
      <c r="L42" s="1286"/>
      <c r="M42" s="1287"/>
      <c r="N42" s="1287"/>
      <c r="O42" s="1287"/>
      <c r="P42" s="1278"/>
      <c r="Q42" s="286"/>
      <c r="R42" s="287"/>
      <c r="S42" s="1280" t="str">
        <f>INDEX(PT_DIFFERENTIATION_NUM_TER,MATCH(B42,PT_DIFFERENTIATION_TER_ID,0))</f>
        <v>.</v>
      </c>
      <c r="T42" s="243" t="s">
        <v>442</v>
      </c>
      <c r="U42" s="235"/>
      <c r="V42" s="3723"/>
      <c r="W42" s="3724"/>
      <c r="X42" s="3724"/>
      <c r="Y42" s="3724"/>
      <c r="Z42" s="3724"/>
      <c r="AA42" s="3724"/>
      <c r="AB42" s="3725"/>
      <c r="AC42" s="3723" t="str">
        <f>INDEX(PT_DIFFERENTIATION_TER,MATCH(B42,PT_DIFFERENTIATION_TER_ID,0))</f>
        <v/>
      </c>
      <c r="AD42" s="3724"/>
      <c r="AE42" s="3724"/>
      <c r="AF42" s="3724"/>
      <c r="AG42" s="3724"/>
      <c r="AH42" s="3724"/>
      <c r="AI42" s="3724"/>
      <c r="AJ42" s="3725"/>
      <c r="AK42" s="1180" t="s">
        <v>443</v>
      </c>
      <c r="AM42" s="434"/>
      <c r="AN42" s="434" t="str">
        <f t="shared" si="1"/>
        <v>Территория действия тарифа</v>
      </c>
      <c r="AO42" s="434"/>
      <c r="AP42" s="434"/>
      <c r="AQ42" s="1077">
        <v>23</v>
      </c>
    </row>
    <row r="43" spans="1:43" ht="24" customHeight="1">
      <c r="A43" s="1285" t="s">
        <v>271</v>
      </c>
      <c r="B43" s="1285" t="s">
        <v>272</v>
      </c>
      <c r="C43" s="1285" t="s">
        <v>273</v>
      </c>
      <c r="D43" s="1285"/>
      <c r="E43" s="3738"/>
      <c r="F43" s="3738"/>
      <c r="G43" s="3737">
        <v>1</v>
      </c>
      <c r="H43" s="1285"/>
      <c r="I43" s="1285"/>
      <c r="J43" s="1285"/>
      <c r="K43" s="1285"/>
      <c r="L43" s="1286"/>
      <c r="M43" s="1287"/>
      <c r="N43" s="1287"/>
      <c r="O43" s="1287"/>
      <c r="P43" s="288"/>
      <c r="Q43" s="286"/>
      <c r="R43" s="287"/>
      <c r="S43" s="1280" t="str">
        <f>INDEX(PT_DIFFERENTIATION_NUM_CS,MATCH(C43,PT_DIFFERENTIATION_CS_ID,0))</f>
        <v>..</v>
      </c>
      <c r="T43" s="244" t="s">
        <v>524</v>
      </c>
      <c r="U43" s="235"/>
      <c r="V43" s="3723"/>
      <c r="W43" s="3724"/>
      <c r="X43" s="3724"/>
      <c r="Y43" s="3724"/>
      <c r="Z43" s="3724"/>
      <c r="AA43" s="3724"/>
      <c r="AB43" s="3725"/>
      <c r="AC43" s="3723" t="str">
        <f>INDEX(PT_DIFFERENTIATION_CS,MATCH(C43,PT_DIFFERENTIATION_CS_ID,0))</f>
        <v/>
      </c>
      <c r="AD43" s="3724"/>
      <c r="AE43" s="3724"/>
      <c r="AF43" s="3724"/>
      <c r="AG43" s="3724"/>
      <c r="AH43" s="3724"/>
      <c r="AI43" s="3724"/>
      <c r="AJ43" s="3725"/>
      <c r="AK43" s="1180" t="s">
        <v>525</v>
      </c>
      <c r="AM43" s="434"/>
      <c r="AN43" s="434" t="str">
        <f t="shared" si="1"/>
        <v>Наименование централизованной системы холодного водоснабжения</v>
      </c>
      <c r="AO43" s="434"/>
      <c r="AP43" s="434"/>
      <c r="AQ43" s="1077">
        <v>23</v>
      </c>
    </row>
    <row r="44" spans="1:43" ht="24" customHeight="1">
      <c r="A44" s="1285" t="s">
        <v>271</v>
      </c>
      <c r="B44" s="1285" t="s">
        <v>272</v>
      </c>
      <c r="C44" s="1285" t="s">
        <v>273</v>
      </c>
      <c r="D44" s="1285" t="s">
        <v>538</v>
      </c>
      <c r="E44" s="3738"/>
      <c r="F44" s="3738"/>
      <c r="G44" s="3738"/>
      <c r="H44" s="3738"/>
      <c r="I44" s="3735" t="str">
        <f>S43&amp;".1"</f>
        <v>...1</v>
      </c>
      <c r="J44" s="1285"/>
      <c r="K44" s="1285"/>
      <c r="L44" s="1286"/>
      <c r="P44" s="3736">
        <v>1</v>
      </c>
      <c r="Q44" s="1276"/>
      <c r="R44" s="290"/>
      <c r="S44" s="1280" t="str">
        <f>$I44</f>
        <v>...1</v>
      </c>
      <c r="T44" s="220" t="s">
        <v>526</v>
      </c>
      <c r="U44" s="235"/>
      <c r="V44" s="3807"/>
      <c r="W44" s="3808"/>
      <c r="X44" s="3808"/>
      <c r="Y44" s="3808"/>
      <c r="Z44" s="3808"/>
      <c r="AA44" s="3808"/>
      <c r="AB44" s="3809"/>
      <c r="AC44" s="3810"/>
      <c r="AD44" s="3811"/>
      <c r="AE44" s="3811"/>
      <c r="AF44" s="3811"/>
      <c r="AG44" s="3811"/>
      <c r="AH44" s="3811"/>
      <c r="AI44" s="3811"/>
      <c r="AJ44" s="3812"/>
      <c r="AK44" s="1180" t="s">
        <v>527</v>
      </c>
      <c r="AM44" s="434"/>
      <c r="AN44" s="434" t="str">
        <f t="shared" si="1"/>
        <v>Наименование признака дифференциации</v>
      </c>
      <c r="AO44" s="434"/>
      <c r="AP44" s="434"/>
      <c r="AQ44" s="1077">
        <v>23</v>
      </c>
    </row>
    <row r="45" spans="1:43" ht="24" customHeight="1">
      <c r="A45" s="1285" t="s">
        <v>271</v>
      </c>
      <c r="B45" s="1285" t="s">
        <v>272</v>
      </c>
      <c r="C45" s="1285" t="s">
        <v>273</v>
      </c>
      <c r="D45" s="1285" t="s">
        <v>538</v>
      </c>
      <c r="E45" s="3738"/>
      <c r="F45" s="3738"/>
      <c r="G45" s="3738"/>
      <c r="H45" s="3738"/>
      <c r="I45" s="3758"/>
      <c r="J45" s="3735" t="str">
        <f>I44&amp;".1"</f>
        <v>...1.1</v>
      </c>
      <c r="K45" s="1285"/>
      <c r="L45" s="1286" t="s">
        <v>451</v>
      </c>
      <c r="P45" s="3736"/>
      <c r="Q45" s="3736">
        <v>1</v>
      </c>
      <c r="R45" s="291"/>
      <c r="S45" s="1280" t="str">
        <f>$J45</f>
        <v>...1.1</v>
      </c>
      <c r="T45" s="221" t="s">
        <v>452</v>
      </c>
      <c r="U45" s="235"/>
      <c r="V45" s="3726"/>
      <c r="W45" s="3727"/>
      <c r="X45" s="3727"/>
      <c r="Y45" s="3727"/>
      <c r="Z45" s="3727"/>
      <c r="AA45" s="3727"/>
      <c r="AB45" s="3728"/>
      <c r="AC45" s="3726"/>
      <c r="AD45" s="3727"/>
      <c r="AE45" s="3727"/>
      <c r="AF45" s="3727"/>
      <c r="AG45" s="3727"/>
      <c r="AH45" s="3727"/>
      <c r="AI45" s="3727"/>
      <c r="AJ45" s="3728"/>
      <c r="AK45" s="1229" t="s">
        <v>528</v>
      </c>
      <c r="AM45" s="434"/>
      <c r="AN45" s="434" t="str">
        <f t="shared" si="1"/>
        <v>Группа потребителей</v>
      </c>
      <c r="AO45" s="434"/>
      <c r="AP45" s="434"/>
      <c r="AQ45" s="1077">
        <v>23</v>
      </c>
    </row>
    <row r="46" spans="1:43" ht="24" customHeight="1">
      <c r="A46" s="1285" t="s">
        <v>271</v>
      </c>
      <c r="B46" s="1285" t="s">
        <v>272</v>
      </c>
      <c r="C46" s="1285" t="s">
        <v>273</v>
      </c>
      <c r="D46" s="1285" t="s">
        <v>538</v>
      </c>
      <c r="E46" s="3738"/>
      <c r="F46" s="3738"/>
      <c r="G46" s="3738"/>
      <c r="H46" s="3738"/>
      <c r="I46" s="3758"/>
      <c r="J46" s="3758"/>
      <c r="K46" s="3735" t="str">
        <f>J45&amp;".1"</f>
        <v>...1.1.1</v>
      </c>
      <c r="L46" s="1286"/>
      <c r="P46" s="3736"/>
      <c r="Q46" s="3736"/>
      <c r="R46" s="291">
        <v>1</v>
      </c>
      <c r="S46" s="1280" t="str">
        <f>$K46</f>
        <v>...1.1.1</v>
      </c>
      <c r="T46" s="1359"/>
      <c r="U46" s="235"/>
      <c r="V46" s="1282"/>
      <c r="W46" s="1282"/>
      <c r="X46" s="1283"/>
      <c r="Y46" s="3742"/>
      <c r="Z46" s="3743" t="s">
        <v>50</v>
      </c>
      <c r="AA46" s="3742"/>
      <c r="AB46" s="3743" t="s">
        <v>50</v>
      </c>
      <c r="AC46" s="685"/>
      <c r="AD46" s="685"/>
      <c r="AE46" s="1179"/>
      <c r="AF46" s="3740"/>
      <c r="AG46" s="3599" t="s">
        <v>50</v>
      </c>
      <c r="AH46" s="3759"/>
      <c r="AI46" s="3599" t="s">
        <v>6</v>
      </c>
      <c r="AJ46" s="1360"/>
      <c r="AK46"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271</v>
      </c>
      <c r="B47" s="1285" t="s">
        <v>272</v>
      </c>
      <c r="C47" s="1285" t="s">
        <v>273</v>
      </c>
      <c r="D47" s="1285" t="s">
        <v>538</v>
      </c>
      <c r="E47" s="3738"/>
      <c r="F47" s="3738"/>
      <c r="G47" s="3738"/>
      <c r="H47" s="3738"/>
      <c r="I47" s="3758"/>
      <c r="J47" s="3758"/>
      <c r="K47" s="3735"/>
      <c r="L47" s="1286"/>
      <c r="P47" s="3736"/>
      <c r="Q47" s="3736"/>
      <c r="R47" s="291"/>
      <c r="S47" s="1281"/>
      <c r="T47" s="235"/>
      <c r="U47" s="235"/>
      <c r="V47" s="1282"/>
      <c r="W47" s="1282"/>
      <c r="X47" s="263" t="str">
        <f>Y46&amp;"-"&amp;AA46</f>
        <v>-</v>
      </c>
      <c r="Y47" s="3743"/>
      <c r="Z47" s="3743"/>
      <c r="AA47" s="3743"/>
      <c r="AB47" s="3743"/>
      <c r="AC47" s="260"/>
      <c r="AD47" s="260"/>
      <c r="AE47" s="263" t="str">
        <f>AF46&amp;"-"&amp;AH46</f>
        <v>-</v>
      </c>
      <c r="AF47" s="3741"/>
      <c r="AG47" s="3599"/>
      <c r="AH47" s="3760"/>
      <c r="AI47" s="3599"/>
      <c r="AJ47" s="1361"/>
      <c r="AK47" s="3806"/>
      <c r="AM47" s="434"/>
      <c r="AN47" s="434" t="str">
        <f t="shared" si="1"/>
        <v/>
      </c>
      <c r="AO47" s="434"/>
      <c r="AP47" s="434"/>
      <c r="AQ47" s="1077">
        <v>0</v>
      </c>
    </row>
    <row r="48" spans="1:43" ht="21" customHeight="1">
      <c r="A48" s="1285" t="s">
        <v>271</v>
      </c>
      <c r="B48" s="1285" t="s">
        <v>272</v>
      </c>
      <c r="C48" s="1285" t="s">
        <v>273</v>
      </c>
      <c r="D48" s="1285" t="s">
        <v>538</v>
      </c>
      <c r="E48" s="3738"/>
      <c r="F48" s="3738"/>
      <c r="G48" s="3738"/>
      <c r="H48" s="3738"/>
      <c r="I48" s="3758"/>
      <c r="J48" s="3735"/>
      <c r="K48" s="1285"/>
      <c r="L48" s="1286"/>
      <c r="P48" s="3736"/>
      <c r="Q48" s="3736"/>
      <c r="R48" s="290"/>
      <c r="S48" s="1200"/>
      <c r="T48" s="222" t="s">
        <v>529</v>
      </c>
      <c r="U48" s="301"/>
      <c r="V48" s="301"/>
      <c r="W48" s="301"/>
      <c r="X48" s="301"/>
      <c r="Y48" s="301"/>
      <c r="Z48" s="301"/>
      <c r="AA48" s="301"/>
      <c r="AB48" s="301"/>
      <c r="AC48" s="301"/>
      <c r="AD48" s="301"/>
      <c r="AE48" s="301"/>
      <c r="AF48" s="301"/>
      <c r="AG48" s="301"/>
      <c r="AH48" s="301"/>
      <c r="AI48" s="301"/>
      <c r="AJ48" s="301"/>
      <c r="AK48" s="1180" t="s">
        <v>530</v>
      </c>
      <c r="AM48" s="434"/>
      <c r="AN48" s="434" t="str">
        <f t="shared" si="1"/>
        <v>Добавить значение признака дифференциации</v>
      </c>
      <c r="AO48" s="434"/>
      <c r="AP48" s="434"/>
      <c r="AQ48" s="1077">
        <v>20</v>
      </c>
    </row>
    <row r="49" spans="1:43" ht="21.95" customHeight="1">
      <c r="A49" s="1285" t="s">
        <v>271</v>
      </c>
      <c r="B49" s="1285" t="s">
        <v>272</v>
      </c>
      <c r="C49" s="1285" t="s">
        <v>273</v>
      </c>
      <c r="D49" s="1285" t="s">
        <v>538</v>
      </c>
      <c r="E49" s="3738"/>
      <c r="F49" s="3738"/>
      <c r="G49" s="3738"/>
      <c r="H49" s="3738"/>
      <c r="I49" s="3735"/>
      <c r="J49" s="1285"/>
      <c r="K49" s="1285"/>
      <c r="L49" s="1286"/>
      <c r="P49" s="3736"/>
      <c r="Q49" s="1276"/>
      <c r="R49" s="290"/>
      <c r="S49" s="1200"/>
      <c r="T49" s="299" t="s">
        <v>457</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271</v>
      </c>
      <c r="B50" s="1285" t="s">
        <v>272</v>
      </c>
      <c r="C50" s="1285" t="s">
        <v>273</v>
      </c>
      <c r="D50" s="1285" t="s">
        <v>538</v>
      </c>
      <c r="E50" s="3738"/>
      <c r="F50" s="3738"/>
      <c r="G50" s="3738"/>
      <c r="H50" s="3737"/>
      <c r="I50" s="1285"/>
      <c r="J50" s="1285"/>
      <c r="K50" s="1285"/>
      <c r="L50" s="1286"/>
      <c r="M50" s="1287"/>
      <c r="N50" s="1287"/>
      <c r="O50" s="471"/>
      <c r="P50" s="294"/>
      <c r="Q50" s="309"/>
      <c r="R50" s="289"/>
      <c r="S50" s="1200"/>
      <c r="T50" s="306" t="s">
        <v>531</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271</v>
      </c>
      <c r="B51" s="1265" t="s">
        <v>272</v>
      </c>
      <c r="C51" s="1236"/>
      <c r="D51" s="1236"/>
      <c r="E51" s="3738"/>
      <c r="F51" s="3737"/>
      <c r="G51" s="1236"/>
      <c r="H51" s="1236"/>
      <c r="I51" s="1236"/>
      <c r="J51" s="1236"/>
      <c r="K51" s="1236"/>
      <c r="L51" s="1348"/>
      <c r="M51" s="1243"/>
      <c r="N51" s="1243"/>
      <c r="P51" s="1238"/>
      <c r="Q51" s="1239"/>
      <c r="R51" s="1238"/>
      <c r="S51" s="1244"/>
      <c r="T51" s="1247" t="s">
        <v>460</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271</v>
      </c>
      <c r="B52" s="1265"/>
      <c r="C52" s="1265"/>
      <c r="D52" s="1265"/>
      <c r="E52" s="3737"/>
      <c r="F52" s="1265"/>
      <c r="G52" s="1265"/>
      <c r="H52" s="1265"/>
      <c r="I52" s="1265"/>
      <c r="J52" s="1265"/>
      <c r="K52" s="1265"/>
      <c r="L52" s="1268"/>
      <c r="M52" s="1243"/>
      <c r="N52" s="1243"/>
      <c r="O52" s="452"/>
      <c r="P52" s="314"/>
      <c r="Q52" s="1266"/>
      <c r="R52" s="314"/>
      <c r="S52" s="1244"/>
      <c r="T52" s="1247" t="s">
        <v>461</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48"/>
      <c r="M53" s="1243"/>
      <c r="N53" s="1243"/>
      <c r="P53" s="1238"/>
      <c r="Q53" s="1239"/>
      <c r="R53" s="1238"/>
      <c r="S53" s="1244"/>
      <c r="T53" s="1247" t="s">
        <v>489</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3757"/>
      <c r="U55" s="3757"/>
      <c r="V55" s="3757"/>
      <c r="W55" s="3757"/>
      <c r="X55" s="3757"/>
      <c r="Y55" s="3757"/>
      <c r="Z55" s="3757"/>
      <c r="AA55" s="3757"/>
      <c r="AB55" s="3757"/>
      <c r="AC55" s="3757"/>
      <c r="AD55" s="3757"/>
      <c r="AE55" s="3757"/>
      <c r="AF55" s="3757"/>
      <c r="AG55" s="3757"/>
      <c r="AH55" s="3757"/>
      <c r="AI55" s="3757"/>
      <c r="AJ55" s="3757"/>
      <c r="AK55" s="3757"/>
      <c r="AQ55" s="1077">
        <v>14</v>
      </c>
    </row>
    <row r="56" spans="1:43" ht="14.65" customHeight="1">
      <c r="O56" s="471"/>
      <c r="AQ56" s="1077">
        <v>14</v>
      </c>
    </row>
    <row r="57" spans="1:43" ht="14.65" customHeight="1">
      <c r="O57" s="471"/>
      <c r="S57" s="1175"/>
      <c r="T57" s="3757"/>
      <c r="U57" s="3757"/>
      <c r="V57" s="3757"/>
      <c r="W57" s="3757"/>
      <c r="X57" s="3757"/>
      <c r="Y57" s="3757"/>
      <c r="Z57" s="3757"/>
      <c r="AA57" s="3757"/>
      <c r="AB57" s="3757"/>
      <c r="AC57" s="3757"/>
      <c r="AD57" s="3757"/>
      <c r="AE57" s="3757"/>
      <c r="AF57" s="3757"/>
      <c r="AG57" s="3757"/>
      <c r="AH57" s="3757"/>
      <c r="AI57" s="3757"/>
      <c r="AJ57" s="3757"/>
      <c r="AK57" s="3757"/>
      <c r="AQ57" s="1077">
        <v>14</v>
      </c>
    </row>
    <row r="58" spans="1:43" ht="22.5" hidden="1" customHeight="1">
      <c r="A58" s="1082" t="s">
        <v>70</v>
      </c>
      <c r="B58" s="1082">
        <v>0</v>
      </c>
      <c r="C58" s="1082">
        <v>0</v>
      </c>
      <c r="D58" s="1082">
        <v>0</v>
      </c>
      <c r="E58" s="1082">
        <v>0</v>
      </c>
      <c r="F58" s="1082">
        <v>0</v>
      </c>
      <c r="G58" s="1082">
        <v>0</v>
      </c>
      <c r="H58" s="1082">
        <v>0</v>
      </c>
      <c r="I58" s="1082">
        <v>0</v>
      </c>
      <c r="J58" s="1082">
        <v>0</v>
      </c>
      <c r="K58" s="1082">
        <v>0</v>
      </c>
      <c r="L58" s="1343">
        <v>0</v>
      </c>
      <c r="M58" s="1284">
        <v>0</v>
      </c>
      <c r="N58" s="1284">
        <v>0</v>
      </c>
      <c r="O58" s="1284">
        <v>0</v>
      </c>
      <c r="P58" s="1273">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v>
      </c>
    </row>
    <row r="2" spans="1:43" ht="23.25" hidden="1" customHeight="1">
      <c r="A2" s="1285"/>
      <c r="B2" s="1285"/>
      <c r="C2" s="1285"/>
      <c r="D2" s="1285"/>
      <c r="E2" s="3737">
        <v>1</v>
      </c>
      <c r="F2" s="1285"/>
      <c r="G2" s="1285"/>
      <c r="H2" s="1285"/>
      <c r="I2" s="1285"/>
      <c r="J2" s="1285"/>
      <c r="K2" s="1285"/>
      <c r="L2" s="1286"/>
      <c r="M2" s="1287"/>
      <c r="N2" s="1287"/>
      <c r="O2" s="1287"/>
      <c r="P2" s="295"/>
      <c r="Q2" s="294"/>
      <c r="R2" s="289"/>
      <c r="S2" s="1379" t="e">
        <f>INDEX(PT_DIFFERENTIATION_NUM_NTAR,MATCH(A2,PT_DIFFERENTIATION_NTAR_ID,0))</f>
        <v>#N/A</v>
      </c>
      <c r="T2" s="233" t="s">
        <v>176</v>
      </c>
      <c r="U2" s="235"/>
      <c r="V2" s="3723"/>
      <c r="W2" s="3724"/>
      <c r="X2" s="3724"/>
      <c r="Y2" s="3724"/>
      <c r="Z2" s="3724"/>
      <c r="AA2" s="3724"/>
      <c r="AB2" s="3725"/>
      <c r="AC2" s="3723" t="e">
        <f>INDEX(PT_DIFFERENTIATION_NTAR,MATCH(A2,PT_DIFFERENTIATION_NTAR_ID,0))</f>
        <v>#N/A</v>
      </c>
      <c r="AD2" s="3724"/>
      <c r="AE2" s="3724"/>
      <c r="AF2" s="3724"/>
      <c r="AG2" s="3724"/>
      <c r="AH2" s="3724"/>
      <c r="AI2" s="3724"/>
      <c r="AJ2" s="3725"/>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3738"/>
      <c r="F3" s="3737">
        <v>1</v>
      </c>
      <c r="G3" s="1285"/>
      <c r="H3" s="1285"/>
      <c r="I3" s="1285"/>
      <c r="J3" s="1285"/>
      <c r="K3" s="1285"/>
      <c r="L3" s="1286"/>
      <c r="M3" s="1287"/>
      <c r="N3" s="1287"/>
      <c r="O3" s="1287"/>
      <c r="P3" s="1375"/>
      <c r="Q3" s="286"/>
      <c r="R3" s="287"/>
      <c r="S3" s="1379" t="e">
        <f>INDEX(PT_DIFFERENTIATION_NUM_TER,MATCH(B3,PT_DIFFERENTIATION_TER_ID,0))</f>
        <v>#N/A</v>
      </c>
      <c r="T3" s="243" t="s">
        <v>442</v>
      </c>
      <c r="U3" s="235"/>
      <c r="V3" s="3723"/>
      <c r="W3" s="3724"/>
      <c r="X3" s="3724"/>
      <c r="Y3" s="3724"/>
      <c r="Z3" s="3724"/>
      <c r="AA3" s="3724"/>
      <c r="AB3" s="3725"/>
      <c r="AC3" s="3723" t="e">
        <f>INDEX(PT_DIFFERENTIATION_TER,MATCH(B3,PT_DIFFERENTIATION_TER_ID,0))</f>
        <v>#N/A</v>
      </c>
      <c r="AD3" s="3724"/>
      <c r="AE3" s="3724"/>
      <c r="AF3" s="3724"/>
      <c r="AG3" s="3724"/>
      <c r="AH3" s="3724"/>
      <c r="AI3" s="3724"/>
      <c r="AJ3" s="3725"/>
      <c r="AK3" s="1180" t="s">
        <v>443</v>
      </c>
      <c r="AM3" s="434"/>
      <c r="AN3" s="434" t="str">
        <f t="shared" si="0"/>
        <v>Территория действия тарифа</v>
      </c>
      <c r="AO3" s="434"/>
      <c r="AP3" s="434"/>
      <c r="AQ3" s="1077">
        <v>0</v>
      </c>
    </row>
    <row r="4" spans="1:43" ht="23.25" hidden="1" customHeight="1">
      <c r="A4" s="1285"/>
      <c r="B4" s="1285"/>
      <c r="C4" s="1285"/>
      <c r="D4" s="1285"/>
      <c r="E4" s="3738"/>
      <c r="F4" s="3738"/>
      <c r="G4" s="3737">
        <v>1</v>
      </c>
      <c r="H4" s="1285"/>
      <c r="I4" s="1285"/>
      <c r="J4" s="1285"/>
      <c r="K4" s="1285"/>
      <c r="L4" s="1286"/>
      <c r="M4" s="1287"/>
      <c r="N4" s="1287"/>
      <c r="O4" s="1287"/>
      <c r="P4" s="288"/>
      <c r="Q4" s="286"/>
      <c r="R4" s="287"/>
      <c r="S4" s="1379" t="e">
        <f>INDEX(PT_DIFFERENTIATION_NUM_CS,MATCH(C4,PT_DIFFERENTIATION_CS_ID,0))</f>
        <v>#N/A</v>
      </c>
      <c r="T4" s="244" t="s">
        <v>524</v>
      </c>
      <c r="U4" s="235"/>
      <c r="V4" s="3723"/>
      <c r="W4" s="3724"/>
      <c r="X4" s="3724"/>
      <c r="Y4" s="3724"/>
      <c r="Z4" s="3724"/>
      <c r="AA4" s="3724"/>
      <c r="AB4" s="3725"/>
      <c r="AC4" s="3723" t="e">
        <f>INDEX(PT_DIFFERENTIATION_CS,MATCH(C4,PT_DIFFERENTIATION_CS_ID,0))</f>
        <v>#N/A</v>
      </c>
      <c r="AD4" s="3724"/>
      <c r="AE4" s="3724"/>
      <c r="AF4" s="3724"/>
      <c r="AG4" s="3724"/>
      <c r="AH4" s="3724"/>
      <c r="AI4" s="3724"/>
      <c r="AJ4" s="3725"/>
      <c r="AK4" s="1180" t="s">
        <v>525</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3738"/>
      <c r="F5" s="3738"/>
      <c r="G5" s="3738"/>
      <c r="H5" s="3738"/>
      <c r="I5" s="3735" t="e">
        <f>S4&amp;".1"</f>
        <v>#N/A</v>
      </c>
      <c r="J5" s="1285"/>
      <c r="K5" s="1285"/>
      <c r="L5" s="1286"/>
      <c r="P5" s="3736">
        <v>1</v>
      </c>
      <c r="Q5" s="1372"/>
      <c r="R5" s="290"/>
      <c r="S5" s="1379" t="e">
        <f>$I5</f>
        <v>#N/A</v>
      </c>
      <c r="T5" s="220" t="s">
        <v>526</v>
      </c>
      <c r="U5" s="235"/>
      <c r="V5" s="3807"/>
      <c r="W5" s="3808"/>
      <c r="X5" s="3808"/>
      <c r="Y5" s="3808"/>
      <c r="Z5" s="3808"/>
      <c r="AA5" s="3808"/>
      <c r="AB5" s="3809"/>
      <c r="AC5" s="3810"/>
      <c r="AD5" s="3811"/>
      <c r="AE5" s="3811"/>
      <c r="AF5" s="3811"/>
      <c r="AG5" s="3811"/>
      <c r="AH5" s="3811"/>
      <c r="AI5" s="3811"/>
      <c r="AJ5" s="3812"/>
      <c r="AK5" s="1180" t="s">
        <v>527</v>
      </c>
      <c r="AM5" s="434"/>
      <c r="AN5" s="434" t="str">
        <f t="shared" si="0"/>
        <v>Наименование признака дифференциации</v>
      </c>
      <c r="AO5" s="434"/>
      <c r="AP5" s="434"/>
      <c r="AQ5" s="1077">
        <v>0</v>
      </c>
    </row>
    <row r="6" spans="1:43" ht="23.25" hidden="1" customHeight="1">
      <c r="A6" s="1285"/>
      <c r="B6" s="1285"/>
      <c r="C6" s="1285"/>
      <c r="D6" s="1285"/>
      <c r="E6" s="3738"/>
      <c r="F6" s="3738"/>
      <c r="G6" s="3738"/>
      <c r="H6" s="3738"/>
      <c r="I6" s="3758"/>
      <c r="J6" s="3735" t="e">
        <f>I5&amp;".1"</f>
        <v>#N/A</v>
      </c>
      <c r="K6" s="1285"/>
      <c r="L6" s="1286" t="s">
        <v>451</v>
      </c>
      <c r="P6" s="3736"/>
      <c r="Q6" s="3736">
        <v>1</v>
      </c>
      <c r="R6" s="291"/>
      <c r="S6" s="1379" t="e">
        <f>$J6</f>
        <v>#N/A</v>
      </c>
      <c r="T6" s="221" t="s">
        <v>452</v>
      </c>
      <c r="U6" s="235"/>
      <c r="V6" s="3726"/>
      <c r="W6" s="3727"/>
      <c r="X6" s="3727"/>
      <c r="Y6" s="3727"/>
      <c r="Z6" s="3727"/>
      <c r="AA6" s="3727"/>
      <c r="AB6" s="3728"/>
      <c r="AC6" s="3726"/>
      <c r="AD6" s="3727"/>
      <c r="AE6" s="3727"/>
      <c r="AF6" s="3727"/>
      <c r="AG6" s="3727"/>
      <c r="AH6" s="3727"/>
      <c r="AI6" s="3727"/>
      <c r="AJ6" s="3728"/>
      <c r="AK6" s="1229" t="s">
        <v>528</v>
      </c>
      <c r="AM6" s="434"/>
      <c r="AN6" s="434" t="str">
        <f t="shared" si="0"/>
        <v>Группа потребителей</v>
      </c>
      <c r="AO6" s="434"/>
      <c r="AP6" s="434"/>
      <c r="AQ6" s="1077">
        <v>0</v>
      </c>
    </row>
    <row r="7" spans="1:43" ht="23.25" hidden="1" customHeight="1">
      <c r="A7" s="1285"/>
      <c r="B7" s="1285"/>
      <c r="C7" s="1285"/>
      <c r="D7" s="1285"/>
      <c r="E7" s="3738"/>
      <c r="F7" s="3738"/>
      <c r="G7" s="3738"/>
      <c r="H7" s="3738"/>
      <c r="I7" s="3758"/>
      <c r="J7" s="3758"/>
      <c r="K7" s="3735" t="e">
        <f>J6&amp;".1"</f>
        <v>#N/A</v>
      </c>
      <c r="L7" s="1286"/>
      <c r="P7" s="3736"/>
      <c r="Q7" s="3736"/>
      <c r="R7" s="291">
        <v>1</v>
      </c>
      <c r="S7" s="1379" t="e">
        <f>$K7</f>
        <v>#N/A</v>
      </c>
      <c r="T7" s="1359"/>
      <c r="U7" s="235"/>
      <c r="V7" s="685"/>
      <c r="W7" s="685"/>
      <c r="X7" s="1179"/>
      <c r="Y7" s="3740"/>
      <c r="Z7" s="3599" t="s">
        <v>50</v>
      </c>
      <c r="AA7" s="3740"/>
      <c r="AB7" s="3599" t="s">
        <v>50</v>
      </c>
      <c r="AC7" s="685"/>
      <c r="AD7" s="685"/>
      <c r="AE7" s="1179"/>
      <c r="AF7" s="3740"/>
      <c r="AG7" s="3599" t="s">
        <v>50</v>
      </c>
      <c r="AH7" s="3759"/>
      <c r="AI7" s="3599" t="s">
        <v>50</v>
      </c>
      <c r="AJ7" s="1360"/>
      <c r="AK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3738"/>
      <c r="F8" s="3738"/>
      <c r="G8" s="3738"/>
      <c r="H8" s="3738"/>
      <c r="I8" s="3758"/>
      <c r="J8" s="3758"/>
      <c r="K8" s="3735"/>
      <c r="L8" s="1286"/>
      <c r="P8" s="3736"/>
      <c r="Q8" s="3736"/>
      <c r="R8" s="291"/>
      <c r="S8" s="1378"/>
      <c r="T8" s="235"/>
      <c r="U8" s="235"/>
      <c r="V8" s="260"/>
      <c r="W8" s="260"/>
      <c r="X8" s="263" t="str">
        <f>Y7&amp;"-"&amp;AA7</f>
        <v>-</v>
      </c>
      <c r="Y8" s="3741"/>
      <c r="Z8" s="3599"/>
      <c r="AA8" s="3741"/>
      <c r="AB8" s="3599"/>
      <c r="AC8" s="260"/>
      <c r="AD8" s="260"/>
      <c r="AE8" s="263" t="str">
        <f>AF7&amp;"-"&amp;AH7</f>
        <v>-</v>
      </c>
      <c r="AF8" s="3741"/>
      <c r="AG8" s="3599"/>
      <c r="AH8" s="3760"/>
      <c r="AI8" s="3599"/>
      <c r="AJ8" s="1361"/>
      <c r="AK8" s="3806"/>
      <c r="AM8" s="434"/>
      <c r="AN8" s="434" t="str">
        <f t="shared" si="0"/>
        <v/>
      </c>
      <c r="AO8" s="434"/>
      <c r="AP8" s="434"/>
      <c r="AQ8" s="1077">
        <v>0</v>
      </c>
    </row>
    <row r="9" spans="1:43" ht="21" hidden="1" customHeight="1">
      <c r="A9" s="1285"/>
      <c r="B9" s="1285"/>
      <c r="C9" s="1285"/>
      <c r="D9" s="1285"/>
      <c r="E9" s="3738"/>
      <c r="F9" s="3738"/>
      <c r="G9" s="3738"/>
      <c r="H9" s="3738"/>
      <c r="I9" s="3758"/>
      <c r="J9" s="3735"/>
      <c r="K9" s="1285"/>
      <c r="L9" s="1286"/>
      <c r="P9" s="3736"/>
      <c r="Q9" s="3736"/>
      <c r="R9" s="290"/>
      <c r="S9" s="1200"/>
      <c r="T9" s="222" t="s">
        <v>529</v>
      </c>
      <c r="U9" s="301"/>
      <c r="V9" s="301"/>
      <c r="W9" s="301"/>
      <c r="X9" s="301"/>
      <c r="Y9" s="301"/>
      <c r="Z9" s="301"/>
      <c r="AA9" s="301"/>
      <c r="AB9" s="301"/>
      <c r="AC9" s="301"/>
      <c r="AD9" s="301"/>
      <c r="AE9" s="301"/>
      <c r="AF9" s="301"/>
      <c r="AG9" s="301"/>
      <c r="AH9" s="301"/>
      <c r="AI9" s="301"/>
      <c r="AJ9" s="301"/>
      <c r="AK9" s="1180" t="s">
        <v>530</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3738"/>
      <c r="F10" s="3738"/>
      <c r="G10" s="3738"/>
      <c r="H10" s="3738"/>
      <c r="I10" s="3735"/>
      <c r="J10" s="1285"/>
      <c r="K10" s="1285"/>
      <c r="L10" s="1286"/>
      <c r="P10" s="3736"/>
      <c r="Q10" s="1372"/>
      <c r="R10" s="290"/>
      <c r="S10" s="1200"/>
      <c r="T10" s="299" t="s">
        <v>457</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3738"/>
      <c r="F12" s="3737"/>
      <c r="G12" s="1236"/>
      <c r="H12" s="1236"/>
      <c r="I12" s="1236"/>
      <c r="J12" s="1236"/>
      <c r="K12" s="1236"/>
      <c r="L12" s="1380"/>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3742"/>
      <c r="AG15" s="3743" t="s">
        <v>50</v>
      </c>
      <c r="AH15" s="3742"/>
      <c r="AI15" s="3743" t="s">
        <v>50</v>
      </c>
      <c r="AQ15" s="1077">
        <v>0</v>
      </c>
    </row>
    <row r="16" spans="1:43" ht="14.25" hidden="1" customHeight="1">
      <c r="AC16" s="1282"/>
      <c r="AD16" s="1282"/>
      <c r="AE16" s="263" t="str">
        <f>AF15&amp;"-"&amp;AH15</f>
        <v>-</v>
      </c>
      <c r="AF16" s="3743"/>
      <c r="AG16" s="3743"/>
      <c r="AH16" s="3743"/>
      <c r="AI16" s="3743"/>
      <c r="AQ16" s="1077">
        <v>0</v>
      </c>
    </row>
    <row r="17" spans="1:43" ht="14.25" hidden="1" customHeight="1">
      <c r="AI17" s="262"/>
      <c r="AQ17" s="1077">
        <v>0</v>
      </c>
    </row>
    <row r="18" spans="1:43" s="1288" customFormat="1" ht="22.5" hidden="1" customHeight="1">
      <c r="L18" s="1369"/>
      <c r="M18" s="1284"/>
      <c r="N18" s="1284"/>
      <c r="O18" s="1289" t="s">
        <v>462</v>
      </c>
      <c r="P18" s="1284"/>
      <c r="Q18" s="1293"/>
      <c r="R18" s="1293"/>
      <c r="S18" s="663"/>
      <c r="Y18" s="1289"/>
      <c r="AA18" s="1289"/>
      <c r="AF18" s="1289"/>
      <c r="AH18" s="1289"/>
      <c r="AL18" s="445"/>
      <c r="AM18" s="445"/>
      <c r="AN18" s="445"/>
      <c r="AO18" s="445"/>
      <c r="AP18" s="445"/>
      <c r="AQ18" s="1082">
        <v>0</v>
      </c>
    </row>
    <row r="19" spans="1:43" s="1288" customFormat="1" ht="14.25" hidden="1" customHeight="1">
      <c r="L19" s="1369"/>
      <c r="M19" s="1284"/>
      <c r="N19" s="1284"/>
      <c r="O19" s="1284"/>
      <c r="P19" s="1284"/>
      <c r="Q19" s="1293"/>
      <c r="R19" s="1293"/>
      <c r="S19" s="663"/>
      <c r="AL19" s="445"/>
      <c r="AM19" s="445"/>
      <c r="AN19" s="445"/>
      <c r="AO19" s="445"/>
      <c r="AP19" s="445"/>
      <c r="AQ19" s="1082">
        <v>0</v>
      </c>
    </row>
    <row r="20" spans="1:43" s="1288" customFormat="1" ht="12" hidden="1" customHeight="1">
      <c r="L20" s="1369"/>
      <c r="M20" s="1284"/>
      <c r="N20" s="1284"/>
      <c r="O20" s="1286" t="s">
        <v>463</v>
      </c>
      <c r="P20" s="1284"/>
      <c r="Q20" s="1364"/>
      <c r="R20" s="1364"/>
      <c r="S20" s="663"/>
      <c r="T20" s="1082" t="s">
        <v>464</v>
      </c>
      <c r="Z20" s="121" t="s">
        <v>465</v>
      </c>
      <c r="AB20" s="121" t="s">
        <v>466</v>
      </c>
      <c r="AC20" s="1082" t="s">
        <v>464</v>
      </c>
      <c r="AG20" s="121" t="s">
        <v>467</v>
      </c>
      <c r="AI20" s="121" t="s">
        <v>466</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37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721"/>
      <c r="U24" s="3721"/>
      <c r="V24" s="3721"/>
      <c r="W24" s="3721"/>
      <c r="X24" s="3721"/>
      <c r="Y24" s="3721"/>
      <c r="Z24" s="3721"/>
      <c r="AA24" s="3721"/>
      <c r="AB24" s="3721"/>
      <c r="AC24" s="3721"/>
      <c r="AD24" s="3721"/>
      <c r="AE24" s="3721"/>
      <c r="AF24" s="3721"/>
      <c r="AG24" s="3721"/>
      <c r="AH24" s="3721"/>
      <c r="AI24" s="1165"/>
      <c r="AQ24" s="1077">
        <v>14</v>
      </c>
    </row>
    <row r="25" spans="1:43"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261"/>
      <c r="AC27" s="3730" t="str">
        <f>IF(TITLE_NAME_OR_PR_CHANGE="",IF(TITLE_NAME_OR_PR="","",TITLE_NAME_OR_PR),TITLE_NAME_OR_PR_CHANGE)</f>
        <v/>
      </c>
      <c r="AD27" s="3730"/>
      <c r="AE27" s="3730"/>
      <c r="AF27" s="3730"/>
      <c r="AG27" s="3730"/>
      <c r="AH27" s="3730"/>
      <c r="AI27" s="261"/>
      <c r="AJ27" s="261"/>
      <c r="AK27" s="215"/>
      <c r="AL27" s="302"/>
      <c r="AM27" s="302"/>
      <c r="AN27" s="302"/>
      <c r="AO27" s="302"/>
      <c r="AP27" s="302"/>
      <c r="AQ27" s="352">
        <v>0</v>
      </c>
    </row>
    <row r="28" spans="1:43"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261"/>
      <c r="AC28" s="3739" t="str">
        <f>IF(TITLE_DATE_PR_CHANGE="",IF(TITLE_DATE_PR="","",TITLE_DATE_PR),TITLE_DATE_PR_CHANGE)</f>
        <v/>
      </c>
      <c r="AD28" s="3739"/>
      <c r="AE28" s="3739"/>
      <c r="AF28" s="3739"/>
      <c r="AG28" s="3739"/>
      <c r="AH28" s="3739"/>
      <c r="AI28" s="261"/>
      <c r="AJ28" s="261"/>
      <c r="AK28" s="215"/>
      <c r="AL28" s="302"/>
      <c r="AM28" s="302"/>
      <c r="AN28" s="302"/>
      <c r="AO28" s="302"/>
      <c r="AP28" s="302"/>
      <c r="AQ28" s="352">
        <v>0</v>
      </c>
    </row>
    <row r="29" spans="1:43"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261"/>
      <c r="AC29" s="3730" t="str">
        <f>IF(TITLE_NUMBER_PR_CHANGE="",IF(TITLE_NUMBER_PR="","",TITLE_NUMBER_PR),TITLE_NUMBER_PR_CHANGE)</f>
        <v/>
      </c>
      <c r="AD29" s="3730"/>
      <c r="AE29" s="3730"/>
      <c r="AF29" s="3730"/>
      <c r="AG29" s="3730"/>
      <c r="AH29" s="3730"/>
      <c r="AI29" s="261"/>
      <c r="AJ29" s="261"/>
      <c r="AK29" s="215"/>
      <c r="AL29" s="302"/>
      <c r="AM29" s="302"/>
      <c r="AN29" s="302"/>
      <c r="AO29" s="302"/>
      <c r="AP29" s="302"/>
      <c r="AQ29" s="352">
        <v>0</v>
      </c>
    </row>
    <row r="30" spans="1:43"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261"/>
      <c r="AC30" s="3730" t="str">
        <f>IF(TITLE_IST_PUB_CHANGE="",IF(TITLE_IST_PUB="","",TITLE_IST_PUB),TITLE_IST_PUB_CHANGE)</f>
        <v/>
      </c>
      <c r="AD30" s="3730"/>
      <c r="AE30" s="3730"/>
      <c r="AF30" s="3730"/>
      <c r="AG30" s="3730"/>
      <c r="AH30" s="3730"/>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261"/>
      <c r="AC32" s="3739" t="str">
        <f>IF(TITLE_DATE_PR_CHANGE="",IF(TITLE_DATE_PR="","",TITLE_DATE_PR),TITLE_DATE_PR_CHANGE)</f>
        <v/>
      </c>
      <c r="AD32" s="3739"/>
      <c r="AE32" s="3739"/>
      <c r="AF32" s="3739"/>
      <c r="AG32" s="3739"/>
      <c r="AH32" s="3739"/>
      <c r="AI32" s="261"/>
      <c r="AJ32" s="261"/>
      <c r="AK32" s="215"/>
      <c r="AL32" s="302"/>
      <c r="AM32" s="302"/>
      <c r="AN32" s="302"/>
      <c r="AO32" s="302"/>
      <c r="AP32" s="302"/>
      <c r="AQ32" s="352">
        <v>0</v>
      </c>
    </row>
    <row r="33" spans="1:43"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261"/>
      <c r="AC33" s="3730" t="str">
        <f>IF(TITLE_NUMBER_PR_CHANGE="",IF(TITLE_NUMBER_PR="","",TITLE_NUMBER_PR),TITLE_NUMBER_PR_CHANGE)</f>
        <v/>
      </c>
      <c r="AD33" s="3730"/>
      <c r="AE33" s="3730"/>
      <c r="AF33" s="3730"/>
      <c r="AG33" s="3730"/>
      <c r="AH33" s="3730"/>
      <c r="AI33" s="261"/>
      <c r="AJ33" s="261"/>
      <c r="AK33" s="215"/>
      <c r="AL33" s="302"/>
      <c r="AM33" s="302"/>
      <c r="AN33" s="302"/>
      <c r="AO33" s="302"/>
      <c r="AP33" s="302"/>
      <c r="AQ33" s="352">
        <v>0</v>
      </c>
    </row>
    <row r="34" spans="1:43"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376"/>
      <c r="V34" s="261"/>
      <c r="W34" s="261"/>
      <c r="X34" s="261"/>
      <c r="Y34" s="261"/>
      <c r="Z34" s="261"/>
      <c r="AA34" s="261"/>
      <c r="AB34" s="213" t="s">
        <v>468</v>
      </c>
      <c r="AC34" s="261"/>
      <c r="AD34" s="261"/>
      <c r="AE34" s="261"/>
      <c r="AF34" s="261"/>
      <c r="AG34" s="261"/>
      <c r="AH34" s="261"/>
      <c r="AI34" s="213" t="s">
        <v>468</v>
      </c>
      <c r="AL34" s="302"/>
      <c r="AM34" s="302"/>
      <c r="AN34" s="302"/>
      <c r="AO34" s="302"/>
      <c r="AP34" s="302"/>
      <c r="AQ34" s="352">
        <v>1</v>
      </c>
    </row>
    <row r="35" spans="1:43" ht="14.65" customHeight="1">
      <c r="Q35" s="310"/>
      <c r="R35" s="310"/>
      <c r="S35" s="1197"/>
      <c r="T35" s="297"/>
      <c r="U35" s="1166"/>
      <c r="V35" s="3731"/>
      <c r="W35" s="3731"/>
      <c r="X35" s="3731"/>
      <c r="Y35" s="3731"/>
      <c r="Z35" s="3731"/>
      <c r="AA35" s="3731"/>
      <c r="AB35" s="3731"/>
      <c r="AC35" s="3731"/>
      <c r="AD35" s="3731"/>
      <c r="AE35" s="3731"/>
      <c r="AF35" s="3731"/>
      <c r="AG35" s="3731"/>
      <c r="AH35" s="3731"/>
      <c r="AI35" s="3731"/>
      <c r="AQ35" s="1077">
        <v>14</v>
      </c>
    </row>
    <row r="36" spans="1:43"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t="s">
        <v>346</v>
      </c>
      <c r="AQ36" s="1077">
        <v>14</v>
      </c>
    </row>
    <row r="37" spans="1:43" ht="14.65" customHeight="1">
      <c r="Q37" s="310"/>
      <c r="R37" s="310"/>
      <c r="S37" s="3745" t="s">
        <v>76</v>
      </c>
      <c r="T37" s="3697" t="s">
        <v>469</v>
      </c>
      <c r="U37" s="236"/>
      <c r="V37" s="3746" t="s">
        <v>470</v>
      </c>
      <c r="W37" s="3747"/>
      <c r="X37" s="3747"/>
      <c r="Y37" s="3747"/>
      <c r="Z37" s="3747"/>
      <c r="AA37" s="3748"/>
      <c r="AB37" s="3749" t="s">
        <v>471</v>
      </c>
      <c r="AC37" s="3746" t="s">
        <v>470</v>
      </c>
      <c r="AD37" s="3747"/>
      <c r="AE37" s="3747"/>
      <c r="AF37" s="3747"/>
      <c r="AG37" s="3747"/>
      <c r="AH37" s="3748"/>
      <c r="AI37" s="3749" t="s">
        <v>472</v>
      </c>
      <c r="AJ37" s="3752" t="s">
        <v>473</v>
      </c>
      <c r="AK37" s="3618"/>
      <c r="AQ37" s="1077">
        <v>14</v>
      </c>
    </row>
    <row r="38" spans="1:43" ht="35.65" customHeight="1">
      <c r="Q38" s="310"/>
      <c r="R38" s="310"/>
      <c r="S38" s="3745"/>
      <c r="T38" s="3697"/>
      <c r="U38" s="957"/>
      <c r="V38" s="1374" t="s">
        <v>532</v>
      </c>
      <c r="W38" s="3589" t="s">
        <v>476</v>
      </c>
      <c r="X38" s="3588"/>
      <c r="Y38" s="3589" t="s">
        <v>477</v>
      </c>
      <c r="Z38" s="3595"/>
      <c r="AA38" s="3588"/>
      <c r="AB38" s="3750"/>
      <c r="AC38" s="1374" t="s">
        <v>532</v>
      </c>
      <c r="AD38" s="3589" t="s">
        <v>476</v>
      </c>
      <c r="AE38" s="3588"/>
      <c r="AF38" s="3589" t="s">
        <v>477</v>
      </c>
      <c r="AG38" s="3595"/>
      <c r="AH38" s="3588"/>
      <c r="AI38" s="3750"/>
      <c r="AJ38" s="3753"/>
      <c r="AK38" s="3618"/>
      <c r="AQ38" s="1077">
        <v>34</v>
      </c>
    </row>
    <row r="39" spans="1:43" ht="35.65" customHeight="1">
      <c r="A39" s="1292"/>
      <c r="B39" s="1292" t="s">
        <v>188</v>
      </c>
      <c r="C39" s="1292" t="s">
        <v>189</v>
      </c>
      <c r="D39" s="1292" t="s">
        <v>190</v>
      </c>
      <c r="E39" s="1286" t="s">
        <v>478</v>
      </c>
      <c r="F39" s="1286" t="s">
        <v>479</v>
      </c>
      <c r="G39" s="1286" t="s">
        <v>480</v>
      </c>
      <c r="H39" s="1286"/>
      <c r="I39" s="1286" t="s">
        <v>533</v>
      </c>
      <c r="J39" s="1286" t="s">
        <v>483</v>
      </c>
      <c r="K39" s="1286" t="s">
        <v>534</v>
      </c>
      <c r="L39" s="1286" t="s">
        <v>463</v>
      </c>
      <c r="Q39" s="310"/>
      <c r="R39" s="310"/>
      <c r="S39" s="3745"/>
      <c r="T39" s="3697"/>
      <c r="U39" s="237"/>
      <c r="V39" s="1374" t="s">
        <v>535</v>
      </c>
      <c r="W39" s="1144" t="s">
        <v>536</v>
      </c>
      <c r="X39" s="1144" t="s">
        <v>537</v>
      </c>
      <c r="Y39" s="1377" t="s">
        <v>487</v>
      </c>
      <c r="Z39" s="3705" t="s">
        <v>488</v>
      </c>
      <c r="AA39" s="3707"/>
      <c r="AB39" s="3751"/>
      <c r="AC39" s="1374" t="s">
        <v>535</v>
      </c>
      <c r="AD39" s="1144" t="s">
        <v>536</v>
      </c>
      <c r="AE39" s="1144" t="s">
        <v>537</v>
      </c>
      <c r="AF39" s="1377" t="s">
        <v>487</v>
      </c>
      <c r="AG39" s="3705" t="s">
        <v>488</v>
      </c>
      <c r="AH39" s="3707"/>
      <c r="AI39" s="3751"/>
      <c r="AJ39" s="3754"/>
      <c r="AK39" s="3618"/>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164</v>
      </c>
      <c r="T40" s="1177" t="s">
        <v>89</v>
      </c>
      <c r="U40" s="1167" t="str">
        <f ca="1">OFFSET(U40,0,-1)</f>
        <v>2</v>
      </c>
      <c r="V40" s="1373">
        <f ca="1">OFFSET(V40,0,-1)+1</f>
        <v>3</v>
      </c>
      <c r="W40" s="1373">
        <f ca="1">OFFSET(W40,0,-1)+1</f>
        <v>4</v>
      </c>
      <c r="X40" s="1373">
        <f ca="1">OFFSET(X40,0,-1)+1</f>
        <v>5</v>
      </c>
      <c r="Y40" s="1373">
        <f ca="1">OFFSET(Y40,0,-1)+1</f>
        <v>6</v>
      </c>
      <c r="Z40" s="3744">
        <f ca="1">OFFSET(Z40,0,-1)+1</f>
        <v>7</v>
      </c>
      <c r="AA40" s="3744"/>
      <c r="AB40" s="1373">
        <f ca="1">OFFSET(AB40,0,-2)+1</f>
        <v>8</v>
      </c>
      <c r="AC40" s="1373">
        <f ca="1">OFFSET(AC40,0,-1)+1</f>
        <v>9</v>
      </c>
      <c r="AD40" s="1373">
        <f ca="1">OFFSET(AD40,0,-1)+1</f>
        <v>10</v>
      </c>
      <c r="AE40" s="1373">
        <f ca="1">OFFSET(AE40,0,-1)+1</f>
        <v>11</v>
      </c>
      <c r="AF40" s="1373">
        <f ca="1">OFFSET(AF40,0,-1)+1</f>
        <v>12</v>
      </c>
      <c r="AG40" s="3744">
        <f ca="1">OFFSET(AG40,0,-1)+1</f>
        <v>13</v>
      </c>
      <c r="AH40" s="3744"/>
      <c r="AI40" s="1373">
        <f ca="1">OFFSET(AI40,0,-2)+1</f>
        <v>14</v>
      </c>
      <c r="AJ40" s="1167">
        <f ca="1">OFFSET(AJ40,0,-1)</f>
        <v>14</v>
      </c>
      <c r="AK40" s="1373">
        <f ca="1">OFFSET(AK40,0,-1)+1</f>
        <v>15</v>
      </c>
      <c r="AL40" s="445"/>
      <c r="AM40" s="445"/>
      <c r="AN40" s="445"/>
      <c r="AO40" s="445"/>
      <c r="AP40" s="445"/>
      <c r="AQ40" s="430">
        <v>0</v>
      </c>
    </row>
    <row r="41" spans="1:43" ht="24" customHeight="1">
      <c r="A41" s="1285" t="s">
        <v>276</v>
      </c>
      <c r="B41" s="1285"/>
      <c r="C41" s="1285"/>
      <c r="D41" s="1285"/>
      <c r="E41" s="3737">
        <v>1</v>
      </c>
      <c r="F41" s="1285"/>
      <c r="G41" s="1285"/>
      <c r="H41" s="1285"/>
      <c r="I41" s="1285"/>
      <c r="J41" s="1285"/>
      <c r="K41" s="1285"/>
      <c r="L41" s="1286"/>
      <c r="M41" s="1287"/>
      <c r="N41" s="1287"/>
      <c r="O41" s="1287"/>
      <c r="P41" s="295"/>
      <c r="Q41" s="294"/>
      <c r="R41" s="289"/>
      <c r="S41" s="1379">
        <f>INDEX(PT_DIFFERENTIATION_NUM_NTAR,MATCH(A41,PT_DIFFERENTIATION_NTAR_ID,0))</f>
        <v>0</v>
      </c>
      <c r="T41" s="233" t="s">
        <v>176</v>
      </c>
      <c r="U41" s="235"/>
      <c r="V41" s="3723"/>
      <c r="W41" s="3724"/>
      <c r="X41" s="3724"/>
      <c r="Y41" s="3724"/>
      <c r="Z41" s="3724"/>
      <c r="AA41" s="3724"/>
      <c r="AB41" s="3725"/>
      <c r="AC41" s="3723" t="str">
        <f>INDEX(PT_DIFFERENTIATION_NTAR,MATCH(A41,PT_DIFFERENTIATION_NTAR_ID,0))</f>
        <v/>
      </c>
      <c r="AD41" s="3724"/>
      <c r="AE41" s="3724"/>
      <c r="AF41" s="3724"/>
      <c r="AG41" s="3724"/>
      <c r="AH41" s="3724"/>
      <c r="AI41" s="3724"/>
      <c r="AJ41" s="3725"/>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276</v>
      </c>
      <c r="B42" s="1285" t="s">
        <v>277</v>
      </c>
      <c r="C42" s="1285"/>
      <c r="D42" s="1285"/>
      <c r="E42" s="3738"/>
      <c r="F42" s="3737">
        <v>1</v>
      </c>
      <c r="G42" s="1285"/>
      <c r="H42" s="1285"/>
      <c r="I42" s="1285"/>
      <c r="J42" s="1285"/>
      <c r="K42" s="1285"/>
      <c r="L42" s="1286"/>
      <c r="M42" s="1287"/>
      <c r="N42" s="1287"/>
      <c r="O42" s="1287"/>
      <c r="P42" s="1375"/>
      <c r="Q42" s="286"/>
      <c r="R42" s="287"/>
      <c r="S42" s="1379" t="str">
        <f>INDEX(PT_DIFFERENTIATION_NUM_TER,MATCH(B42,PT_DIFFERENTIATION_TER_ID,0))</f>
        <v>.</v>
      </c>
      <c r="T42" s="243" t="s">
        <v>442</v>
      </c>
      <c r="U42" s="235"/>
      <c r="V42" s="3723"/>
      <c r="W42" s="3724"/>
      <c r="X42" s="3724"/>
      <c r="Y42" s="3724"/>
      <c r="Z42" s="3724"/>
      <c r="AA42" s="3724"/>
      <c r="AB42" s="3725"/>
      <c r="AC42" s="3723" t="str">
        <f>INDEX(PT_DIFFERENTIATION_TER,MATCH(B42,PT_DIFFERENTIATION_TER_ID,0))</f>
        <v/>
      </c>
      <c r="AD42" s="3724"/>
      <c r="AE42" s="3724"/>
      <c r="AF42" s="3724"/>
      <c r="AG42" s="3724"/>
      <c r="AH42" s="3724"/>
      <c r="AI42" s="3724"/>
      <c r="AJ42" s="3725"/>
      <c r="AK42" s="1180" t="s">
        <v>443</v>
      </c>
      <c r="AM42" s="434"/>
      <c r="AN42" s="434" t="str">
        <f t="shared" si="1"/>
        <v>Территория действия тарифа</v>
      </c>
      <c r="AO42" s="434"/>
      <c r="AP42" s="434"/>
      <c r="AQ42" s="1077">
        <v>23</v>
      </c>
    </row>
    <row r="43" spans="1:43" ht="24" customHeight="1">
      <c r="A43" s="1285" t="s">
        <v>276</v>
      </c>
      <c r="B43" s="1285" t="s">
        <v>277</v>
      </c>
      <c r="C43" s="1285" t="s">
        <v>278</v>
      </c>
      <c r="D43" s="1285"/>
      <c r="E43" s="3738"/>
      <c r="F43" s="3738"/>
      <c r="G43" s="3737">
        <v>1</v>
      </c>
      <c r="H43" s="1285"/>
      <c r="I43" s="1285"/>
      <c r="J43" s="1285"/>
      <c r="K43" s="1285"/>
      <c r="L43" s="1286"/>
      <c r="M43" s="1287"/>
      <c r="N43" s="1287"/>
      <c r="O43" s="1287"/>
      <c r="P43" s="288"/>
      <c r="Q43" s="286"/>
      <c r="R43" s="287"/>
      <c r="S43" s="1379" t="str">
        <f>INDEX(PT_DIFFERENTIATION_NUM_CS,MATCH(C43,PT_DIFFERENTIATION_CS_ID,0))</f>
        <v>..</v>
      </c>
      <c r="T43" s="244" t="s">
        <v>524</v>
      </c>
      <c r="U43" s="235"/>
      <c r="V43" s="3723"/>
      <c r="W43" s="3724"/>
      <c r="X43" s="3724"/>
      <c r="Y43" s="3724"/>
      <c r="Z43" s="3724"/>
      <c r="AA43" s="3724"/>
      <c r="AB43" s="3725"/>
      <c r="AC43" s="3723" t="str">
        <f>INDEX(PT_DIFFERENTIATION_CS,MATCH(C43,PT_DIFFERENTIATION_CS_ID,0))</f>
        <v/>
      </c>
      <c r="AD43" s="3724"/>
      <c r="AE43" s="3724"/>
      <c r="AF43" s="3724"/>
      <c r="AG43" s="3724"/>
      <c r="AH43" s="3724"/>
      <c r="AI43" s="3724"/>
      <c r="AJ43" s="3725"/>
      <c r="AK43" s="1180" t="s">
        <v>525</v>
      </c>
      <c r="AM43" s="434"/>
      <c r="AN43" s="434" t="str">
        <f t="shared" si="1"/>
        <v>Наименование централизованной системы холодного водоснабжения</v>
      </c>
      <c r="AO43" s="434"/>
      <c r="AP43" s="434"/>
      <c r="AQ43" s="1077">
        <v>23</v>
      </c>
    </row>
    <row r="44" spans="1:43" ht="24" customHeight="1">
      <c r="A44" s="1285" t="s">
        <v>276</v>
      </c>
      <c r="B44" s="1285" t="s">
        <v>277</v>
      </c>
      <c r="C44" s="1285" t="s">
        <v>278</v>
      </c>
      <c r="D44" s="1285" t="s">
        <v>539</v>
      </c>
      <c r="E44" s="3738"/>
      <c r="F44" s="3738"/>
      <c r="G44" s="3738"/>
      <c r="H44" s="3738"/>
      <c r="I44" s="3735" t="str">
        <f>S43&amp;".1"</f>
        <v>...1</v>
      </c>
      <c r="J44" s="1285"/>
      <c r="K44" s="1285"/>
      <c r="L44" s="1286"/>
      <c r="P44" s="3736">
        <v>1</v>
      </c>
      <c r="Q44" s="1372"/>
      <c r="R44" s="290"/>
      <c r="S44" s="1379" t="str">
        <f>$I44</f>
        <v>...1</v>
      </c>
      <c r="T44" s="220" t="s">
        <v>526</v>
      </c>
      <c r="U44" s="235"/>
      <c r="V44" s="3807"/>
      <c r="W44" s="3808"/>
      <c r="X44" s="3808"/>
      <c r="Y44" s="3808"/>
      <c r="Z44" s="3808"/>
      <c r="AA44" s="3808"/>
      <c r="AB44" s="3809"/>
      <c r="AC44" s="3810"/>
      <c r="AD44" s="3811"/>
      <c r="AE44" s="3811"/>
      <c r="AF44" s="3811"/>
      <c r="AG44" s="3811"/>
      <c r="AH44" s="3811"/>
      <c r="AI44" s="3811"/>
      <c r="AJ44" s="3812"/>
      <c r="AK44" s="1180" t="s">
        <v>527</v>
      </c>
      <c r="AM44" s="434"/>
      <c r="AN44" s="434" t="str">
        <f t="shared" si="1"/>
        <v>Наименование признака дифференциации</v>
      </c>
      <c r="AO44" s="434"/>
      <c r="AP44" s="434"/>
      <c r="AQ44" s="1077">
        <v>23</v>
      </c>
    </row>
    <row r="45" spans="1:43" ht="24" customHeight="1">
      <c r="A45" s="1285" t="s">
        <v>276</v>
      </c>
      <c r="B45" s="1285" t="s">
        <v>277</v>
      </c>
      <c r="C45" s="1285" t="s">
        <v>278</v>
      </c>
      <c r="D45" s="1285" t="s">
        <v>539</v>
      </c>
      <c r="E45" s="3738"/>
      <c r="F45" s="3738"/>
      <c r="G45" s="3738"/>
      <c r="H45" s="3738"/>
      <c r="I45" s="3758"/>
      <c r="J45" s="3735" t="str">
        <f>I44&amp;".1"</f>
        <v>...1.1</v>
      </c>
      <c r="K45" s="1285"/>
      <c r="L45" s="1286" t="s">
        <v>451</v>
      </c>
      <c r="P45" s="3736"/>
      <c r="Q45" s="3736">
        <v>1</v>
      </c>
      <c r="R45" s="291"/>
      <c r="S45" s="1379" t="str">
        <f>$J45</f>
        <v>...1.1</v>
      </c>
      <c r="T45" s="221" t="s">
        <v>452</v>
      </c>
      <c r="U45" s="235"/>
      <c r="V45" s="3726"/>
      <c r="W45" s="3727"/>
      <c r="X45" s="3727"/>
      <c r="Y45" s="3727"/>
      <c r="Z45" s="3727"/>
      <c r="AA45" s="3727"/>
      <c r="AB45" s="3728"/>
      <c r="AC45" s="3726"/>
      <c r="AD45" s="3727"/>
      <c r="AE45" s="3727"/>
      <c r="AF45" s="3727"/>
      <c r="AG45" s="3727"/>
      <c r="AH45" s="3727"/>
      <c r="AI45" s="3727"/>
      <c r="AJ45" s="3728"/>
      <c r="AK45" s="1229" t="s">
        <v>528</v>
      </c>
      <c r="AM45" s="434"/>
      <c r="AN45" s="434" t="str">
        <f t="shared" si="1"/>
        <v>Группа потребителей</v>
      </c>
      <c r="AO45" s="434"/>
      <c r="AP45" s="434"/>
      <c r="AQ45" s="1077">
        <v>23</v>
      </c>
    </row>
    <row r="46" spans="1:43" ht="24" customHeight="1">
      <c r="A46" s="1285" t="s">
        <v>276</v>
      </c>
      <c r="B46" s="1285" t="s">
        <v>277</v>
      </c>
      <c r="C46" s="1285" t="s">
        <v>278</v>
      </c>
      <c r="D46" s="1285" t="s">
        <v>539</v>
      </c>
      <c r="E46" s="3738"/>
      <c r="F46" s="3738"/>
      <c r="G46" s="3738"/>
      <c r="H46" s="3738"/>
      <c r="I46" s="3758"/>
      <c r="J46" s="3758"/>
      <c r="K46" s="3735" t="str">
        <f>J45&amp;".1"</f>
        <v>...1.1.1</v>
      </c>
      <c r="L46" s="1286"/>
      <c r="P46" s="3736"/>
      <c r="Q46" s="3736"/>
      <c r="R46" s="291">
        <v>1</v>
      </c>
      <c r="S46" s="1379" t="str">
        <f>$K46</f>
        <v>...1.1.1</v>
      </c>
      <c r="T46" s="1359"/>
      <c r="U46" s="235"/>
      <c r="V46" s="685"/>
      <c r="W46" s="685"/>
      <c r="X46" s="1179"/>
      <c r="Y46" s="3740"/>
      <c r="Z46" s="3599" t="s">
        <v>50</v>
      </c>
      <c r="AA46" s="3740"/>
      <c r="AB46" s="3599" t="s">
        <v>50</v>
      </c>
      <c r="AC46" s="685"/>
      <c r="AD46" s="685"/>
      <c r="AE46" s="1179"/>
      <c r="AF46" s="3740"/>
      <c r="AG46" s="3599" t="s">
        <v>50</v>
      </c>
      <c r="AH46" s="3759"/>
      <c r="AI46" s="3599" t="s">
        <v>50</v>
      </c>
      <c r="AJ46" s="1360"/>
      <c r="AK46"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276</v>
      </c>
      <c r="B47" s="1285" t="s">
        <v>277</v>
      </c>
      <c r="C47" s="1285" t="s">
        <v>278</v>
      </c>
      <c r="D47" s="1285" t="s">
        <v>539</v>
      </c>
      <c r="E47" s="3738"/>
      <c r="F47" s="3738"/>
      <c r="G47" s="3738"/>
      <c r="H47" s="3738"/>
      <c r="I47" s="3758"/>
      <c r="J47" s="3758"/>
      <c r="K47" s="3735"/>
      <c r="L47" s="1286"/>
      <c r="P47" s="3736"/>
      <c r="Q47" s="3736"/>
      <c r="R47" s="291"/>
      <c r="S47" s="1378"/>
      <c r="T47" s="235"/>
      <c r="U47" s="235"/>
      <c r="V47" s="260"/>
      <c r="W47" s="260"/>
      <c r="X47" s="263" t="str">
        <f>Y46&amp;"-"&amp;AA46</f>
        <v>-</v>
      </c>
      <c r="Y47" s="3741"/>
      <c r="Z47" s="3599"/>
      <c r="AA47" s="3741"/>
      <c r="AB47" s="3599"/>
      <c r="AC47" s="260"/>
      <c r="AD47" s="260"/>
      <c r="AE47" s="263" t="str">
        <f>AF46&amp;"-"&amp;AH46</f>
        <v>-</v>
      </c>
      <c r="AF47" s="3741"/>
      <c r="AG47" s="3599"/>
      <c r="AH47" s="3760"/>
      <c r="AI47" s="3599"/>
      <c r="AJ47" s="1361"/>
      <c r="AK47" s="3806"/>
      <c r="AM47" s="434"/>
      <c r="AN47" s="434" t="str">
        <f t="shared" si="1"/>
        <v/>
      </c>
      <c r="AO47" s="434"/>
      <c r="AP47" s="434"/>
      <c r="AQ47" s="1077">
        <v>0</v>
      </c>
    </row>
    <row r="48" spans="1:43" ht="21" customHeight="1">
      <c r="A48" s="1285" t="s">
        <v>276</v>
      </c>
      <c r="B48" s="1285" t="s">
        <v>277</v>
      </c>
      <c r="C48" s="1285" t="s">
        <v>278</v>
      </c>
      <c r="D48" s="1285" t="s">
        <v>539</v>
      </c>
      <c r="E48" s="3738"/>
      <c r="F48" s="3738"/>
      <c r="G48" s="3738"/>
      <c r="H48" s="3738"/>
      <c r="I48" s="3758"/>
      <c r="J48" s="3735"/>
      <c r="K48" s="1285"/>
      <c r="L48" s="1286"/>
      <c r="P48" s="3736"/>
      <c r="Q48" s="3736"/>
      <c r="R48" s="290"/>
      <c r="S48" s="1200"/>
      <c r="T48" s="222" t="s">
        <v>529</v>
      </c>
      <c r="U48" s="301"/>
      <c r="V48" s="301"/>
      <c r="W48" s="301"/>
      <c r="X48" s="301"/>
      <c r="Y48" s="301"/>
      <c r="Z48" s="301"/>
      <c r="AA48" s="301"/>
      <c r="AB48" s="301"/>
      <c r="AC48" s="301"/>
      <c r="AD48" s="301"/>
      <c r="AE48" s="301"/>
      <c r="AF48" s="301"/>
      <c r="AG48" s="301"/>
      <c r="AH48" s="301"/>
      <c r="AI48" s="301"/>
      <c r="AJ48" s="301"/>
      <c r="AK48" s="1180" t="s">
        <v>530</v>
      </c>
      <c r="AM48" s="434"/>
      <c r="AN48" s="434" t="str">
        <f t="shared" si="1"/>
        <v>Добавить значение признака дифференциации</v>
      </c>
      <c r="AO48" s="434"/>
      <c r="AP48" s="434"/>
      <c r="AQ48" s="1077">
        <v>20</v>
      </c>
    </row>
    <row r="49" spans="1:43" ht="21.95" customHeight="1">
      <c r="A49" s="1285" t="s">
        <v>276</v>
      </c>
      <c r="B49" s="1285" t="s">
        <v>277</v>
      </c>
      <c r="C49" s="1285" t="s">
        <v>278</v>
      </c>
      <c r="D49" s="1285" t="s">
        <v>539</v>
      </c>
      <c r="E49" s="3738"/>
      <c r="F49" s="3738"/>
      <c r="G49" s="3738"/>
      <c r="H49" s="3738"/>
      <c r="I49" s="3735"/>
      <c r="J49" s="1285"/>
      <c r="K49" s="1285"/>
      <c r="L49" s="1286"/>
      <c r="P49" s="3736"/>
      <c r="Q49" s="1372"/>
      <c r="R49" s="290"/>
      <c r="S49" s="1200"/>
      <c r="T49" s="299" t="s">
        <v>457</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276</v>
      </c>
      <c r="B50" s="1285" t="s">
        <v>277</v>
      </c>
      <c r="C50" s="1285" t="s">
        <v>278</v>
      </c>
      <c r="D50" s="1285" t="s">
        <v>539</v>
      </c>
      <c r="E50" s="3738"/>
      <c r="F50" s="3738"/>
      <c r="G50" s="3738"/>
      <c r="H50" s="3737"/>
      <c r="I50" s="1285"/>
      <c r="J50" s="1285"/>
      <c r="K50" s="1285"/>
      <c r="L50" s="1286"/>
      <c r="M50" s="1287"/>
      <c r="N50" s="1287"/>
      <c r="O50" s="471"/>
      <c r="P50" s="294"/>
      <c r="Q50" s="309"/>
      <c r="R50" s="289"/>
      <c r="S50" s="1200"/>
      <c r="T50" s="306" t="s">
        <v>531</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276</v>
      </c>
      <c r="B51" s="1265" t="s">
        <v>277</v>
      </c>
      <c r="C51" s="1236"/>
      <c r="D51" s="1236"/>
      <c r="E51" s="3738"/>
      <c r="F51" s="3737"/>
      <c r="G51" s="1236"/>
      <c r="H51" s="1236"/>
      <c r="I51" s="1236"/>
      <c r="J51" s="1236"/>
      <c r="K51" s="1236"/>
      <c r="L51" s="1380"/>
      <c r="M51" s="1243"/>
      <c r="N51" s="1243"/>
      <c r="P51" s="1238"/>
      <c r="Q51" s="1239"/>
      <c r="R51" s="1238"/>
      <c r="S51" s="1244"/>
      <c r="T51" s="1247" t="s">
        <v>460</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276</v>
      </c>
      <c r="B52" s="1265"/>
      <c r="C52" s="1265"/>
      <c r="D52" s="1265"/>
      <c r="E52" s="3737"/>
      <c r="F52" s="1265"/>
      <c r="G52" s="1265"/>
      <c r="H52" s="1265"/>
      <c r="I52" s="1265"/>
      <c r="J52" s="1265"/>
      <c r="K52" s="1265"/>
      <c r="L52" s="1268"/>
      <c r="M52" s="1243"/>
      <c r="N52" s="1243"/>
      <c r="O52" s="452"/>
      <c r="P52" s="314"/>
      <c r="Q52" s="1266"/>
      <c r="R52" s="314"/>
      <c r="S52" s="1244"/>
      <c r="T52" s="1247" t="s">
        <v>461</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489</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3757"/>
      <c r="U55" s="3757"/>
      <c r="V55" s="3757"/>
      <c r="W55" s="3757"/>
      <c r="X55" s="3757"/>
      <c r="Y55" s="3757"/>
      <c r="Z55" s="3757"/>
      <c r="AA55" s="3757"/>
      <c r="AB55" s="3757"/>
      <c r="AC55" s="3757"/>
      <c r="AD55" s="3757"/>
      <c r="AE55" s="3757"/>
      <c r="AF55" s="3757"/>
      <c r="AG55" s="3757"/>
      <c r="AH55" s="3757"/>
      <c r="AI55" s="3757"/>
      <c r="AJ55" s="3757"/>
      <c r="AK55" s="3757"/>
      <c r="AQ55" s="1077">
        <v>14</v>
      </c>
    </row>
    <row r="56" spans="1:43" ht="14.65" customHeight="1">
      <c r="O56" s="471"/>
      <c r="AQ56" s="1077">
        <v>14</v>
      </c>
    </row>
    <row r="57" spans="1:43" ht="14.65" customHeight="1">
      <c r="O57" s="471"/>
      <c r="S57" s="1175"/>
      <c r="T57" s="3757"/>
      <c r="U57" s="3757"/>
      <c r="V57" s="3757"/>
      <c r="W57" s="3757"/>
      <c r="X57" s="3757"/>
      <c r="Y57" s="3757"/>
      <c r="Z57" s="3757"/>
      <c r="AA57" s="3757"/>
      <c r="AB57" s="3757"/>
      <c r="AC57" s="3757"/>
      <c r="AD57" s="3757"/>
      <c r="AE57" s="3757"/>
      <c r="AF57" s="3757"/>
      <c r="AG57" s="3757"/>
      <c r="AH57" s="3757"/>
      <c r="AI57" s="3757"/>
      <c r="AJ57" s="3757"/>
      <c r="AK57" s="3757"/>
      <c r="AQ57" s="1077">
        <v>14</v>
      </c>
    </row>
    <row r="58" spans="1:43" ht="22.5" hidden="1" customHeight="1">
      <c r="A58" s="1082" t="s">
        <v>70</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v>
      </c>
    </row>
    <row r="2" spans="1:43" ht="23.25" hidden="1" customHeight="1">
      <c r="A2" s="1285"/>
      <c r="B2" s="1285"/>
      <c r="C2" s="1285"/>
      <c r="D2" s="1285"/>
      <c r="E2" s="3737">
        <v>1</v>
      </c>
      <c r="F2" s="1285"/>
      <c r="G2" s="1285"/>
      <c r="H2" s="1285"/>
      <c r="I2" s="1285"/>
      <c r="J2" s="1285"/>
      <c r="K2" s="1285"/>
      <c r="L2" s="1286"/>
      <c r="M2" s="1287"/>
      <c r="N2" s="1287"/>
      <c r="O2" s="1287"/>
      <c r="P2" s="295"/>
      <c r="Q2" s="294"/>
      <c r="R2" s="289"/>
      <c r="S2" s="1379" t="e">
        <f>INDEX(PT_DIFFERENTIATION_NUM_NTAR,MATCH(A2,PT_DIFFERENTIATION_NTAR_ID,0))</f>
        <v>#N/A</v>
      </c>
      <c r="T2" s="233" t="s">
        <v>176</v>
      </c>
      <c r="U2" s="235"/>
      <c r="V2" s="3723"/>
      <c r="W2" s="3724"/>
      <c r="X2" s="3724"/>
      <c r="Y2" s="3724"/>
      <c r="Z2" s="3724"/>
      <c r="AA2" s="3724"/>
      <c r="AB2" s="3725"/>
      <c r="AC2" s="3723" t="e">
        <f>INDEX(PT_DIFFERENTIATION_NTAR,MATCH(A2,PT_DIFFERENTIATION_NTAR_ID,0))</f>
        <v>#N/A</v>
      </c>
      <c r="AD2" s="3724"/>
      <c r="AE2" s="3724"/>
      <c r="AF2" s="3724"/>
      <c r="AG2" s="3724"/>
      <c r="AH2" s="3724"/>
      <c r="AI2" s="3724"/>
      <c r="AJ2" s="3725"/>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3738"/>
      <c r="F3" s="3737">
        <v>1</v>
      </c>
      <c r="G3" s="1285"/>
      <c r="H3" s="1285"/>
      <c r="I3" s="1285"/>
      <c r="J3" s="1285"/>
      <c r="K3" s="1285"/>
      <c r="L3" s="1286"/>
      <c r="M3" s="1287"/>
      <c r="N3" s="1287"/>
      <c r="O3" s="1287"/>
      <c r="P3" s="1375"/>
      <c r="Q3" s="286"/>
      <c r="R3" s="287"/>
      <c r="S3" s="1379" t="e">
        <f>INDEX(PT_DIFFERENTIATION_NUM_TER,MATCH(B3,PT_DIFFERENTIATION_TER_ID,0))</f>
        <v>#N/A</v>
      </c>
      <c r="T3" s="243" t="s">
        <v>442</v>
      </c>
      <c r="U3" s="235"/>
      <c r="V3" s="3723"/>
      <c r="W3" s="3724"/>
      <c r="X3" s="3724"/>
      <c r="Y3" s="3724"/>
      <c r="Z3" s="3724"/>
      <c r="AA3" s="3724"/>
      <c r="AB3" s="3725"/>
      <c r="AC3" s="3723" t="e">
        <f>INDEX(PT_DIFFERENTIATION_TER,MATCH(B3,PT_DIFFERENTIATION_TER_ID,0))</f>
        <v>#N/A</v>
      </c>
      <c r="AD3" s="3724"/>
      <c r="AE3" s="3724"/>
      <c r="AF3" s="3724"/>
      <c r="AG3" s="3724"/>
      <c r="AH3" s="3724"/>
      <c r="AI3" s="3724"/>
      <c r="AJ3" s="3725"/>
      <c r="AK3" s="1180" t="s">
        <v>443</v>
      </c>
      <c r="AM3" s="434"/>
      <c r="AN3" s="434" t="str">
        <f t="shared" si="0"/>
        <v>Территория действия тарифа</v>
      </c>
      <c r="AO3" s="434"/>
      <c r="AP3" s="434"/>
      <c r="AQ3" s="1077">
        <v>0</v>
      </c>
    </row>
    <row r="4" spans="1:43" ht="23.25" hidden="1" customHeight="1">
      <c r="A4" s="1285"/>
      <c r="B4" s="1285"/>
      <c r="C4" s="1285"/>
      <c r="D4" s="1285"/>
      <c r="E4" s="3738"/>
      <c r="F4" s="3738"/>
      <c r="G4" s="3737">
        <v>1</v>
      </c>
      <c r="H4" s="1285"/>
      <c r="I4" s="1285"/>
      <c r="J4" s="1285"/>
      <c r="K4" s="1285"/>
      <c r="L4" s="1286"/>
      <c r="M4" s="1287"/>
      <c r="N4" s="1287"/>
      <c r="O4" s="1287"/>
      <c r="P4" s="288"/>
      <c r="Q4" s="286"/>
      <c r="R4" s="287"/>
      <c r="S4" s="1379" t="e">
        <f>INDEX(PT_DIFFERENTIATION_NUM_CS,MATCH(C4,PT_DIFFERENTIATION_CS_ID,0))</f>
        <v>#N/A</v>
      </c>
      <c r="T4" s="244" t="s">
        <v>524</v>
      </c>
      <c r="U4" s="235"/>
      <c r="V4" s="3723"/>
      <c r="W4" s="3724"/>
      <c r="X4" s="3724"/>
      <c r="Y4" s="3724"/>
      <c r="Z4" s="3724"/>
      <c r="AA4" s="3724"/>
      <c r="AB4" s="3725"/>
      <c r="AC4" s="3723" t="e">
        <f>INDEX(PT_DIFFERENTIATION_CS,MATCH(C4,PT_DIFFERENTIATION_CS_ID,0))</f>
        <v>#N/A</v>
      </c>
      <c r="AD4" s="3724"/>
      <c r="AE4" s="3724"/>
      <c r="AF4" s="3724"/>
      <c r="AG4" s="3724"/>
      <c r="AH4" s="3724"/>
      <c r="AI4" s="3724"/>
      <c r="AJ4" s="3725"/>
      <c r="AK4" s="1180" t="s">
        <v>525</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3738"/>
      <c r="F5" s="3738"/>
      <c r="G5" s="3738"/>
      <c r="H5" s="3738"/>
      <c r="I5" s="3735" t="e">
        <f>S4&amp;".1"</f>
        <v>#N/A</v>
      </c>
      <c r="J5" s="1285"/>
      <c r="K5" s="1285"/>
      <c r="L5" s="1286"/>
      <c r="P5" s="3736">
        <v>1</v>
      </c>
      <c r="Q5" s="1372"/>
      <c r="R5" s="290"/>
      <c r="S5" s="1379" t="e">
        <f>$I5</f>
        <v>#N/A</v>
      </c>
      <c r="T5" s="220" t="s">
        <v>526</v>
      </c>
      <c r="U5" s="235"/>
      <c r="V5" s="3807"/>
      <c r="W5" s="3808"/>
      <c r="X5" s="3808"/>
      <c r="Y5" s="3808"/>
      <c r="Z5" s="3808"/>
      <c r="AA5" s="3808"/>
      <c r="AB5" s="3809"/>
      <c r="AC5" s="3810"/>
      <c r="AD5" s="3811"/>
      <c r="AE5" s="3811"/>
      <c r="AF5" s="3811"/>
      <c r="AG5" s="3811"/>
      <c r="AH5" s="3811"/>
      <c r="AI5" s="3811"/>
      <c r="AJ5" s="3812"/>
      <c r="AK5" s="1180" t="s">
        <v>527</v>
      </c>
      <c r="AM5" s="434"/>
      <c r="AN5" s="434" t="str">
        <f t="shared" si="0"/>
        <v>Наименование признака дифференциации</v>
      </c>
      <c r="AO5" s="434"/>
      <c r="AP5" s="434"/>
      <c r="AQ5" s="1077">
        <v>0</v>
      </c>
    </row>
    <row r="6" spans="1:43" ht="23.25" hidden="1" customHeight="1">
      <c r="A6" s="1285"/>
      <c r="B6" s="1285"/>
      <c r="C6" s="1285"/>
      <c r="D6" s="1285"/>
      <c r="E6" s="3738"/>
      <c r="F6" s="3738"/>
      <c r="G6" s="3738"/>
      <c r="H6" s="3738"/>
      <c r="I6" s="3758"/>
      <c r="J6" s="3735" t="e">
        <f>I5&amp;".1"</f>
        <v>#N/A</v>
      </c>
      <c r="K6" s="1285"/>
      <c r="L6" s="1286" t="s">
        <v>451</v>
      </c>
      <c r="P6" s="3736"/>
      <c r="Q6" s="3736">
        <v>1</v>
      </c>
      <c r="R6" s="291"/>
      <c r="S6" s="1379" t="e">
        <f>$J6</f>
        <v>#N/A</v>
      </c>
      <c r="T6" s="221" t="s">
        <v>452</v>
      </c>
      <c r="U6" s="235"/>
      <c r="V6" s="3726"/>
      <c r="W6" s="3727"/>
      <c r="X6" s="3727"/>
      <c r="Y6" s="3727"/>
      <c r="Z6" s="3727"/>
      <c r="AA6" s="3727"/>
      <c r="AB6" s="3728"/>
      <c r="AC6" s="3726"/>
      <c r="AD6" s="3727"/>
      <c r="AE6" s="3727"/>
      <c r="AF6" s="3727"/>
      <c r="AG6" s="3727"/>
      <c r="AH6" s="3727"/>
      <c r="AI6" s="3727"/>
      <c r="AJ6" s="3728"/>
      <c r="AK6" s="1229" t="s">
        <v>528</v>
      </c>
      <c r="AM6" s="434"/>
      <c r="AN6" s="434" t="str">
        <f t="shared" si="0"/>
        <v>Группа потребителей</v>
      </c>
      <c r="AO6" s="434"/>
      <c r="AP6" s="434"/>
      <c r="AQ6" s="1077">
        <v>0</v>
      </c>
    </row>
    <row r="7" spans="1:43" ht="23.25" hidden="1" customHeight="1">
      <c r="A7" s="1285"/>
      <c r="B7" s="1285"/>
      <c r="C7" s="1285"/>
      <c r="D7" s="1285"/>
      <c r="E7" s="3738"/>
      <c r="F7" s="3738"/>
      <c r="G7" s="3738"/>
      <c r="H7" s="3738"/>
      <c r="I7" s="3758"/>
      <c r="J7" s="3758"/>
      <c r="K7" s="3735" t="e">
        <f>J6&amp;".1"</f>
        <v>#N/A</v>
      </c>
      <c r="L7" s="1286"/>
      <c r="P7" s="3736"/>
      <c r="Q7" s="3736"/>
      <c r="R7" s="291">
        <v>1</v>
      </c>
      <c r="S7" s="1379" t="e">
        <f>$K7</f>
        <v>#N/A</v>
      </c>
      <c r="T7" s="1359"/>
      <c r="U7" s="235"/>
      <c r="V7" s="685"/>
      <c r="W7" s="685"/>
      <c r="X7" s="1179"/>
      <c r="Y7" s="3740"/>
      <c r="Z7" s="3599" t="s">
        <v>50</v>
      </c>
      <c r="AA7" s="3740"/>
      <c r="AB7" s="3599" t="s">
        <v>50</v>
      </c>
      <c r="AC7" s="685"/>
      <c r="AD7" s="685"/>
      <c r="AE7" s="1179"/>
      <c r="AF7" s="3740"/>
      <c r="AG7" s="3599" t="s">
        <v>50</v>
      </c>
      <c r="AH7" s="3759"/>
      <c r="AI7" s="3599" t="s">
        <v>50</v>
      </c>
      <c r="AJ7" s="1360"/>
      <c r="AK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3738"/>
      <c r="F8" s="3738"/>
      <c r="G8" s="3738"/>
      <c r="H8" s="3738"/>
      <c r="I8" s="3758"/>
      <c r="J8" s="3758"/>
      <c r="K8" s="3735"/>
      <c r="L8" s="1286"/>
      <c r="P8" s="3736"/>
      <c r="Q8" s="3736"/>
      <c r="R8" s="291"/>
      <c r="S8" s="1378"/>
      <c r="T8" s="235"/>
      <c r="U8" s="235"/>
      <c r="V8" s="260"/>
      <c r="W8" s="260"/>
      <c r="X8" s="263" t="str">
        <f>Y7&amp;"-"&amp;AA7</f>
        <v>-</v>
      </c>
      <c r="Y8" s="3741"/>
      <c r="Z8" s="3599"/>
      <c r="AA8" s="3741"/>
      <c r="AB8" s="3599"/>
      <c r="AC8" s="260"/>
      <c r="AD8" s="260"/>
      <c r="AE8" s="263" t="str">
        <f>AF7&amp;"-"&amp;AH7</f>
        <v>-</v>
      </c>
      <c r="AF8" s="3741"/>
      <c r="AG8" s="3599"/>
      <c r="AH8" s="3760"/>
      <c r="AI8" s="3599"/>
      <c r="AJ8" s="1361"/>
      <c r="AK8" s="3806"/>
      <c r="AM8" s="434"/>
      <c r="AN8" s="434" t="str">
        <f t="shared" si="0"/>
        <v/>
      </c>
      <c r="AO8" s="434"/>
      <c r="AP8" s="434"/>
      <c r="AQ8" s="1077">
        <v>0</v>
      </c>
    </row>
    <row r="9" spans="1:43" ht="21" hidden="1" customHeight="1">
      <c r="A9" s="1285"/>
      <c r="B9" s="1285"/>
      <c r="C9" s="1285"/>
      <c r="D9" s="1285"/>
      <c r="E9" s="3738"/>
      <c r="F9" s="3738"/>
      <c r="G9" s="3738"/>
      <c r="H9" s="3738"/>
      <c r="I9" s="3758"/>
      <c r="J9" s="3735"/>
      <c r="K9" s="1285"/>
      <c r="L9" s="1286"/>
      <c r="P9" s="3736"/>
      <c r="Q9" s="3736"/>
      <c r="R9" s="290"/>
      <c r="S9" s="1200"/>
      <c r="T9" s="222" t="s">
        <v>529</v>
      </c>
      <c r="U9" s="301"/>
      <c r="V9" s="301"/>
      <c r="W9" s="301"/>
      <c r="X9" s="301"/>
      <c r="Y9" s="301"/>
      <c r="Z9" s="301"/>
      <c r="AA9" s="301"/>
      <c r="AB9" s="301"/>
      <c r="AC9" s="301"/>
      <c r="AD9" s="301"/>
      <c r="AE9" s="301"/>
      <c r="AF9" s="301"/>
      <c r="AG9" s="301"/>
      <c r="AH9" s="301"/>
      <c r="AI9" s="301"/>
      <c r="AJ9" s="301"/>
      <c r="AK9" s="1180" t="s">
        <v>530</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3738"/>
      <c r="F10" s="3738"/>
      <c r="G10" s="3738"/>
      <c r="H10" s="3738"/>
      <c r="I10" s="3735"/>
      <c r="J10" s="1285"/>
      <c r="K10" s="1285"/>
      <c r="L10" s="1286"/>
      <c r="P10" s="3736"/>
      <c r="Q10" s="1372"/>
      <c r="R10" s="290"/>
      <c r="S10" s="1200"/>
      <c r="T10" s="299" t="s">
        <v>457</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3738"/>
      <c r="F12" s="3737"/>
      <c r="G12" s="1236"/>
      <c r="H12" s="1236"/>
      <c r="I12" s="1236"/>
      <c r="J12" s="1236"/>
      <c r="K12" s="1236"/>
      <c r="L12" s="1380"/>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3742"/>
      <c r="AG15" s="3743" t="s">
        <v>50</v>
      </c>
      <c r="AH15" s="3742"/>
      <c r="AI15" s="3743" t="s">
        <v>50</v>
      </c>
      <c r="AQ15" s="1077">
        <v>0</v>
      </c>
    </row>
    <row r="16" spans="1:43" ht="14.25" hidden="1" customHeight="1">
      <c r="AC16" s="1282"/>
      <c r="AD16" s="1282"/>
      <c r="AE16" s="263" t="str">
        <f>AF15&amp;"-"&amp;AH15</f>
        <v>-</v>
      </c>
      <c r="AF16" s="3743"/>
      <c r="AG16" s="3743"/>
      <c r="AH16" s="3743"/>
      <c r="AI16" s="3743"/>
      <c r="AQ16" s="1077">
        <v>0</v>
      </c>
    </row>
    <row r="17" spans="1:43" ht="14.25" hidden="1" customHeight="1">
      <c r="AI17" s="262"/>
      <c r="AQ17" s="1077">
        <v>0</v>
      </c>
    </row>
    <row r="18" spans="1:43" s="1288" customFormat="1" ht="22.5" hidden="1" customHeight="1">
      <c r="L18" s="1369"/>
      <c r="M18" s="1284"/>
      <c r="N18" s="1284"/>
      <c r="O18" s="1289" t="s">
        <v>462</v>
      </c>
      <c r="P18" s="1284"/>
      <c r="Q18" s="1293"/>
      <c r="R18" s="1293"/>
      <c r="S18" s="663"/>
      <c r="Y18" s="1289"/>
      <c r="AA18" s="1289"/>
      <c r="AF18" s="1289"/>
      <c r="AH18" s="1289"/>
      <c r="AL18" s="445"/>
      <c r="AM18" s="445"/>
      <c r="AN18" s="445"/>
      <c r="AO18" s="445"/>
      <c r="AP18" s="445"/>
      <c r="AQ18" s="1082">
        <v>0</v>
      </c>
    </row>
    <row r="19" spans="1:43" s="1288" customFormat="1" ht="14.25" hidden="1" customHeight="1">
      <c r="L19" s="1369"/>
      <c r="M19" s="1284"/>
      <c r="N19" s="1284"/>
      <c r="O19" s="1284"/>
      <c r="P19" s="1284"/>
      <c r="Q19" s="1293"/>
      <c r="R19" s="1293"/>
      <c r="S19" s="663"/>
      <c r="AL19" s="445"/>
      <c r="AM19" s="445"/>
      <c r="AN19" s="445"/>
      <c r="AO19" s="445"/>
      <c r="AP19" s="445"/>
      <c r="AQ19" s="1082">
        <v>0</v>
      </c>
    </row>
    <row r="20" spans="1:43" s="1288" customFormat="1" ht="12" hidden="1" customHeight="1">
      <c r="L20" s="1369"/>
      <c r="M20" s="1284"/>
      <c r="N20" s="1284"/>
      <c r="O20" s="1286" t="s">
        <v>463</v>
      </c>
      <c r="P20" s="1284"/>
      <c r="Q20" s="1364"/>
      <c r="R20" s="1364"/>
      <c r="S20" s="663"/>
      <c r="T20" s="1082" t="s">
        <v>464</v>
      </c>
      <c r="Z20" s="121" t="s">
        <v>465</v>
      </c>
      <c r="AB20" s="121" t="s">
        <v>466</v>
      </c>
      <c r="AC20" s="1082" t="s">
        <v>464</v>
      </c>
      <c r="AG20" s="121" t="s">
        <v>467</v>
      </c>
      <c r="AI20" s="121" t="s">
        <v>466</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37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721"/>
      <c r="U24" s="3721"/>
      <c r="V24" s="3721"/>
      <c r="W24" s="3721"/>
      <c r="X24" s="3721"/>
      <c r="Y24" s="3721"/>
      <c r="Z24" s="3721"/>
      <c r="AA24" s="3721"/>
      <c r="AB24" s="3721"/>
      <c r="AC24" s="3721"/>
      <c r="AD24" s="3721"/>
      <c r="AE24" s="3721"/>
      <c r="AF24" s="3721"/>
      <c r="AG24" s="3721"/>
      <c r="AH24" s="3721"/>
      <c r="AI24" s="1165"/>
      <c r="AQ24" s="1077">
        <v>14</v>
      </c>
    </row>
    <row r="25" spans="1:43"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261"/>
      <c r="AC27" s="3730" t="str">
        <f>IF(TITLE_NAME_OR_PR_CHANGE="",IF(TITLE_NAME_OR_PR="","",TITLE_NAME_OR_PR),TITLE_NAME_OR_PR_CHANGE)</f>
        <v/>
      </c>
      <c r="AD27" s="3730"/>
      <c r="AE27" s="3730"/>
      <c r="AF27" s="3730"/>
      <c r="AG27" s="3730"/>
      <c r="AH27" s="3730"/>
      <c r="AI27" s="261"/>
      <c r="AJ27" s="261"/>
      <c r="AK27" s="215"/>
      <c r="AL27" s="302"/>
      <c r="AM27" s="302"/>
      <c r="AN27" s="302"/>
      <c r="AO27" s="302"/>
      <c r="AP27" s="302"/>
      <c r="AQ27" s="352">
        <v>0</v>
      </c>
    </row>
    <row r="28" spans="1:43"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261"/>
      <c r="AC28" s="3739" t="str">
        <f>IF(TITLE_DATE_PR_CHANGE="",IF(TITLE_DATE_PR="","",TITLE_DATE_PR),TITLE_DATE_PR_CHANGE)</f>
        <v/>
      </c>
      <c r="AD28" s="3739"/>
      <c r="AE28" s="3739"/>
      <c r="AF28" s="3739"/>
      <c r="AG28" s="3739"/>
      <c r="AH28" s="3739"/>
      <c r="AI28" s="261"/>
      <c r="AJ28" s="261"/>
      <c r="AK28" s="215"/>
      <c r="AL28" s="302"/>
      <c r="AM28" s="302"/>
      <c r="AN28" s="302"/>
      <c r="AO28" s="302"/>
      <c r="AP28" s="302"/>
      <c r="AQ28" s="352">
        <v>0</v>
      </c>
    </row>
    <row r="29" spans="1:43"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261"/>
      <c r="AC29" s="3730" t="str">
        <f>IF(TITLE_NUMBER_PR_CHANGE="",IF(TITLE_NUMBER_PR="","",TITLE_NUMBER_PR),TITLE_NUMBER_PR_CHANGE)</f>
        <v/>
      </c>
      <c r="AD29" s="3730"/>
      <c r="AE29" s="3730"/>
      <c r="AF29" s="3730"/>
      <c r="AG29" s="3730"/>
      <c r="AH29" s="3730"/>
      <c r="AI29" s="261"/>
      <c r="AJ29" s="261"/>
      <c r="AK29" s="215"/>
      <c r="AL29" s="302"/>
      <c r="AM29" s="302"/>
      <c r="AN29" s="302"/>
      <c r="AO29" s="302"/>
      <c r="AP29" s="302"/>
      <c r="AQ29" s="352">
        <v>0</v>
      </c>
    </row>
    <row r="30" spans="1:43"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261"/>
      <c r="AC30" s="3730" t="str">
        <f>IF(TITLE_IST_PUB_CHANGE="",IF(TITLE_IST_PUB="","",TITLE_IST_PUB),TITLE_IST_PUB_CHANGE)</f>
        <v/>
      </c>
      <c r="AD30" s="3730"/>
      <c r="AE30" s="3730"/>
      <c r="AF30" s="3730"/>
      <c r="AG30" s="3730"/>
      <c r="AH30" s="3730"/>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261"/>
      <c r="AC32" s="3739" t="str">
        <f>IF(TITLE_DATE_PR_CHANGE="",IF(TITLE_DATE_PR="","",TITLE_DATE_PR),TITLE_DATE_PR_CHANGE)</f>
        <v/>
      </c>
      <c r="AD32" s="3739"/>
      <c r="AE32" s="3739"/>
      <c r="AF32" s="3739"/>
      <c r="AG32" s="3739"/>
      <c r="AH32" s="3739"/>
      <c r="AI32" s="261"/>
      <c r="AJ32" s="261"/>
      <c r="AK32" s="215"/>
      <c r="AL32" s="302"/>
      <c r="AM32" s="302"/>
      <c r="AN32" s="302"/>
      <c r="AO32" s="302"/>
      <c r="AP32" s="302"/>
      <c r="AQ32" s="352">
        <v>0</v>
      </c>
    </row>
    <row r="33" spans="1:43"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261"/>
      <c r="AC33" s="3730" t="str">
        <f>IF(TITLE_NUMBER_PR_CHANGE="",IF(TITLE_NUMBER_PR="","",TITLE_NUMBER_PR),TITLE_NUMBER_PR_CHANGE)</f>
        <v/>
      </c>
      <c r="AD33" s="3730"/>
      <c r="AE33" s="3730"/>
      <c r="AF33" s="3730"/>
      <c r="AG33" s="3730"/>
      <c r="AH33" s="3730"/>
      <c r="AI33" s="261"/>
      <c r="AJ33" s="261"/>
      <c r="AK33" s="215"/>
      <c r="AL33" s="302"/>
      <c r="AM33" s="302"/>
      <c r="AN33" s="302"/>
      <c r="AO33" s="302"/>
      <c r="AP33" s="302"/>
      <c r="AQ33" s="352">
        <v>0</v>
      </c>
    </row>
    <row r="34" spans="1:43"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376"/>
      <c r="V34" s="261"/>
      <c r="W34" s="261"/>
      <c r="X34" s="261"/>
      <c r="Y34" s="261"/>
      <c r="Z34" s="261"/>
      <c r="AA34" s="261"/>
      <c r="AB34" s="213" t="s">
        <v>468</v>
      </c>
      <c r="AC34" s="261"/>
      <c r="AD34" s="261"/>
      <c r="AE34" s="261"/>
      <c r="AF34" s="261"/>
      <c r="AG34" s="261"/>
      <c r="AH34" s="261"/>
      <c r="AI34" s="213" t="s">
        <v>468</v>
      </c>
      <c r="AL34" s="302"/>
      <c r="AM34" s="302"/>
      <c r="AN34" s="302"/>
      <c r="AO34" s="302"/>
      <c r="AP34" s="302"/>
      <c r="AQ34" s="352">
        <v>1</v>
      </c>
    </row>
    <row r="35" spans="1:43" ht="14.65" customHeight="1">
      <c r="Q35" s="310"/>
      <c r="R35" s="310"/>
      <c r="S35" s="1197"/>
      <c r="T35" s="297"/>
      <c r="U35" s="1166"/>
      <c r="V35" s="3731"/>
      <c r="W35" s="3731"/>
      <c r="X35" s="3731"/>
      <c r="Y35" s="3731"/>
      <c r="Z35" s="3731"/>
      <c r="AA35" s="3731"/>
      <c r="AB35" s="3731"/>
      <c r="AC35" s="3731"/>
      <c r="AD35" s="3731"/>
      <c r="AE35" s="3731"/>
      <c r="AF35" s="3731"/>
      <c r="AG35" s="3731"/>
      <c r="AH35" s="3731"/>
      <c r="AI35" s="3731"/>
      <c r="AQ35" s="1077">
        <v>14</v>
      </c>
    </row>
    <row r="36" spans="1:43"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t="s">
        <v>346</v>
      </c>
      <c r="AQ36" s="1077">
        <v>14</v>
      </c>
    </row>
    <row r="37" spans="1:43" ht="14.65" customHeight="1">
      <c r="Q37" s="310"/>
      <c r="R37" s="310"/>
      <c r="S37" s="3745" t="s">
        <v>76</v>
      </c>
      <c r="T37" s="3697" t="s">
        <v>469</v>
      </c>
      <c r="U37" s="236"/>
      <c r="V37" s="3746" t="s">
        <v>470</v>
      </c>
      <c r="W37" s="3747"/>
      <c r="X37" s="3747"/>
      <c r="Y37" s="3747"/>
      <c r="Z37" s="3747"/>
      <c r="AA37" s="3748"/>
      <c r="AB37" s="3749" t="s">
        <v>471</v>
      </c>
      <c r="AC37" s="3746" t="s">
        <v>470</v>
      </c>
      <c r="AD37" s="3747"/>
      <c r="AE37" s="3747"/>
      <c r="AF37" s="3747"/>
      <c r="AG37" s="3747"/>
      <c r="AH37" s="3748"/>
      <c r="AI37" s="3749" t="s">
        <v>472</v>
      </c>
      <c r="AJ37" s="3752" t="s">
        <v>473</v>
      </c>
      <c r="AK37" s="3618"/>
      <c r="AQ37" s="1077">
        <v>14</v>
      </c>
    </row>
    <row r="38" spans="1:43" ht="35.65" customHeight="1">
      <c r="Q38" s="310"/>
      <c r="R38" s="310"/>
      <c r="S38" s="3745"/>
      <c r="T38" s="3697"/>
      <c r="U38" s="957"/>
      <c r="V38" s="1374" t="s">
        <v>532</v>
      </c>
      <c r="W38" s="3589" t="s">
        <v>476</v>
      </c>
      <c r="X38" s="3588"/>
      <c r="Y38" s="3589" t="s">
        <v>477</v>
      </c>
      <c r="Z38" s="3595"/>
      <c r="AA38" s="3588"/>
      <c r="AB38" s="3750"/>
      <c r="AC38" s="1374" t="s">
        <v>532</v>
      </c>
      <c r="AD38" s="3589" t="s">
        <v>476</v>
      </c>
      <c r="AE38" s="3588"/>
      <c r="AF38" s="3589" t="s">
        <v>477</v>
      </c>
      <c r="AG38" s="3595"/>
      <c r="AH38" s="3588"/>
      <c r="AI38" s="3750"/>
      <c r="AJ38" s="3753"/>
      <c r="AK38" s="3618"/>
      <c r="AQ38" s="1077">
        <v>34</v>
      </c>
    </row>
    <row r="39" spans="1:43" ht="35.65" customHeight="1">
      <c r="A39" s="1292"/>
      <c r="B39" s="1292" t="s">
        <v>188</v>
      </c>
      <c r="C39" s="1292" t="s">
        <v>189</v>
      </c>
      <c r="D39" s="1292" t="s">
        <v>190</v>
      </c>
      <c r="E39" s="1286" t="s">
        <v>478</v>
      </c>
      <c r="F39" s="1286" t="s">
        <v>479</v>
      </c>
      <c r="G39" s="1286" t="s">
        <v>480</v>
      </c>
      <c r="H39" s="1286"/>
      <c r="I39" s="1286" t="s">
        <v>533</v>
      </c>
      <c r="J39" s="1286" t="s">
        <v>483</v>
      </c>
      <c r="K39" s="1286" t="s">
        <v>534</v>
      </c>
      <c r="L39" s="1286" t="s">
        <v>463</v>
      </c>
      <c r="Q39" s="310"/>
      <c r="R39" s="310"/>
      <c r="S39" s="3745"/>
      <c r="T39" s="3697"/>
      <c r="U39" s="237"/>
      <c r="V39" s="1374" t="s">
        <v>535</v>
      </c>
      <c r="W39" s="1144" t="s">
        <v>536</v>
      </c>
      <c r="X39" s="1144" t="s">
        <v>537</v>
      </c>
      <c r="Y39" s="1377" t="s">
        <v>487</v>
      </c>
      <c r="Z39" s="3705" t="s">
        <v>488</v>
      </c>
      <c r="AA39" s="3707"/>
      <c r="AB39" s="3751"/>
      <c r="AC39" s="1374" t="s">
        <v>535</v>
      </c>
      <c r="AD39" s="1144" t="s">
        <v>536</v>
      </c>
      <c r="AE39" s="1144" t="s">
        <v>537</v>
      </c>
      <c r="AF39" s="1377" t="s">
        <v>487</v>
      </c>
      <c r="AG39" s="3705" t="s">
        <v>488</v>
      </c>
      <c r="AH39" s="3707"/>
      <c r="AI39" s="3751"/>
      <c r="AJ39" s="3754"/>
      <c r="AK39" s="3618"/>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164</v>
      </c>
      <c r="T40" s="1177" t="s">
        <v>89</v>
      </c>
      <c r="U40" s="1167" t="str">
        <f ca="1">OFFSET(U40,0,-1)</f>
        <v>2</v>
      </c>
      <c r="V40" s="1373">
        <f ca="1">OFFSET(V40,0,-1)+1</f>
        <v>3</v>
      </c>
      <c r="W40" s="1373">
        <f ca="1">OFFSET(W40,0,-1)+1</f>
        <v>4</v>
      </c>
      <c r="X40" s="1373">
        <f ca="1">OFFSET(X40,0,-1)+1</f>
        <v>5</v>
      </c>
      <c r="Y40" s="1373">
        <f ca="1">OFFSET(Y40,0,-1)+1</f>
        <v>6</v>
      </c>
      <c r="Z40" s="3744">
        <f ca="1">OFFSET(Z40,0,-1)+1</f>
        <v>7</v>
      </c>
      <c r="AA40" s="3744"/>
      <c r="AB40" s="1373">
        <f ca="1">OFFSET(AB40,0,-2)+1</f>
        <v>8</v>
      </c>
      <c r="AC40" s="1373">
        <f ca="1">OFFSET(AC40,0,-1)+1</f>
        <v>9</v>
      </c>
      <c r="AD40" s="1373">
        <f ca="1">OFFSET(AD40,0,-1)+1</f>
        <v>10</v>
      </c>
      <c r="AE40" s="1373">
        <f ca="1">OFFSET(AE40,0,-1)+1</f>
        <v>11</v>
      </c>
      <c r="AF40" s="1373">
        <f ca="1">OFFSET(AF40,0,-1)+1</f>
        <v>12</v>
      </c>
      <c r="AG40" s="3744">
        <f ca="1">OFFSET(AG40,0,-1)+1</f>
        <v>13</v>
      </c>
      <c r="AH40" s="3744"/>
      <c r="AI40" s="1373">
        <f ca="1">OFFSET(AI40,0,-2)+1</f>
        <v>14</v>
      </c>
      <c r="AJ40" s="1167">
        <f ca="1">OFFSET(AJ40,0,-1)</f>
        <v>14</v>
      </c>
      <c r="AK40" s="1373">
        <f ca="1">OFFSET(AK40,0,-1)+1</f>
        <v>15</v>
      </c>
      <c r="AL40" s="445"/>
      <c r="AM40" s="445"/>
      <c r="AN40" s="445"/>
      <c r="AO40" s="445"/>
      <c r="AP40" s="445"/>
      <c r="AQ40" s="430">
        <v>0</v>
      </c>
    </row>
    <row r="41" spans="1:43" ht="24" customHeight="1">
      <c r="A41" s="1285" t="s">
        <v>281</v>
      </c>
      <c r="B41" s="1285"/>
      <c r="C41" s="1285"/>
      <c r="D41" s="1285"/>
      <c r="E41" s="3737">
        <v>1</v>
      </c>
      <c r="F41" s="1285"/>
      <c r="G41" s="1285"/>
      <c r="H41" s="1285"/>
      <c r="I41" s="1285"/>
      <c r="J41" s="1285"/>
      <c r="K41" s="1285"/>
      <c r="L41" s="1286"/>
      <c r="M41" s="1287"/>
      <c r="N41" s="1287"/>
      <c r="O41" s="1287"/>
      <c r="P41" s="295"/>
      <c r="Q41" s="294"/>
      <c r="R41" s="289"/>
      <c r="S41" s="1379">
        <f>INDEX(PT_DIFFERENTIATION_NUM_NTAR,MATCH(A41,PT_DIFFERENTIATION_NTAR_ID,0))</f>
        <v>0</v>
      </c>
      <c r="T41" s="233" t="s">
        <v>176</v>
      </c>
      <c r="U41" s="235"/>
      <c r="V41" s="3723"/>
      <c r="W41" s="3724"/>
      <c r="X41" s="3724"/>
      <c r="Y41" s="3724"/>
      <c r="Z41" s="3724"/>
      <c r="AA41" s="3724"/>
      <c r="AB41" s="3725"/>
      <c r="AC41" s="3723" t="str">
        <f>INDEX(PT_DIFFERENTIATION_NTAR,MATCH(A41,PT_DIFFERENTIATION_NTAR_ID,0))</f>
        <v/>
      </c>
      <c r="AD41" s="3724"/>
      <c r="AE41" s="3724"/>
      <c r="AF41" s="3724"/>
      <c r="AG41" s="3724"/>
      <c r="AH41" s="3724"/>
      <c r="AI41" s="3724"/>
      <c r="AJ41" s="3725"/>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281</v>
      </c>
      <c r="B42" s="1285" t="s">
        <v>282</v>
      </c>
      <c r="C42" s="1285"/>
      <c r="D42" s="1285"/>
      <c r="E42" s="3738"/>
      <c r="F42" s="3737">
        <v>1</v>
      </c>
      <c r="G42" s="1285"/>
      <c r="H42" s="1285"/>
      <c r="I42" s="1285"/>
      <c r="J42" s="1285"/>
      <c r="K42" s="1285"/>
      <c r="L42" s="1286"/>
      <c r="M42" s="1287"/>
      <c r="N42" s="1287"/>
      <c r="O42" s="1287"/>
      <c r="P42" s="1375"/>
      <c r="Q42" s="286"/>
      <c r="R42" s="287"/>
      <c r="S42" s="1379" t="str">
        <f>INDEX(PT_DIFFERENTIATION_NUM_TER,MATCH(B42,PT_DIFFERENTIATION_TER_ID,0))</f>
        <v>.</v>
      </c>
      <c r="T42" s="243" t="s">
        <v>442</v>
      </c>
      <c r="U42" s="235"/>
      <c r="V42" s="3723"/>
      <c r="W42" s="3724"/>
      <c r="X42" s="3724"/>
      <c r="Y42" s="3724"/>
      <c r="Z42" s="3724"/>
      <c r="AA42" s="3724"/>
      <c r="AB42" s="3725"/>
      <c r="AC42" s="3723" t="str">
        <f>INDEX(PT_DIFFERENTIATION_TER,MATCH(B42,PT_DIFFERENTIATION_TER_ID,0))</f>
        <v/>
      </c>
      <c r="AD42" s="3724"/>
      <c r="AE42" s="3724"/>
      <c r="AF42" s="3724"/>
      <c r="AG42" s="3724"/>
      <c r="AH42" s="3724"/>
      <c r="AI42" s="3724"/>
      <c r="AJ42" s="3725"/>
      <c r="AK42" s="1180" t="s">
        <v>443</v>
      </c>
      <c r="AM42" s="434"/>
      <c r="AN42" s="434" t="str">
        <f t="shared" si="1"/>
        <v>Территория действия тарифа</v>
      </c>
      <c r="AO42" s="434"/>
      <c r="AP42" s="434"/>
      <c r="AQ42" s="1077">
        <v>23</v>
      </c>
    </row>
    <row r="43" spans="1:43" ht="24" customHeight="1">
      <c r="A43" s="1285" t="s">
        <v>281</v>
      </c>
      <c r="B43" s="1285" t="s">
        <v>282</v>
      </c>
      <c r="C43" s="1285" t="s">
        <v>283</v>
      </c>
      <c r="D43" s="1285"/>
      <c r="E43" s="3738"/>
      <c r="F43" s="3738"/>
      <c r="G43" s="3737">
        <v>1</v>
      </c>
      <c r="H43" s="1285"/>
      <c r="I43" s="1285"/>
      <c r="J43" s="1285"/>
      <c r="K43" s="1285"/>
      <c r="L43" s="1286"/>
      <c r="M43" s="1287"/>
      <c r="N43" s="1287"/>
      <c r="O43" s="1287"/>
      <c r="P43" s="288"/>
      <c r="Q43" s="286"/>
      <c r="R43" s="287"/>
      <c r="S43" s="1379" t="str">
        <f>INDEX(PT_DIFFERENTIATION_NUM_CS,MATCH(C43,PT_DIFFERENTIATION_CS_ID,0))</f>
        <v>..</v>
      </c>
      <c r="T43" s="244" t="s">
        <v>524</v>
      </c>
      <c r="U43" s="235"/>
      <c r="V43" s="3723"/>
      <c r="W43" s="3724"/>
      <c r="X43" s="3724"/>
      <c r="Y43" s="3724"/>
      <c r="Z43" s="3724"/>
      <c r="AA43" s="3724"/>
      <c r="AB43" s="3725"/>
      <c r="AC43" s="3723" t="str">
        <f>INDEX(PT_DIFFERENTIATION_CS,MATCH(C43,PT_DIFFERENTIATION_CS_ID,0))</f>
        <v/>
      </c>
      <c r="AD43" s="3724"/>
      <c r="AE43" s="3724"/>
      <c r="AF43" s="3724"/>
      <c r="AG43" s="3724"/>
      <c r="AH43" s="3724"/>
      <c r="AI43" s="3724"/>
      <c r="AJ43" s="3725"/>
      <c r="AK43" s="1180" t="s">
        <v>525</v>
      </c>
      <c r="AM43" s="434"/>
      <c r="AN43" s="434" t="str">
        <f t="shared" si="1"/>
        <v>Наименование централизованной системы холодного водоснабжения</v>
      </c>
      <c r="AO43" s="434"/>
      <c r="AP43" s="434"/>
      <c r="AQ43" s="1077">
        <v>23</v>
      </c>
    </row>
    <row r="44" spans="1:43" ht="24" customHeight="1">
      <c r="A44" s="1285" t="s">
        <v>281</v>
      </c>
      <c r="B44" s="1285" t="s">
        <v>282</v>
      </c>
      <c r="C44" s="1285" t="s">
        <v>283</v>
      </c>
      <c r="D44" s="1285" t="s">
        <v>540</v>
      </c>
      <c r="E44" s="3738"/>
      <c r="F44" s="3738"/>
      <c r="G44" s="3738"/>
      <c r="H44" s="3738"/>
      <c r="I44" s="3735" t="str">
        <f>S43&amp;".1"</f>
        <v>...1</v>
      </c>
      <c r="J44" s="1285"/>
      <c r="K44" s="1285"/>
      <c r="L44" s="1286"/>
      <c r="P44" s="3736">
        <v>1</v>
      </c>
      <c r="Q44" s="1372"/>
      <c r="R44" s="290"/>
      <c r="S44" s="1379" t="str">
        <f>$I44</f>
        <v>...1</v>
      </c>
      <c r="T44" s="220" t="s">
        <v>526</v>
      </c>
      <c r="U44" s="235"/>
      <c r="V44" s="3807"/>
      <c r="W44" s="3808"/>
      <c r="X44" s="3808"/>
      <c r="Y44" s="3808"/>
      <c r="Z44" s="3808"/>
      <c r="AA44" s="3808"/>
      <c r="AB44" s="3809"/>
      <c r="AC44" s="3810"/>
      <c r="AD44" s="3811"/>
      <c r="AE44" s="3811"/>
      <c r="AF44" s="3811"/>
      <c r="AG44" s="3811"/>
      <c r="AH44" s="3811"/>
      <c r="AI44" s="3811"/>
      <c r="AJ44" s="3812"/>
      <c r="AK44" s="1180" t="s">
        <v>527</v>
      </c>
      <c r="AM44" s="434"/>
      <c r="AN44" s="434" t="str">
        <f t="shared" si="1"/>
        <v>Наименование признака дифференциации</v>
      </c>
      <c r="AO44" s="434"/>
      <c r="AP44" s="434"/>
      <c r="AQ44" s="1077">
        <v>23</v>
      </c>
    </row>
    <row r="45" spans="1:43" ht="24" customHeight="1">
      <c r="A45" s="1285" t="s">
        <v>281</v>
      </c>
      <c r="B45" s="1285" t="s">
        <v>282</v>
      </c>
      <c r="C45" s="1285" t="s">
        <v>283</v>
      </c>
      <c r="D45" s="1285" t="s">
        <v>540</v>
      </c>
      <c r="E45" s="3738"/>
      <c r="F45" s="3738"/>
      <c r="G45" s="3738"/>
      <c r="H45" s="3738"/>
      <c r="I45" s="3758"/>
      <c r="J45" s="3735" t="str">
        <f>I44&amp;".1"</f>
        <v>...1.1</v>
      </c>
      <c r="K45" s="1285"/>
      <c r="L45" s="1286" t="s">
        <v>451</v>
      </c>
      <c r="P45" s="3736"/>
      <c r="Q45" s="3736">
        <v>1</v>
      </c>
      <c r="R45" s="291"/>
      <c r="S45" s="1379" t="str">
        <f>$J45</f>
        <v>...1.1</v>
      </c>
      <c r="T45" s="221" t="s">
        <v>452</v>
      </c>
      <c r="U45" s="235"/>
      <c r="V45" s="3726"/>
      <c r="W45" s="3727"/>
      <c r="X45" s="3727"/>
      <c r="Y45" s="3727"/>
      <c r="Z45" s="3727"/>
      <c r="AA45" s="3727"/>
      <c r="AB45" s="3728"/>
      <c r="AC45" s="3726"/>
      <c r="AD45" s="3727"/>
      <c r="AE45" s="3727"/>
      <c r="AF45" s="3727"/>
      <c r="AG45" s="3727"/>
      <c r="AH45" s="3727"/>
      <c r="AI45" s="3727"/>
      <c r="AJ45" s="3728"/>
      <c r="AK45" s="1229" t="s">
        <v>528</v>
      </c>
      <c r="AM45" s="434"/>
      <c r="AN45" s="434" t="str">
        <f t="shared" si="1"/>
        <v>Группа потребителей</v>
      </c>
      <c r="AO45" s="434"/>
      <c r="AP45" s="434"/>
      <c r="AQ45" s="1077">
        <v>23</v>
      </c>
    </row>
    <row r="46" spans="1:43" ht="24" customHeight="1">
      <c r="A46" s="1285" t="s">
        <v>281</v>
      </c>
      <c r="B46" s="1285" t="s">
        <v>282</v>
      </c>
      <c r="C46" s="1285" t="s">
        <v>283</v>
      </c>
      <c r="D46" s="1285" t="s">
        <v>540</v>
      </c>
      <c r="E46" s="3738"/>
      <c r="F46" s="3738"/>
      <c r="G46" s="3738"/>
      <c r="H46" s="3738"/>
      <c r="I46" s="3758"/>
      <c r="J46" s="3758"/>
      <c r="K46" s="3735" t="str">
        <f>J45&amp;".1"</f>
        <v>...1.1.1</v>
      </c>
      <c r="L46" s="1286"/>
      <c r="P46" s="3736"/>
      <c r="Q46" s="3736"/>
      <c r="R46" s="291">
        <v>1</v>
      </c>
      <c r="S46" s="1379" t="str">
        <f>$K46</f>
        <v>...1.1.1</v>
      </c>
      <c r="T46" s="1359"/>
      <c r="U46" s="235"/>
      <c r="V46" s="685"/>
      <c r="W46" s="685"/>
      <c r="X46" s="1179"/>
      <c r="Y46" s="3740"/>
      <c r="Z46" s="3599" t="s">
        <v>50</v>
      </c>
      <c r="AA46" s="3740"/>
      <c r="AB46" s="3599" t="s">
        <v>50</v>
      </c>
      <c r="AC46" s="685"/>
      <c r="AD46" s="685"/>
      <c r="AE46" s="1179"/>
      <c r="AF46" s="3740"/>
      <c r="AG46" s="3599" t="s">
        <v>50</v>
      </c>
      <c r="AH46" s="3759"/>
      <c r="AI46" s="3599" t="s">
        <v>50</v>
      </c>
      <c r="AJ46" s="1360"/>
      <c r="AK46"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281</v>
      </c>
      <c r="B47" s="1285" t="s">
        <v>282</v>
      </c>
      <c r="C47" s="1285" t="s">
        <v>283</v>
      </c>
      <c r="D47" s="1285" t="s">
        <v>540</v>
      </c>
      <c r="E47" s="3738"/>
      <c r="F47" s="3738"/>
      <c r="G47" s="3738"/>
      <c r="H47" s="3738"/>
      <c r="I47" s="3758"/>
      <c r="J47" s="3758"/>
      <c r="K47" s="3735"/>
      <c r="L47" s="1286"/>
      <c r="P47" s="3736"/>
      <c r="Q47" s="3736"/>
      <c r="R47" s="291"/>
      <c r="S47" s="1378"/>
      <c r="T47" s="235"/>
      <c r="U47" s="235"/>
      <c r="V47" s="260"/>
      <c r="W47" s="260"/>
      <c r="X47" s="263" t="str">
        <f>Y46&amp;"-"&amp;AA46</f>
        <v>-</v>
      </c>
      <c r="Y47" s="3741"/>
      <c r="Z47" s="3599"/>
      <c r="AA47" s="3741"/>
      <c r="AB47" s="3599"/>
      <c r="AC47" s="260"/>
      <c r="AD47" s="260"/>
      <c r="AE47" s="263" t="str">
        <f>AF46&amp;"-"&amp;AH46</f>
        <v>-</v>
      </c>
      <c r="AF47" s="3741"/>
      <c r="AG47" s="3599"/>
      <c r="AH47" s="3760"/>
      <c r="AI47" s="3599"/>
      <c r="AJ47" s="1361"/>
      <c r="AK47" s="3806"/>
      <c r="AM47" s="434"/>
      <c r="AN47" s="434" t="str">
        <f t="shared" si="1"/>
        <v/>
      </c>
      <c r="AO47" s="434"/>
      <c r="AP47" s="434"/>
      <c r="AQ47" s="1077">
        <v>0</v>
      </c>
    </row>
    <row r="48" spans="1:43" ht="21" customHeight="1">
      <c r="A48" s="1285" t="s">
        <v>281</v>
      </c>
      <c r="B48" s="1285" t="s">
        <v>282</v>
      </c>
      <c r="C48" s="1285" t="s">
        <v>283</v>
      </c>
      <c r="D48" s="1285" t="s">
        <v>540</v>
      </c>
      <c r="E48" s="3738"/>
      <c r="F48" s="3738"/>
      <c r="G48" s="3738"/>
      <c r="H48" s="3738"/>
      <c r="I48" s="3758"/>
      <c r="J48" s="3735"/>
      <c r="K48" s="1285"/>
      <c r="L48" s="1286"/>
      <c r="P48" s="3736"/>
      <c r="Q48" s="3736"/>
      <c r="R48" s="290"/>
      <c r="S48" s="1200"/>
      <c r="T48" s="222" t="s">
        <v>529</v>
      </c>
      <c r="U48" s="301"/>
      <c r="V48" s="301"/>
      <c r="W48" s="301"/>
      <c r="X48" s="301"/>
      <c r="Y48" s="301"/>
      <c r="Z48" s="301"/>
      <c r="AA48" s="301"/>
      <c r="AB48" s="301"/>
      <c r="AC48" s="301"/>
      <c r="AD48" s="301"/>
      <c r="AE48" s="301"/>
      <c r="AF48" s="301"/>
      <c r="AG48" s="301"/>
      <c r="AH48" s="301"/>
      <c r="AI48" s="301"/>
      <c r="AJ48" s="301"/>
      <c r="AK48" s="1180" t="s">
        <v>530</v>
      </c>
      <c r="AM48" s="434"/>
      <c r="AN48" s="434" t="str">
        <f t="shared" si="1"/>
        <v>Добавить значение признака дифференциации</v>
      </c>
      <c r="AO48" s="434"/>
      <c r="AP48" s="434"/>
      <c r="AQ48" s="1077">
        <v>20</v>
      </c>
    </row>
    <row r="49" spans="1:43" ht="21.95" customHeight="1">
      <c r="A49" s="1285" t="s">
        <v>281</v>
      </c>
      <c r="B49" s="1285" t="s">
        <v>282</v>
      </c>
      <c r="C49" s="1285" t="s">
        <v>283</v>
      </c>
      <c r="D49" s="1285" t="s">
        <v>540</v>
      </c>
      <c r="E49" s="3738"/>
      <c r="F49" s="3738"/>
      <c r="G49" s="3738"/>
      <c r="H49" s="3738"/>
      <c r="I49" s="3735"/>
      <c r="J49" s="1285"/>
      <c r="K49" s="1285"/>
      <c r="L49" s="1286"/>
      <c r="P49" s="3736"/>
      <c r="Q49" s="1372"/>
      <c r="R49" s="290"/>
      <c r="S49" s="1200"/>
      <c r="T49" s="299" t="s">
        <v>457</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281</v>
      </c>
      <c r="B50" s="1285" t="s">
        <v>282</v>
      </c>
      <c r="C50" s="1285" t="s">
        <v>283</v>
      </c>
      <c r="D50" s="1285" t="s">
        <v>540</v>
      </c>
      <c r="E50" s="3738"/>
      <c r="F50" s="3738"/>
      <c r="G50" s="3738"/>
      <c r="H50" s="3737"/>
      <c r="I50" s="1285"/>
      <c r="J50" s="1285"/>
      <c r="K50" s="1285"/>
      <c r="L50" s="1286"/>
      <c r="M50" s="1287"/>
      <c r="N50" s="1287"/>
      <c r="O50" s="471"/>
      <c r="P50" s="294"/>
      <c r="Q50" s="309"/>
      <c r="R50" s="289"/>
      <c r="S50" s="1200"/>
      <c r="T50" s="306" t="s">
        <v>531</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281</v>
      </c>
      <c r="B51" s="1265" t="s">
        <v>282</v>
      </c>
      <c r="C51" s="1236"/>
      <c r="D51" s="1236"/>
      <c r="E51" s="3738"/>
      <c r="F51" s="3737"/>
      <c r="G51" s="1236"/>
      <c r="H51" s="1236"/>
      <c r="I51" s="1236"/>
      <c r="J51" s="1236"/>
      <c r="K51" s="1236"/>
      <c r="L51" s="1380"/>
      <c r="M51" s="1243"/>
      <c r="N51" s="1243"/>
      <c r="P51" s="1238"/>
      <c r="Q51" s="1239"/>
      <c r="R51" s="1238"/>
      <c r="S51" s="1244"/>
      <c r="T51" s="1247" t="s">
        <v>460</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281</v>
      </c>
      <c r="B52" s="1265"/>
      <c r="C52" s="1265"/>
      <c r="D52" s="1265"/>
      <c r="E52" s="3737"/>
      <c r="F52" s="1265"/>
      <c r="G52" s="1265"/>
      <c r="H52" s="1265"/>
      <c r="I52" s="1265"/>
      <c r="J52" s="1265"/>
      <c r="K52" s="1265"/>
      <c r="L52" s="1268"/>
      <c r="M52" s="1243"/>
      <c r="N52" s="1243"/>
      <c r="O52" s="452"/>
      <c r="P52" s="314"/>
      <c r="Q52" s="1266"/>
      <c r="R52" s="314"/>
      <c r="S52" s="1244"/>
      <c r="T52" s="1247" t="s">
        <v>461</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489</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3757"/>
      <c r="U55" s="3757"/>
      <c r="V55" s="3757"/>
      <c r="W55" s="3757"/>
      <c r="X55" s="3757"/>
      <c r="Y55" s="3757"/>
      <c r="Z55" s="3757"/>
      <c r="AA55" s="3757"/>
      <c r="AB55" s="3757"/>
      <c r="AC55" s="3757"/>
      <c r="AD55" s="3757"/>
      <c r="AE55" s="3757"/>
      <c r="AF55" s="3757"/>
      <c r="AG55" s="3757"/>
      <c r="AH55" s="3757"/>
      <c r="AI55" s="3757"/>
      <c r="AJ55" s="3757"/>
      <c r="AK55" s="3757"/>
      <c r="AQ55" s="1077">
        <v>14</v>
      </c>
    </row>
    <row r="56" spans="1:43" ht="14.65" customHeight="1">
      <c r="O56" s="471"/>
      <c r="AQ56" s="1077">
        <v>14</v>
      </c>
    </row>
    <row r="57" spans="1:43" ht="14.65" customHeight="1">
      <c r="O57" s="471"/>
      <c r="S57" s="1175"/>
      <c r="T57" s="3757"/>
      <c r="U57" s="3757"/>
      <c r="V57" s="3757"/>
      <c r="W57" s="3757"/>
      <c r="X57" s="3757"/>
      <c r="Y57" s="3757"/>
      <c r="Z57" s="3757"/>
      <c r="AA57" s="3757"/>
      <c r="AB57" s="3757"/>
      <c r="AC57" s="3757"/>
      <c r="AD57" s="3757"/>
      <c r="AE57" s="3757"/>
      <c r="AF57" s="3757"/>
      <c r="AG57" s="3757"/>
      <c r="AH57" s="3757"/>
      <c r="AI57" s="3757"/>
      <c r="AJ57" s="3757"/>
      <c r="AK57" s="3757"/>
      <c r="AQ57" s="1077">
        <v>14</v>
      </c>
    </row>
    <row r="58" spans="1:43" ht="22.5" hidden="1" customHeight="1">
      <c r="A58" s="1082" t="s">
        <v>70</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v>
      </c>
    </row>
    <row r="2" spans="1:43" ht="23.25" hidden="1" customHeight="1">
      <c r="A2" s="1285"/>
      <c r="B2" s="1285"/>
      <c r="C2" s="1285"/>
      <c r="D2" s="1285"/>
      <c r="E2" s="3737">
        <v>1</v>
      </c>
      <c r="F2" s="1285"/>
      <c r="G2" s="1285"/>
      <c r="H2" s="1285"/>
      <c r="I2" s="1285"/>
      <c r="J2" s="1285"/>
      <c r="K2" s="1285"/>
      <c r="L2" s="1286"/>
      <c r="M2" s="1287"/>
      <c r="N2" s="1287"/>
      <c r="O2" s="1287"/>
      <c r="P2" s="295"/>
      <c r="Q2" s="294"/>
      <c r="R2" s="289"/>
      <c r="S2" s="1379" t="e">
        <f>INDEX(PT_DIFFERENTIATION_NUM_NTAR,MATCH(A2,PT_DIFFERENTIATION_NTAR_ID,0))</f>
        <v>#N/A</v>
      </c>
      <c r="T2" s="233" t="s">
        <v>176</v>
      </c>
      <c r="U2" s="235"/>
      <c r="V2" s="3723"/>
      <c r="W2" s="3724"/>
      <c r="X2" s="3724"/>
      <c r="Y2" s="3724"/>
      <c r="Z2" s="3724"/>
      <c r="AA2" s="3724"/>
      <c r="AB2" s="3725"/>
      <c r="AC2" s="3723" t="e">
        <f>INDEX(PT_DIFFERENTIATION_NTAR,MATCH(A2,PT_DIFFERENTIATION_NTAR_ID,0))</f>
        <v>#N/A</v>
      </c>
      <c r="AD2" s="3724"/>
      <c r="AE2" s="3724"/>
      <c r="AF2" s="3724"/>
      <c r="AG2" s="3724"/>
      <c r="AH2" s="3724"/>
      <c r="AI2" s="3724"/>
      <c r="AJ2" s="3725"/>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3738"/>
      <c r="F3" s="3737">
        <v>1</v>
      </c>
      <c r="G3" s="1285"/>
      <c r="H3" s="1285"/>
      <c r="I3" s="1285"/>
      <c r="J3" s="1285"/>
      <c r="K3" s="1285"/>
      <c r="L3" s="1286"/>
      <c r="M3" s="1287"/>
      <c r="N3" s="1287"/>
      <c r="O3" s="1287"/>
      <c r="P3" s="1375"/>
      <c r="Q3" s="286"/>
      <c r="R3" s="287"/>
      <c r="S3" s="1379" t="e">
        <f>INDEX(PT_DIFFERENTIATION_NUM_TER,MATCH(B3,PT_DIFFERENTIATION_TER_ID,0))</f>
        <v>#N/A</v>
      </c>
      <c r="T3" s="243" t="s">
        <v>442</v>
      </c>
      <c r="U3" s="235"/>
      <c r="V3" s="3723"/>
      <c r="W3" s="3724"/>
      <c r="X3" s="3724"/>
      <c r="Y3" s="3724"/>
      <c r="Z3" s="3724"/>
      <c r="AA3" s="3724"/>
      <c r="AB3" s="3725"/>
      <c r="AC3" s="3723" t="e">
        <f>INDEX(PT_DIFFERENTIATION_TER,MATCH(B3,PT_DIFFERENTIATION_TER_ID,0))</f>
        <v>#N/A</v>
      </c>
      <c r="AD3" s="3724"/>
      <c r="AE3" s="3724"/>
      <c r="AF3" s="3724"/>
      <c r="AG3" s="3724"/>
      <c r="AH3" s="3724"/>
      <c r="AI3" s="3724"/>
      <c r="AJ3" s="3725"/>
      <c r="AK3" s="1180" t="s">
        <v>443</v>
      </c>
      <c r="AM3" s="434"/>
      <c r="AN3" s="434" t="str">
        <f t="shared" si="0"/>
        <v>Территория действия тарифа</v>
      </c>
      <c r="AO3" s="434"/>
      <c r="AP3" s="434"/>
      <c r="AQ3" s="1077">
        <v>0</v>
      </c>
    </row>
    <row r="4" spans="1:43" ht="23.25" hidden="1" customHeight="1">
      <c r="A4" s="1285"/>
      <c r="B4" s="1285"/>
      <c r="C4" s="1285"/>
      <c r="D4" s="1285"/>
      <c r="E4" s="3738"/>
      <c r="F4" s="3738"/>
      <c r="G4" s="3737">
        <v>1</v>
      </c>
      <c r="H4" s="1285"/>
      <c r="I4" s="1285"/>
      <c r="J4" s="1285"/>
      <c r="K4" s="1285"/>
      <c r="L4" s="1286"/>
      <c r="M4" s="1287"/>
      <c r="N4" s="1287"/>
      <c r="O4" s="1287"/>
      <c r="P4" s="288"/>
      <c r="Q4" s="286"/>
      <c r="R4" s="287"/>
      <c r="S4" s="1379" t="e">
        <f>INDEX(PT_DIFFERENTIATION_NUM_CS,MATCH(C4,PT_DIFFERENTIATION_CS_ID,0))</f>
        <v>#N/A</v>
      </c>
      <c r="T4" s="244" t="s">
        <v>524</v>
      </c>
      <c r="U4" s="235"/>
      <c r="V4" s="3723"/>
      <c r="W4" s="3724"/>
      <c r="X4" s="3724"/>
      <c r="Y4" s="3724"/>
      <c r="Z4" s="3724"/>
      <c r="AA4" s="3724"/>
      <c r="AB4" s="3725"/>
      <c r="AC4" s="3723" t="e">
        <f>INDEX(PT_DIFFERENTIATION_CS,MATCH(C4,PT_DIFFERENTIATION_CS_ID,0))</f>
        <v>#N/A</v>
      </c>
      <c r="AD4" s="3724"/>
      <c r="AE4" s="3724"/>
      <c r="AF4" s="3724"/>
      <c r="AG4" s="3724"/>
      <c r="AH4" s="3724"/>
      <c r="AI4" s="3724"/>
      <c r="AJ4" s="3725"/>
      <c r="AK4" s="1180" t="s">
        <v>525</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3738"/>
      <c r="F5" s="3738"/>
      <c r="G5" s="3738"/>
      <c r="H5" s="3738"/>
      <c r="I5" s="3735" t="e">
        <f>S4&amp;".1"</f>
        <v>#N/A</v>
      </c>
      <c r="J5" s="1285"/>
      <c r="K5" s="1285"/>
      <c r="L5" s="1286"/>
      <c r="P5" s="3736">
        <v>1</v>
      </c>
      <c r="Q5" s="1372"/>
      <c r="R5" s="290"/>
      <c r="S5" s="1379" t="e">
        <f>$I5</f>
        <v>#N/A</v>
      </c>
      <c r="T5" s="220" t="s">
        <v>526</v>
      </c>
      <c r="U5" s="235"/>
      <c r="V5" s="3807"/>
      <c r="W5" s="3808"/>
      <c r="X5" s="3808"/>
      <c r="Y5" s="3808"/>
      <c r="Z5" s="3808"/>
      <c r="AA5" s="3808"/>
      <c r="AB5" s="3809"/>
      <c r="AC5" s="3810"/>
      <c r="AD5" s="3811"/>
      <c r="AE5" s="3811"/>
      <c r="AF5" s="3811"/>
      <c r="AG5" s="3811"/>
      <c r="AH5" s="3811"/>
      <c r="AI5" s="3811"/>
      <c r="AJ5" s="3812"/>
      <c r="AK5" s="1180" t="s">
        <v>527</v>
      </c>
      <c r="AM5" s="434"/>
      <c r="AN5" s="434" t="str">
        <f t="shared" si="0"/>
        <v>Наименование признака дифференциации</v>
      </c>
      <c r="AO5" s="434"/>
      <c r="AP5" s="434"/>
      <c r="AQ5" s="1077">
        <v>0</v>
      </c>
    </row>
    <row r="6" spans="1:43" ht="23.25" hidden="1" customHeight="1">
      <c r="A6" s="1285"/>
      <c r="B6" s="1285"/>
      <c r="C6" s="1285"/>
      <c r="D6" s="1285"/>
      <c r="E6" s="3738"/>
      <c r="F6" s="3738"/>
      <c r="G6" s="3738"/>
      <c r="H6" s="3738"/>
      <c r="I6" s="3758"/>
      <c r="J6" s="3735" t="e">
        <f>I5&amp;".1"</f>
        <v>#N/A</v>
      </c>
      <c r="K6" s="1285"/>
      <c r="L6" s="1286" t="s">
        <v>451</v>
      </c>
      <c r="P6" s="3736"/>
      <c r="Q6" s="3736">
        <v>1</v>
      </c>
      <c r="R6" s="291"/>
      <c r="S6" s="1379" t="e">
        <f>$J6</f>
        <v>#N/A</v>
      </c>
      <c r="T6" s="221" t="s">
        <v>452</v>
      </c>
      <c r="U6" s="235"/>
      <c r="V6" s="3726"/>
      <c r="W6" s="3727"/>
      <c r="X6" s="3727"/>
      <c r="Y6" s="3727"/>
      <c r="Z6" s="3727"/>
      <c r="AA6" s="3727"/>
      <c r="AB6" s="3728"/>
      <c r="AC6" s="3726"/>
      <c r="AD6" s="3727"/>
      <c r="AE6" s="3727"/>
      <c r="AF6" s="3727"/>
      <c r="AG6" s="3727"/>
      <c r="AH6" s="3727"/>
      <c r="AI6" s="3727"/>
      <c r="AJ6" s="3728"/>
      <c r="AK6" s="1229" t="s">
        <v>528</v>
      </c>
      <c r="AM6" s="434"/>
      <c r="AN6" s="434" t="str">
        <f t="shared" si="0"/>
        <v>Группа потребителей</v>
      </c>
      <c r="AO6" s="434"/>
      <c r="AP6" s="434"/>
      <c r="AQ6" s="1077">
        <v>0</v>
      </c>
    </row>
    <row r="7" spans="1:43" ht="23.25" hidden="1" customHeight="1">
      <c r="A7" s="1285"/>
      <c r="B7" s="1285"/>
      <c r="C7" s="1285"/>
      <c r="D7" s="1285"/>
      <c r="E7" s="3738"/>
      <c r="F7" s="3738"/>
      <c r="G7" s="3738"/>
      <c r="H7" s="3738"/>
      <c r="I7" s="3758"/>
      <c r="J7" s="3758"/>
      <c r="K7" s="3735" t="e">
        <f>J6&amp;".1"</f>
        <v>#N/A</v>
      </c>
      <c r="L7" s="1286"/>
      <c r="P7" s="3736"/>
      <c r="Q7" s="3736"/>
      <c r="R7" s="291">
        <v>1</v>
      </c>
      <c r="S7" s="1379" t="e">
        <f>$K7</f>
        <v>#N/A</v>
      </c>
      <c r="T7" s="1359"/>
      <c r="U7" s="235"/>
      <c r="V7" s="685"/>
      <c r="W7" s="685"/>
      <c r="X7" s="1179"/>
      <c r="Y7" s="3740"/>
      <c r="Z7" s="3599" t="s">
        <v>50</v>
      </c>
      <c r="AA7" s="3740"/>
      <c r="AB7" s="3599" t="s">
        <v>50</v>
      </c>
      <c r="AC7" s="685"/>
      <c r="AD7" s="685"/>
      <c r="AE7" s="1179"/>
      <c r="AF7" s="3740"/>
      <c r="AG7" s="3599" t="s">
        <v>50</v>
      </c>
      <c r="AH7" s="3759"/>
      <c r="AI7" s="3599" t="s">
        <v>50</v>
      </c>
      <c r="AJ7" s="1360"/>
      <c r="AK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3738"/>
      <c r="F8" s="3738"/>
      <c r="G8" s="3738"/>
      <c r="H8" s="3738"/>
      <c r="I8" s="3758"/>
      <c r="J8" s="3758"/>
      <c r="K8" s="3735"/>
      <c r="L8" s="1286"/>
      <c r="P8" s="3736"/>
      <c r="Q8" s="3736"/>
      <c r="R8" s="291"/>
      <c r="S8" s="1378"/>
      <c r="T8" s="235"/>
      <c r="U8" s="235"/>
      <c r="V8" s="260"/>
      <c r="W8" s="260"/>
      <c r="X8" s="263" t="str">
        <f>Y7&amp;"-"&amp;AA7</f>
        <v>-</v>
      </c>
      <c r="Y8" s="3741"/>
      <c r="Z8" s="3599"/>
      <c r="AA8" s="3741"/>
      <c r="AB8" s="3599"/>
      <c r="AC8" s="260"/>
      <c r="AD8" s="260"/>
      <c r="AE8" s="263" t="str">
        <f>AF7&amp;"-"&amp;AH7</f>
        <v>-</v>
      </c>
      <c r="AF8" s="3741"/>
      <c r="AG8" s="3599"/>
      <c r="AH8" s="3760"/>
      <c r="AI8" s="3599"/>
      <c r="AJ8" s="1361"/>
      <c r="AK8" s="3806"/>
      <c r="AM8" s="434"/>
      <c r="AN8" s="434" t="str">
        <f t="shared" si="0"/>
        <v/>
      </c>
      <c r="AO8" s="434"/>
      <c r="AP8" s="434"/>
      <c r="AQ8" s="1077">
        <v>0</v>
      </c>
    </row>
    <row r="9" spans="1:43" ht="21" hidden="1" customHeight="1">
      <c r="A9" s="1285"/>
      <c r="B9" s="1285"/>
      <c r="C9" s="1285"/>
      <c r="D9" s="1285"/>
      <c r="E9" s="3738"/>
      <c r="F9" s="3738"/>
      <c r="G9" s="3738"/>
      <c r="H9" s="3738"/>
      <c r="I9" s="3758"/>
      <c r="J9" s="3735"/>
      <c r="K9" s="1285"/>
      <c r="L9" s="1286"/>
      <c r="P9" s="3736"/>
      <c r="Q9" s="3736"/>
      <c r="R9" s="290"/>
      <c r="S9" s="1200"/>
      <c r="T9" s="222" t="s">
        <v>529</v>
      </c>
      <c r="U9" s="301"/>
      <c r="V9" s="301"/>
      <c r="W9" s="301"/>
      <c r="X9" s="301"/>
      <c r="Y9" s="301"/>
      <c r="Z9" s="301"/>
      <c r="AA9" s="301"/>
      <c r="AB9" s="301"/>
      <c r="AC9" s="301"/>
      <c r="AD9" s="301"/>
      <c r="AE9" s="301"/>
      <c r="AF9" s="301"/>
      <c r="AG9" s="301"/>
      <c r="AH9" s="301"/>
      <c r="AI9" s="301"/>
      <c r="AJ9" s="301"/>
      <c r="AK9" s="1180" t="s">
        <v>530</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3738"/>
      <c r="F10" s="3738"/>
      <c r="G10" s="3738"/>
      <c r="H10" s="3738"/>
      <c r="I10" s="3735"/>
      <c r="J10" s="1285"/>
      <c r="K10" s="1285"/>
      <c r="L10" s="1286"/>
      <c r="P10" s="3736"/>
      <c r="Q10" s="1372"/>
      <c r="R10" s="290"/>
      <c r="S10" s="1200"/>
      <c r="T10" s="299" t="s">
        <v>457</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3738"/>
      <c r="F12" s="3737"/>
      <c r="G12" s="1236"/>
      <c r="H12" s="1236"/>
      <c r="I12" s="1236"/>
      <c r="J12" s="1236"/>
      <c r="K12" s="1236"/>
      <c r="L12" s="1380"/>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3742"/>
      <c r="AG15" s="3743" t="s">
        <v>50</v>
      </c>
      <c r="AH15" s="3742"/>
      <c r="AI15" s="3743" t="s">
        <v>50</v>
      </c>
      <c r="AQ15" s="1077">
        <v>0</v>
      </c>
    </row>
    <row r="16" spans="1:43" ht="14.25" hidden="1" customHeight="1">
      <c r="AC16" s="1282"/>
      <c r="AD16" s="1282"/>
      <c r="AE16" s="263" t="str">
        <f>AF15&amp;"-"&amp;AH15</f>
        <v>-</v>
      </c>
      <c r="AF16" s="3743"/>
      <c r="AG16" s="3743"/>
      <c r="AH16" s="3743"/>
      <c r="AI16" s="3743"/>
      <c r="AQ16" s="1077">
        <v>0</v>
      </c>
    </row>
    <row r="17" spans="1:43" ht="14.25" hidden="1" customHeight="1">
      <c r="AI17" s="262"/>
      <c r="AQ17" s="1077">
        <v>0</v>
      </c>
    </row>
    <row r="18" spans="1:43" s="1288" customFormat="1" ht="22.5" hidden="1" customHeight="1">
      <c r="L18" s="1369"/>
      <c r="M18" s="1284"/>
      <c r="N18" s="1284"/>
      <c r="O18" s="1289" t="s">
        <v>462</v>
      </c>
      <c r="P18" s="1284"/>
      <c r="Q18" s="1293"/>
      <c r="R18" s="1293"/>
      <c r="S18" s="663"/>
      <c r="Y18" s="1289"/>
      <c r="AA18" s="1289"/>
      <c r="AF18" s="1289"/>
      <c r="AH18" s="1289"/>
      <c r="AL18" s="445"/>
      <c r="AM18" s="445"/>
      <c r="AN18" s="445"/>
      <c r="AO18" s="445"/>
      <c r="AP18" s="445"/>
      <c r="AQ18" s="1082">
        <v>0</v>
      </c>
    </row>
    <row r="19" spans="1:43" s="1288" customFormat="1" ht="14.25" hidden="1" customHeight="1">
      <c r="L19" s="1369"/>
      <c r="M19" s="1284"/>
      <c r="N19" s="1284"/>
      <c r="O19" s="1284"/>
      <c r="P19" s="1284"/>
      <c r="Q19" s="1293"/>
      <c r="R19" s="1293"/>
      <c r="S19" s="663"/>
      <c r="AL19" s="445"/>
      <c r="AM19" s="445"/>
      <c r="AN19" s="445"/>
      <c r="AO19" s="445"/>
      <c r="AP19" s="445"/>
      <c r="AQ19" s="1082">
        <v>0</v>
      </c>
    </row>
    <row r="20" spans="1:43" s="1288" customFormat="1" ht="12" hidden="1" customHeight="1">
      <c r="L20" s="1369"/>
      <c r="M20" s="1284"/>
      <c r="N20" s="1284"/>
      <c r="O20" s="1286" t="s">
        <v>463</v>
      </c>
      <c r="P20" s="1284"/>
      <c r="Q20" s="1364"/>
      <c r="R20" s="1364"/>
      <c r="S20" s="663"/>
      <c r="T20" s="1082" t="s">
        <v>464</v>
      </c>
      <c r="Z20" s="121" t="s">
        <v>465</v>
      </c>
      <c r="AB20" s="121" t="s">
        <v>466</v>
      </c>
      <c r="AC20" s="1082" t="s">
        <v>464</v>
      </c>
      <c r="AG20" s="121" t="s">
        <v>467</v>
      </c>
      <c r="AI20" s="121" t="s">
        <v>466</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37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721"/>
      <c r="U24" s="3721"/>
      <c r="V24" s="3721"/>
      <c r="W24" s="3721"/>
      <c r="X24" s="3721"/>
      <c r="Y24" s="3721"/>
      <c r="Z24" s="3721"/>
      <c r="AA24" s="3721"/>
      <c r="AB24" s="3721"/>
      <c r="AC24" s="3721"/>
      <c r="AD24" s="3721"/>
      <c r="AE24" s="3721"/>
      <c r="AF24" s="3721"/>
      <c r="AG24" s="3721"/>
      <c r="AH24" s="3721"/>
      <c r="AI24" s="1165"/>
      <c r="AQ24" s="1077">
        <v>14</v>
      </c>
    </row>
    <row r="25" spans="1:43"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261"/>
      <c r="AC27" s="3730" t="str">
        <f>IF(TITLE_NAME_OR_PR_CHANGE="",IF(TITLE_NAME_OR_PR="","",TITLE_NAME_OR_PR),TITLE_NAME_OR_PR_CHANGE)</f>
        <v/>
      </c>
      <c r="AD27" s="3730"/>
      <c r="AE27" s="3730"/>
      <c r="AF27" s="3730"/>
      <c r="AG27" s="3730"/>
      <c r="AH27" s="3730"/>
      <c r="AI27" s="261"/>
      <c r="AJ27" s="261"/>
      <c r="AK27" s="215"/>
      <c r="AL27" s="302"/>
      <c r="AM27" s="302"/>
      <c r="AN27" s="302"/>
      <c r="AO27" s="302"/>
      <c r="AP27" s="302"/>
      <c r="AQ27" s="352">
        <v>0</v>
      </c>
    </row>
    <row r="28" spans="1:43"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261"/>
      <c r="AC28" s="3739" t="str">
        <f>IF(TITLE_DATE_PR_CHANGE="",IF(TITLE_DATE_PR="","",TITLE_DATE_PR),TITLE_DATE_PR_CHANGE)</f>
        <v/>
      </c>
      <c r="AD28" s="3739"/>
      <c r="AE28" s="3739"/>
      <c r="AF28" s="3739"/>
      <c r="AG28" s="3739"/>
      <c r="AH28" s="3739"/>
      <c r="AI28" s="261"/>
      <c r="AJ28" s="261"/>
      <c r="AK28" s="215"/>
      <c r="AL28" s="302"/>
      <c r="AM28" s="302"/>
      <c r="AN28" s="302"/>
      <c r="AO28" s="302"/>
      <c r="AP28" s="302"/>
      <c r="AQ28" s="352">
        <v>0</v>
      </c>
    </row>
    <row r="29" spans="1:43"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261"/>
      <c r="AC29" s="3730" t="str">
        <f>IF(TITLE_NUMBER_PR_CHANGE="",IF(TITLE_NUMBER_PR="","",TITLE_NUMBER_PR),TITLE_NUMBER_PR_CHANGE)</f>
        <v/>
      </c>
      <c r="AD29" s="3730"/>
      <c r="AE29" s="3730"/>
      <c r="AF29" s="3730"/>
      <c r="AG29" s="3730"/>
      <c r="AH29" s="3730"/>
      <c r="AI29" s="261"/>
      <c r="AJ29" s="261"/>
      <c r="AK29" s="215"/>
      <c r="AL29" s="302"/>
      <c r="AM29" s="302"/>
      <c r="AN29" s="302"/>
      <c r="AO29" s="302"/>
      <c r="AP29" s="302"/>
      <c r="AQ29" s="352">
        <v>0</v>
      </c>
    </row>
    <row r="30" spans="1:43"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261"/>
      <c r="AC30" s="3730" t="str">
        <f>IF(TITLE_IST_PUB_CHANGE="",IF(TITLE_IST_PUB="","",TITLE_IST_PUB),TITLE_IST_PUB_CHANGE)</f>
        <v/>
      </c>
      <c r="AD30" s="3730"/>
      <c r="AE30" s="3730"/>
      <c r="AF30" s="3730"/>
      <c r="AG30" s="3730"/>
      <c r="AH30" s="3730"/>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261"/>
      <c r="AC32" s="3739" t="str">
        <f>IF(TITLE_DATE_PR_CHANGE="",IF(TITLE_DATE_PR="","",TITLE_DATE_PR),TITLE_DATE_PR_CHANGE)</f>
        <v/>
      </c>
      <c r="AD32" s="3739"/>
      <c r="AE32" s="3739"/>
      <c r="AF32" s="3739"/>
      <c r="AG32" s="3739"/>
      <c r="AH32" s="3739"/>
      <c r="AI32" s="261"/>
      <c r="AJ32" s="261"/>
      <c r="AK32" s="215"/>
      <c r="AL32" s="302"/>
      <c r="AM32" s="302"/>
      <c r="AN32" s="302"/>
      <c r="AO32" s="302"/>
      <c r="AP32" s="302"/>
      <c r="AQ32" s="352">
        <v>0</v>
      </c>
    </row>
    <row r="33" spans="1:43"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261"/>
      <c r="AC33" s="3730" t="str">
        <f>IF(TITLE_NUMBER_PR_CHANGE="",IF(TITLE_NUMBER_PR="","",TITLE_NUMBER_PR),TITLE_NUMBER_PR_CHANGE)</f>
        <v/>
      </c>
      <c r="AD33" s="3730"/>
      <c r="AE33" s="3730"/>
      <c r="AF33" s="3730"/>
      <c r="AG33" s="3730"/>
      <c r="AH33" s="3730"/>
      <c r="AI33" s="261"/>
      <c r="AJ33" s="261"/>
      <c r="AK33" s="215"/>
      <c r="AL33" s="302"/>
      <c r="AM33" s="302"/>
      <c r="AN33" s="302"/>
      <c r="AO33" s="302"/>
      <c r="AP33" s="302"/>
      <c r="AQ33" s="352">
        <v>0</v>
      </c>
    </row>
    <row r="34" spans="1:43"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376"/>
      <c r="V34" s="261"/>
      <c r="W34" s="261"/>
      <c r="X34" s="261"/>
      <c r="Y34" s="261"/>
      <c r="Z34" s="261"/>
      <c r="AA34" s="261"/>
      <c r="AB34" s="213" t="s">
        <v>468</v>
      </c>
      <c r="AC34" s="261"/>
      <c r="AD34" s="261"/>
      <c r="AE34" s="261"/>
      <c r="AF34" s="261"/>
      <c r="AG34" s="261"/>
      <c r="AH34" s="261"/>
      <c r="AI34" s="213" t="s">
        <v>468</v>
      </c>
      <c r="AL34" s="302"/>
      <c r="AM34" s="302"/>
      <c r="AN34" s="302"/>
      <c r="AO34" s="302"/>
      <c r="AP34" s="302"/>
      <c r="AQ34" s="352">
        <v>1</v>
      </c>
    </row>
    <row r="35" spans="1:43" ht="14.65" customHeight="1">
      <c r="Q35" s="310"/>
      <c r="R35" s="310"/>
      <c r="S35" s="1197"/>
      <c r="T35" s="297"/>
      <c r="U35" s="1166"/>
      <c r="V35" s="3731"/>
      <c r="W35" s="3731"/>
      <c r="X35" s="3731"/>
      <c r="Y35" s="3731"/>
      <c r="Z35" s="3731"/>
      <c r="AA35" s="3731"/>
      <c r="AB35" s="3731"/>
      <c r="AC35" s="3731"/>
      <c r="AD35" s="3731"/>
      <c r="AE35" s="3731"/>
      <c r="AF35" s="3731"/>
      <c r="AG35" s="3731"/>
      <c r="AH35" s="3731"/>
      <c r="AI35" s="3731"/>
      <c r="AQ35" s="1077">
        <v>14</v>
      </c>
    </row>
    <row r="36" spans="1:43"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t="s">
        <v>346</v>
      </c>
      <c r="AQ36" s="1077">
        <v>14</v>
      </c>
    </row>
    <row r="37" spans="1:43" ht="14.65" customHeight="1">
      <c r="Q37" s="310"/>
      <c r="R37" s="310"/>
      <c r="S37" s="3745" t="s">
        <v>76</v>
      </c>
      <c r="T37" s="3697" t="s">
        <v>469</v>
      </c>
      <c r="U37" s="236"/>
      <c r="V37" s="3746" t="s">
        <v>470</v>
      </c>
      <c r="W37" s="3747"/>
      <c r="X37" s="3747"/>
      <c r="Y37" s="3747"/>
      <c r="Z37" s="3747"/>
      <c r="AA37" s="3748"/>
      <c r="AB37" s="3749" t="s">
        <v>471</v>
      </c>
      <c r="AC37" s="3746" t="s">
        <v>470</v>
      </c>
      <c r="AD37" s="3747"/>
      <c r="AE37" s="3747"/>
      <c r="AF37" s="3747"/>
      <c r="AG37" s="3747"/>
      <c r="AH37" s="3748"/>
      <c r="AI37" s="3749" t="s">
        <v>472</v>
      </c>
      <c r="AJ37" s="3752" t="s">
        <v>473</v>
      </c>
      <c r="AK37" s="3618"/>
      <c r="AQ37" s="1077">
        <v>14</v>
      </c>
    </row>
    <row r="38" spans="1:43" ht="35.65" customHeight="1">
      <c r="Q38" s="310"/>
      <c r="R38" s="310"/>
      <c r="S38" s="3745"/>
      <c r="T38" s="3697"/>
      <c r="U38" s="957"/>
      <c r="V38" s="1374" t="s">
        <v>532</v>
      </c>
      <c r="W38" s="3589" t="s">
        <v>476</v>
      </c>
      <c r="X38" s="3588"/>
      <c r="Y38" s="3589" t="s">
        <v>477</v>
      </c>
      <c r="Z38" s="3595"/>
      <c r="AA38" s="3588"/>
      <c r="AB38" s="3750"/>
      <c r="AC38" s="1374" t="s">
        <v>532</v>
      </c>
      <c r="AD38" s="3589" t="s">
        <v>476</v>
      </c>
      <c r="AE38" s="3588"/>
      <c r="AF38" s="3589" t="s">
        <v>477</v>
      </c>
      <c r="AG38" s="3595"/>
      <c r="AH38" s="3588"/>
      <c r="AI38" s="3750"/>
      <c r="AJ38" s="3753"/>
      <c r="AK38" s="3618"/>
      <c r="AQ38" s="1077">
        <v>34</v>
      </c>
    </row>
    <row r="39" spans="1:43" ht="35.65" customHeight="1">
      <c r="A39" s="1292"/>
      <c r="B39" s="1292" t="s">
        <v>188</v>
      </c>
      <c r="C39" s="1292" t="s">
        <v>189</v>
      </c>
      <c r="D39" s="1292" t="s">
        <v>190</v>
      </c>
      <c r="E39" s="1286" t="s">
        <v>478</v>
      </c>
      <c r="F39" s="1286" t="s">
        <v>479</v>
      </c>
      <c r="G39" s="1286" t="s">
        <v>480</v>
      </c>
      <c r="H39" s="1286"/>
      <c r="I39" s="1286" t="s">
        <v>533</v>
      </c>
      <c r="J39" s="1286" t="s">
        <v>483</v>
      </c>
      <c r="K39" s="1286" t="s">
        <v>534</v>
      </c>
      <c r="L39" s="1286" t="s">
        <v>463</v>
      </c>
      <c r="Q39" s="310"/>
      <c r="R39" s="310"/>
      <c r="S39" s="3745"/>
      <c r="T39" s="3697"/>
      <c r="U39" s="237"/>
      <c r="V39" s="1374" t="s">
        <v>535</v>
      </c>
      <c r="W39" s="1144" t="s">
        <v>536</v>
      </c>
      <c r="X39" s="1144" t="s">
        <v>537</v>
      </c>
      <c r="Y39" s="1377" t="s">
        <v>487</v>
      </c>
      <c r="Z39" s="3705" t="s">
        <v>488</v>
      </c>
      <c r="AA39" s="3707"/>
      <c r="AB39" s="3751"/>
      <c r="AC39" s="1374" t="s">
        <v>535</v>
      </c>
      <c r="AD39" s="1144" t="s">
        <v>536</v>
      </c>
      <c r="AE39" s="1144" t="s">
        <v>537</v>
      </c>
      <c r="AF39" s="1377" t="s">
        <v>487</v>
      </c>
      <c r="AG39" s="3705" t="s">
        <v>488</v>
      </c>
      <c r="AH39" s="3707"/>
      <c r="AI39" s="3751"/>
      <c r="AJ39" s="3754"/>
      <c r="AK39" s="3618"/>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164</v>
      </c>
      <c r="T40" s="1177" t="s">
        <v>89</v>
      </c>
      <c r="U40" s="1167" t="str">
        <f ca="1">OFFSET(U40,0,-1)</f>
        <v>2</v>
      </c>
      <c r="V40" s="1373">
        <f ca="1">OFFSET(V40,0,-1)+1</f>
        <v>3</v>
      </c>
      <c r="W40" s="1373">
        <f ca="1">OFFSET(W40,0,-1)+1</f>
        <v>4</v>
      </c>
      <c r="X40" s="1373">
        <f ca="1">OFFSET(X40,0,-1)+1</f>
        <v>5</v>
      </c>
      <c r="Y40" s="1373">
        <f ca="1">OFFSET(Y40,0,-1)+1</f>
        <v>6</v>
      </c>
      <c r="Z40" s="3744">
        <f ca="1">OFFSET(Z40,0,-1)+1</f>
        <v>7</v>
      </c>
      <c r="AA40" s="3744"/>
      <c r="AB40" s="1373">
        <f ca="1">OFFSET(AB40,0,-2)+1</f>
        <v>8</v>
      </c>
      <c r="AC40" s="1373">
        <f ca="1">OFFSET(AC40,0,-1)+1</f>
        <v>9</v>
      </c>
      <c r="AD40" s="1373">
        <f ca="1">OFFSET(AD40,0,-1)+1</f>
        <v>10</v>
      </c>
      <c r="AE40" s="1373">
        <f ca="1">OFFSET(AE40,0,-1)+1</f>
        <v>11</v>
      </c>
      <c r="AF40" s="1373">
        <f ca="1">OFFSET(AF40,0,-1)+1</f>
        <v>12</v>
      </c>
      <c r="AG40" s="3744">
        <f ca="1">OFFSET(AG40,0,-1)+1</f>
        <v>13</v>
      </c>
      <c r="AH40" s="3744"/>
      <c r="AI40" s="1373">
        <f ca="1">OFFSET(AI40,0,-2)+1</f>
        <v>14</v>
      </c>
      <c r="AJ40" s="1167">
        <f ca="1">OFFSET(AJ40,0,-1)</f>
        <v>14</v>
      </c>
      <c r="AK40" s="1373">
        <f ca="1">OFFSET(AK40,0,-1)+1</f>
        <v>15</v>
      </c>
      <c r="AL40" s="445"/>
      <c r="AM40" s="445"/>
      <c r="AN40" s="445"/>
      <c r="AO40" s="445"/>
      <c r="AP40" s="445"/>
      <c r="AQ40" s="430">
        <v>0</v>
      </c>
    </row>
    <row r="41" spans="1:43" ht="24" customHeight="1">
      <c r="A41" s="1285" t="s">
        <v>286</v>
      </c>
      <c r="B41" s="1285"/>
      <c r="C41" s="1285"/>
      <c r="D41" s="1285"/>
      <c r="E41" s="3737">
        <v>1</v>
      </c>
      <c r="F41" s="1285"/>
      <c r="G41" s="1285"/>
      <c r="H41" s="1285"/>
      <c r="I41" s="1285"/>
      <c r="J41" s="1285"/>
      <c r="K41" s="1285"/>
      <c r="L41" s="1286"/>
      <c r="M41" s="1287"/>
      <c r="N41" s="1287"/>
      <c r="O41" s="1287"/>
      <c r="P41" s="295"/>
      <c r="Q41" s="294"/>
      <c r="R41" s="289"/>
      <c r="S41" s="1379">
        <f>INDEX(PT_DIFFERENTIATION_NUM_NTAR,MATCH(A41,PT_DIFFERENTIATION_NTAR_ID,0))</f>
        <v>0</v>
      </c>
      <c r="T41" s="233" t="s">
        <v>176</v>
      </c>
      <c r="U41" s="235"/>
      <c r="V41" s="3723"/>
      <c r="W41" s="3724"/>
      <c r="X41" s="3724"/>
      <c r="Y41" s="3724"/>
      <c r="Z41" s="3724"/>
      <c r="AA41" s="3724"/>
      <c r="AB41" s="3725"/>
      <c r="AC41" s="3723" t="str">
        <f>INDEX(PT_DIFFERENTIATION_NTAR,MATCH(A41,PT_DIFFERENTIATION_NTAR_ID,0))</f>
        <v/>
      </c>
      <c r="AD41" s="3724"/>
      <c r="AE41" s="3724"/>
      <c r="AF41" s="3724"/>
      <c r="AG41" s="3724"/>
      <c r="AH41" s="3724"/>
      <c r="AI41" s="3724"/>
      <c r="AJ41" s="3725"/>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286</v>
      </c>
      <c r="B42" s="1285" t="s">
        <v>287</v>
      </c>
      <c r="C42" s="1285"/>
      <c r="D42" s="1285"/>
      <c r="E42" s="3738"/>
      <c r="F42" s="3737">
        <v>1</v>
      </c>
      <c r="G42" s="1285"/>
      <c r="H42" s="1285"/>
      <c r="I42" s="1285"/>
      <c r="J42" s="1285"/>
      <c r="K42" s="1285"/>
      <c r="L42" s="1286"/>
      <c r="M42" s="1287"/>
      <c r="N42" s="1287"/>
      <c r="O42" s="1287"/>
      <c r="P42" s="1375"/>
      <c r="Q42" s="286"/>
      <c r="R42" s="287"/>
      <c r="S42" s="1379" t="str">
        <f>INDEX(PT_DIFFERENTIATION_NUM_TER,MATCH(B42,PT_DIFFERENTIATION_TER_ID,0))</f>
        <v>.</v>
      </c>
      <c r="T42" s="243" t="s">
        <v>442</v>
      </c>
      <c r="U42" s="235"/>
      <c r="V42" s="3723"/>
      <c r="W42" s="3724"/>
      <c r="X42" s="3724"/>
      <c r="Y42" s="3724"/>
      <c r="Z42" s="3724"/>
      <c r="AA42" s="3724"/>
      <c r="AB42" s="3725"/>
      <c r="AC42" s="3723" t="str">
        <f>INDEX(PT_DIFFERENTIATION_TER,MATCH(B42,PT_DIFFERENTIATION_TER_ID,0))</f>
        <v/>
      </c>
      <c r="AD42" s="3724"/>
      <c r="AE42" s="3724"/>
      <c r="AF42" s="3724"/>
      <c r="AG42" s="3724"/>
      <c r="AH42" s="3724"/>
      <c r="AI42" s="3724"/>
      <c r="AJ42" s="3725"/>
      <c r="AK42" s="1180" t="s">
        <v>443</v>
      </c>
      <c r="AM42" s="434"/>
      <c r="AN42" s="434" t="str">
        <f t="shared" si="1"/>
        <v>Территория действия тарифа</v>
      </c>
      <c r="AO42" s="434"/>
      <c r="AP42" s="434"/>
      <c r="AQ42" s="1077">
        <v>23</v>
      </c>
    </row>
    <row r="43" spans="1:43" ht="24" customHeight="1">
      <c r="A43" s="1285" t="s">
        <v>286</v>
      </c>
      <c r="B43" s="1285" t="s">
        <v>287</v>
      </c>
      <c r="C43" s="1285" t="s">
        <v>288</v>
      </c>
      <c r="D43" s="1285"/>
      <c r="E43" s="3738"/>
      <c r="F43" s="3738"/>
      <c r="G43" s="3737">
        <v>1</v>
      </c>
      <c r="H43" s="1285"/>
      <c r="I43" s="1285"/>
      <c r="J43" s="1285"/>
      <c r="K43" s="1285"/>
      <c r="L43" s="1286"/>
      <c r="M43" s="1287"/>
      <c r="N43" s="1287"/>
      <c r="O43" s="1287"/>
      <c r="P43" s="288"/>
      <c r="Q43" s="286"/>
      <c r="R43" s="287"/>
      <c r="S43" s="1379" t="str">
        <f>INDEX(PT_DIFFERENTIATION_NUM_CS,MATCH(C43,PT_DIFFERENTIATION_CS_ID,0))</f>
        <v>..</v>
      </c>
      <c r="T43" s="244" t="s">
        <v>524</v>
      </c>
      <c r="U43" s="235"/>
      <c r="V43" s="3723"/>
      <c r="W43" s="3724"/>
      <c r="X43" s="3724"/>
      <c r="Y43" s="3724"/>
      <c r="Z43" s="3724"/>
      <c r="AA43" s="3724"/>
      <c r="AB43" s="3725"/>
      <c r="AC43" s="3723" t="str">
        <f>INDEX(PT_DIFFERENTIATION_CS,MATCH(C43,PT_DIFFERENTIATION_CS_ID,0))</f>
        <v/>
      </c>
      <c r="AD43" s="3724"/>
      <c r="AE43" s="3724"/>
      <c r="AF43" s="3724"/>
      <c r="AG43" s="3724"/>
      <c r="AH43" s="3724"/>
      <c r="AI43" s="3724"/>
      <c r="AJ43" s="3725"/>
      <c r="AK43" s="1180" t="s">
        <v>525</v>
      </c>
      <c r="AM43" s="434"/>
      <c r="AN43" s="434" t="str">
        <f t="shared" si="1"/>
        <v>Наименование централизованной системы холодного водоснабжения</v>
      </c>
      <c r="AO43" s="434"/>
      <c r="AP43" s="434"/>
      <c r="AQ43" s="1077">
        <v>23</v>
      </c>
    </row>
    <row r="44" spans="1:43" ht="24" customHeight="1">
      <c r="A44" s="1285" t="s">
        <v>286</v>
      </c>
      <c r="B44" s="1285" t="s">
        <v>287</v>
      </c>
      <c r="C44" s="1285" t="s">
        <v>288</v>
      </c>
      <c r="D44" s="1285" t="s">
        <v>541</v>
      </c>
      <c r="E44" s="3738"/>
      <c r="F44" s="3738"/>
      <c r="G44" s="3738"/>
      <c r="H44" s="3738"/>
      <c r="I44" s="3735" t="str">
        <f>S43&amp;".1"</f>
        <v>...1</v>
      </c>
      <c r="J44" s="1285"/>
      <c r="K44" s="1285"/>
      <c r="L44" s="1286"/>
      <c r="P44" s="3736">
        <v>1</v>
      </c>
      <c r="Q44" s="1372"/>
      <c r="R44" s="290"/>
      <c r="S44" s="1379" t="str">
        <f>$I44</f>
        <v>...1</v>
      </c>
      <c r="T44" s="220" t="s">
        <v>526</v>
      </c>
      <c r="U44" s="235"/>
      <c r="V44" s="3807"/>
      <c r="W44" s="3808"/>
      <c r="X44" s="3808"/>
      <c r="Y44" s="3808"/>
      <c r="Z44" s="3808"/>
      <c r="AA44" s="3808"/>
      <c r="AB44" s="3809"/>
      <c r="AC44" s="3810"/>
      <c r="AD44" s="3811"/>
      <c r="AE44" s="3811"/>
      <c r="AF44" s="3811"/>
      <c r="AG44" s="3811"/>
      <c r="AH44" s="3811"/>
      <c r="AI44" s="3811"/>
      <c r="AJ44" s="3812"/>
      <c r="AK44" s="1180" t="s">
        <v>527</v>
      </c>
      <c r="AM44" s="434"/>
      <c r="AN44" s="434" t="str">
        <f t="shared" si="1"/>
        <v>Наименование признака дифференциации</v>
      </c>
      <c r="AO44" s="434"/>
      <c r="AP44" s="434"/>
      <c r="AQ44" s="1077">
        <v>23</v>
      </c>
    </row>
    <row r="45" spans="1:43" ht="24" customHeight="1">
      <c r="A45" s="1285" t="s">
        <v>286</v>
      </c>
      <c r="B45" s="1285" t="s">
        <v>287</v>
      </c>
      <c r="C45" s="1285" t="s">
        <v>288</v>
      </c>
      <c r="D45" s="1285" t="s">
        <v>541</v>
      </c>
      <c r="E45" s="3738"/>
      <c r="F45" s="3738"/>
      <c r="G45" s="3738"/>
      <c r="H45" s="3738"/>
      <c r="I45" s="3758"/>
      <c r="J45" s="3735" t="str">
        <f>I44&amp;".1"</f>
        <v>...1.1</v>
      </c>
      <c r="K45" s="1285"/>
      <c r="L45" s="1286" t="s">
        <v>451</v>
      </c>
      <c r="P45" s="3736"/>
      <c r="Q45" s="3736">
        <v>1</v>
      </c>
      <c r="R45" s="291"/>
      <c r="S45" s="1379" t="str">
        <f>$J45</f>
        <v>...1.1</v>
      </c>
      <c r="T45" s="221" t="s">
        <v>452</v>
      </c>
      <c r="U45" s="235"/>
      <c r="V45" s="3726"/>
      <c r="W45" s="3727"/>
      <c r="X45" s="3727"/>
      <c r="Y45" s="3727"/>
      <c r="Z45" s="3727"/>
      <c r="AA45" s="3727"/>
      <c r="AB45" s="3728"/>
      <c r="AC45" s="3726"/>
      <c r="AD45" s="3727"/>
      <c r="AE45" s="3727"/>
      <c r="AF45" s="3727"/>
      <c r="AG45" s="3727"/>
      <c r="AH45" s="3727"/>
      <c r="AI45" s="3727"/>
      <c r="AJ45" s="3728"/>
      <c r="AK45" s="1229" t="s">
        <v>528</v>
      </c>
      <c r="AM45" s="434"/>
      <c r="AN45" s="434" t="str">
        <f t="shared" si="1"/>
        <v>Группа потребителей</v>
      </c>
      <c r="AO45" s="434"/>
      <c r="AP45" s="434"/>
      <c r="AQ45" s="1077">
        <v>23</v>
      </c>
    </row>
    <row r="46" spans="1:43" ht="24" customHeight="1">
      <c r="A46" s="1285" t="s">
        <v>286</v>
      </c>
      <c r="B46" s="1285" t="s">
        <v>287</v>
      </c>
      <c r="C46" s="1285" t="s">
        <v>288</v>
      </c>
      <c r="D46" s="1285" t="s">
        <v>541</v>
      </c>
      <c r="E46" s="3738"/>
      <c r="F46" s="3738"/>
      <c r="G46" s="3738"/>
      <c r="H46" s="3738"/>
      <c r="I46" s="3758"/>
      <c r="J46" s="3758"/>
      <c r="K46" s="3735" t="str">
        <f>J45&amp;".1"</f>
        <v>...1.1.1</v>
      </c>
      <c r="L46" s="1286"/>
      <c r="P46" s="3736"/>
      <c r="Q46" s="3736"/>
      <c r="R46" s="291">
        <v>1</v>
      </c>
      <c r="S46" s="1379" t="str">
        <f>$K46</f>
        <v>...1.1.1</v>
      </c>
      <c r="T46" s="1359"/>
      <c r="U46" s="235"/>
      <c r="V46" s="685"/>
      <c r="W46" s="685"/>
      <c r="X46" s="1179"/>
      <c r="Y46" s="3740"/>
      <c r="Z46" s="3599" t="s">
        <v>50</v>
      </c>
      <c r="AA46" s="3740"/>
      <c r="AB46" s="3599" t="s">
        <v>50</v>
      </c>
      <c r="AC46" s="685"/>
      <c r="AD46" s="685"/>
      <c r="AE46" s="1179"/>
      <c r="AF46" s="3740"/>
      <c r="AG46" s="3599" t="s">
        <v>50</v>
      </c>
      <c r="AH46" s="3759"/>
      <c r="AI46" s="3599" t="s">
        <v>50</v>
      </c>
      <c r="AJ46" s="1360"/>
      <c r="AK46"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286</v>
      </c>
      <c r="B47" s="1285" t="s">
        <v>287</v>
      </c>
      <c r="C47" s="1285" t="s">
        <v>288</v>
      </c>
      <c r="D47" s="1285" t="s">
        <v>541</v>
      </c>
      <c r="E47" s="3738"/>
      <c r="F47" s="3738"/>
      <c r="G47" s="3738"/>
      <c r="H47" s="3738"/>
      <c r="I47" s="3758"/>
      <c r="J47" s="3758"/>
      <c r="K47" s="3735"/>
      <c r="L47" s="1286"/>
      <c r="P47" s="3736"/>
      <c r="Q47" s="3736"/>
      <c r="R47" s="291"/>
      <c r="S47" s="1378"/>
      <c r="T47" s="235"/>
      <c r="U47" s="235"/>
      <c r="V47" s="260"/>
      <c r="W47" s="260"/>
      <c r="X47" s="263" t="str">
        <f>Y46&amp;"-"&amp;AA46</f>
        <v>-</v>
      </c>
      <c r="Y47" s="3741"/>
      <c r="Z47" s="3599"/>
      <c r="AA47" s="3741"/>
      <c r="AB47" s="3599"/>
      <c r="AC47" s="260"/>
      <c r="AD47" s="260"/>
      <c r="AE47" s="263" t="str">
        <f>AF46&amp;"-"&amp;AH46</f>
        <v>-</v>
      </c>
      <c r="AF47" s="3741"/>
      <c r="AG47" s="3599"/>
      <c r="AH47" s="3760"/>
      <c r="AI47" s="3599"/>
      <c r="AJ47" s="1361"/>
      <c r="AK47" s="3806"/>
      <c r="AM47" s="434"/>
      <c r="AN47" s="434" t="str">
        <f t="shared" si="1"/>
        <v/>
      </c>
      <c r="AO47" s="434"/>
      <c r="AP47" s="434"/>
      <c r="AQ47" s="1077">
        <v>0</v>
      </c>
    </row>
    <row r="48" spans="1:43" ht="21" customHeight="1">
      <c r="A48" s="1285" t="s">
        <v>286</v>
      </c>
      <c r="B48" s="1285" t="s">
        <v>287</v>
      </c>
      <c r="C48" s="1285" t="s">
        <v>288</v>
      </c>
      <c r="D48" s="1285" t="s">
        <v>541</v>
      </c>
      <c r="E48" s="3738"/>
      <c r="F48" s="3738"/>
      <c r="G48" s="3738"/>
      <c r="H48" s="3738"/>
      <c r="I48" s="3758"/>
      <c r="J48" s="3735"/>
      <c r="K48" s="1285"/>
      <c r="L48" s="1286"/>
      <c r="P48" s="3736"/>
      <c r="Q48" s="3736"/>
      <c r="R48" s="290"/>
      <c r="S48" s="1200"/>
      <c r="T48" s="222" t="s">
        <v>529</v>
      </c>
      <c r="U48" s="301"/>
      <c r="V48" s="301"/>
      <c r="W48" s="301"/>
      <c r="X48" s="301"/>
      <c r="Y48" s="301"/>
      <c r="Z48" s="301"/>
      <c r="AA48" s="301"/>
      <c r="AB48" s="301"/>
      <c r="AC48" s="301"/>
      <c r="AD48" s="301"/>
      <c r="AE48" s="301"/>
      <c r="AF48" s="301"/>
      <c r="AG48" s="301"/>
      <c r="AH48" s="301"/>
      <c r="AI48" s="301"/>
      <c r="AJ48" s="301"/>
      <c r="AK48" s="1180" t="s">
        <v>530</v>
      </c>
      <c r="AM48" s="434"/>
      <c r="AN48" s="434" t="str">
        <f t="shared" si="1"/>
        <v>Добавить значение признака дифференциации</v>
      </c>
      <c r="AO48" s="434"/>
      <c r="AP48" s="434"/>
      <c r="AQ48" s="1077">
        <v>20</v>
      </c>
    </row>
    <row r="49" spans="1:43" ht="21.95" customHeight="1">
      <c r="A49" s="1285" t="s">
        <v>286</v>
      </c>
      <c r="B49" s="1285" t="s">
        <v>287</v>
      </c>
      <c r="C49" s="1285" t="s">
        <v>288</v>
      </c>
      <c r="D49" s="1285" t="s">
        <v>541</v>
      </c>
      <c r="E49" s="3738"/>
      <c r="F49" s="3738"/>
      <c r="G49" s="3738"/>
      <c r="H49" s="3738"/>
      <c r="I49" s="3735"/>
      <c r="J49" s="1285"/>
      <c r="K49" s="1285"/>
      <c r="L49" s="1286"/>
      <c r="P49" s="3736"/>
      <c r="Q49" s="1372"/>
      <c r="R49" s="290"/>
      <c r="S49" s="1200"/>
      <c r="T49" s="299" t="s">
        <v>457</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286</v>
      </c>
      <c r="B50" s="1285" t="s">
        <v>287</v>
      </c>
      <c r="C50" s="1285" t="s">
        <v>288</v>
      </c>
      <c r="D50" s="1285" t="s">
        <v>541</v>
      </c>
      <c r="E50" s="3738"/>
      <c r="F50" s="3738"/>
      <c r="G50" s="3738"/>
      <c r="H50" s="3737"/>
      <c r="I50" s="1285"/>
      <c r="J50" s="1285"/>
      <c r="K50" s="1285"/>
      <c r="L50" s="1286"/>
      <c r="M50" s="1287"/>
      <c r="N50" s="1287"/>
      <c r="O50" s="471"/>
      <c r="P50" s="294"/>
      <c r="Q50" s="309"/>
      <c r="R50" s="289"/>
      <c r="S50" s="1200"/>
      <c r="T50" s="306" t="s">
        <v>531</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286</v>
      </c>
      <c r="B51" s="1265" t="s">
        <v>287</v>
      </c>
      <c r="C51" s="1236"/>
      <c r="D51" s="1236"/>
      <c r="E51" s="3738"/>
      <c r="F51" s="3737"/>
      <c r="G51" s="1236"/>
      <c r="H51" s="1236"/>
      <c r="I51" s="1236"/>
      <c r="J51" s="1236"/>
      <c r="K51" s="1236"/>
      <c r="L51" s="1380"/>
      <c r="M51" s="1243"/>
      <c r="N51" s="1243"/>
      <c r="P51" s="1238"/>
      <c r="Q51" s="1239"/>
      <c r="R51" s="1238"/>
      <c r="S51" s="1244"/>
      <c r="T51" s="1247" t="s">
        <v>460</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286</v>
      </c>
      <c r="B52" s="1265"/>
      <c r="C52" s="1265"/>
      <c r="D52" s="1265"/>
      <c r="E52" s="3737"/>
      <c r="F52" s="1265"/>
      <c r="G52" s="1265"/>
      <c r="H52" s="1265"/>
      <c r="I52" s="1265"/>
      <c r="J52" s="1265"/>
      <c r="K52" s="1265"/>
      <c r="L52" s="1268"/>
      <c r="M52" s="1243"/>
      <c r="N52" s="1243"/>
      <c r="O52" s="452"/>
      <c r="P52" s="314"/>
      <c r="Q52" s="1266"/>
      <c r="R52" s="314"/>
      <c r="S52" s="1244"/>
      <c r="T52" s="1247" t="s">
        <v>461</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489</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3757"/>
      <c r="U55" s="3757"/>
      <c r="V55" s="3757"/>
      <c r="W55" s="3757"/>
      <c r="X55" s="3757"/>
      <c r="Y55" s="3757"/>
      <c r="Z55" s="3757"/>
      <c r="AA55" s="3757"/>
      <c r="AB55" s="3757"/>
      <c r="AC55" s="3757"/>
      <c r="AD55" s="3757"/>
      <c r="AE55" s="3757"/>
      <c r="AF55" s="3757"/>
      <c r="AG55" s="3757"/>
      <c r="AH55" s="3757"/>
      <c r="AI55" s="3757"/>
      <c r="AJ55" s="3757"/>
      <c r="AK55" s="3757"/>
      <c r="AQ55" s="1077">
        <v>14</v>
      </c>
    </row>
    <row r="56" spans="1:43" ht="14.65" customHeight="1">
      <c r="O56" s="471"/>
      <c r="AQ56" s="1077">
        <v>14</v>
      </c>
    </row>
    <row r="57" spans="1:43" ht="14.65" customHeight="1">
      <c r="O57" s="471"/>
      <c r="S57" s="1175"/>
      <c r="T57" s="3757"/>
      <c r="U57" s="3757"/>
      <c r="V57" s="3757"/>
      <c r="W57" s="3757"/>
      <c r="X57" s="3757"/>
      <c r="Y57" s="3757"/>
      <c r="Z57" s="3757"/>
      <c r="AA57" s="3757"/>
      <c r="AB57" s="3757"/>
      <c r="AC57" s="3757"/>
      <c r="AD57" s="3757"/>
      <c r="AE57" s="3757"/>
      <c r="AF57" s="3757"/>
      <c r="AG57" s="3757"/>
      <c r="AH57" s="3757"/>
      <c r="AI57" s="3757"/>
      <c r="AJ57" s="3757"/>
      <c r="AK57" s="3757"/>
      <c r="AQ57" s="1077">
        <v>14</v>
      </c>
    </row>
    <row r="58" spans="1:43" ht="22.5" hidden="1" customHeight="1">
      <c r="A58" s="1082" t="s">
        <v>70</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7109375" style="1668" hidden="1" customWidth="1"/>
    <col min="17" max="17" width="3.7109375" style="1293" hidden="1" customWidth="1"/>
    <col min="18" max="18" width="3" style="279" customWidth="1"/>
    <col min="19" max="19" width="12" style="1992"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2"/>
      <c r="Y1" s="262"/>
      <c r="Z1" s="262"/>
      <c r="AW1" s="262"/>
      <c r="AX1" s="262"/>
      <c r="BI1" s="1077" t="s">
        <v>1</v>
      </c>
    </row>
    <row r="2" spans="1:61" ht="21" hidden="1" customHeight="1">
      <c r="A2" s="1285"/>
      <c r="B2" s="1285"/>
      <c r="C2" s="1285"/>
      <c r="D2" s="1285"/>
      <c r="E2" s="3737">
        <v>1</v>
      </c>
      <c r="F2" s="1285"/>
      <c r="G2" s="1285"/>
      <c r="H2" s="1285"/>
      <c r="I2" s="1285"/>
      <c r="J2" s="1285"/>
      <c r="K2" s="1285"/>
      <c r="L2" s="1286"/>
      <c r="M2" s="1287"/>
      <c r="N2" s="1287"/>
      <c r="O2" s="1287"/>
      <c r="P2" s="1331"/>
      <c r="Q2" s="801"/>
      <c r="R2" s="289"/>
      <c r="S2" s="1387" t="e">
        <f>INDEX(PT_DIFFERENTIATION_NUM_NTAR,MATCH(A2,PT_DIFFERENTIATION_NTAR_ID,0))</f>
        <v>#N/A</v>
      </c>
      <c r="T2" s="233" t="s">
        <v>176</v>
      </c>
      <c r="U2" s="235"/>
      <c r="V2" s="3724"/>
      <c r="W2" s="3724"/>
      <c r="X2" s="3724"/>
      <c r="Y2" s="3724"/>
      <c r="Z2" s="3724"/>
      <c r="AA2" s="3724"/>
      <c r="AB2" s="3724"/>
      <c r="AC2" s="3725"/>
      <c r="AD2" s="3723" t="e">
        <f>INDEX(PT_DIFFERENTIATION_NTAR,MATCH(A2,PT_DIFFERENTIATION_NTAR_ID,0))</f>
        <v>#N/A</v>
      </c>
      <c r="AE2" s="3724"/>
      <c r="AF2" s="3724"/>
      <c r="AG2" s="3724"/>
      <c r="AH2" s="3724"/>
      <c r="AI2" s="3724"/>
      <c r="AJ2" s="3724"/>
      <c r="AK2" s="3724"/>
      <c r="AL2" s="3724"/>
      <c r="AM2" s="3724"/>
      <c r="AN2" s="3724"/>
      <c r="AO2" s="3724"/>
      <c r="AP2" s="3724"/>
      <c r="AQ2" s="3724"/>
      <c r="AR2" s="3724"/>
      <c r="AS2" s="3724"/>
      <c r="AT2" s="3724"/>
      <c r="AU2" s="3724"/>
      <c r="AV2" s="3724"/>
      <c r="AW2" s="3724"/>
      <c r="AX2" s="3724"/>
      <c r="AY2" s="3724"/>
      <c r="AZ2" s="3724"/>
      <c r="BA2" s="3724"/>
      <c r="BB2" s="3725"/>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7">
        <v>0</v>
      </c>
    </row>
    <row r="3" spans="1:61" ht="21" hidden="1" customHeight="1">
      <c r="A3" s="1285"/>
      <c r="B3" s="1285"/>
      <c r="C3" s="1285"/>
      <c r="D3" s="1285"/>
      <c r="E3" s="3738"/>
      <c r="F3" s="3737">
        <v>1</v>
      </c>
      <c r="G3" s="1285"/>
      <c r="H3" s="1285"/>
      <c r="I3" s="1285"/>
      <c r="J3" s="1285"/>
      <c r="K3" s="1285"/>
      <c r="L3" s="1286"/>
      <c r="M3" s="1287"/>
      <c r="N3" s="1287"/>
      <c r="O3" s="1287"/>
      <c r="P3" s="1332"/>
      <c r="Q3" s="1333"/>
      <c r="R3" s="287"/>
      <c r="S3" s="1387" t="e">
        <f>INDEX(PT_DIFFERENTIATION_NUM_TER,MATCH(B3,PT_DIFFERENTIATION_TER_ID,0))</f>
        <v>#N/A</v>
      </c>
      <c r="T3" s="243" t="s">
        <v>442</v>
      </c>
      <c r="U3" s="235"/>
      <c r="V3" s="3724"/>
      <c r="W3" s="3724"/>
      <c r="X3" s="3724"/>
      <c r="Y3" s="3724"/>
      <c r="Z3" s="3724"/>
      <c r="AA3" s="3724"/>
      <c r="AB3" s="3724"/>
      <c r="AC3" s="3725"/>
      <c r="AD3" s="3723" t="e">
        <f>INDEX(PT_DIFFERENTIATION_TER,MATCH(B3,PT_DIFFERENTIATION_TER_ID,0))</f>
        <v>#N/A</v>
      </c>
      <c r="AE3" s="3724"/>
      <c r="AF3" s="3724"/>
      <c r="AG3" s="3724"/>
      <c r="AH3" s="3724"/>
      <c r="AI3" s="3724"/>
      <c r="AJ3" s="3724"/>
      <c r="AK3" s="3724"/>
      <c r="AL3" s="3724"/>
      <c r="AM3" s="3724"/>
      <c r="AN3" s="3724"/>
      <c r="AO3" s="3724"/>
      <c r="AP3" s="3724"/>
      <c r="AQ3" s="3724"/>
      <c r="AR3" s="3724"/>
      <c r="AS3" s="3724"/>
      <c r="AT3" s="3724"/>
      <c r="AU3" s="3724"/>
      <c r="AV3" s="3724"/>
      <c r="AW3" s="3724"/>
      <c r="AX3" s="3724"/>
      <c r="AY3" s="3724"/>
      <c r="AZ3" s="3724"/>
      <c r="BA3" s="3724"/>
      <c r="BB3" s="3725"/>
      <c r="BC3" s="1180" t="s">
        <v>443</v>
      </c>
      <c r="BE3" s="434"/>
      <c r="BF3" s="434" t="str">
        <f t="shared" si="0"/>
        <v>Территория действия тарифа</v>
      </c>
      <c r="BG3" s="434"/>
      <c r="BH3" s="434"/>
      <c r="BI3" s="1077">
        <v>0</v>
      </c>
    </row>
    <row r="4" spans="1:61" ht="42" hidden="1" customHeight="1">
      <c r="A4" s="1285"/>
      <c r="B4" s="1285"/>
      <c r="C4" s="1285"/>
      <c r="D4" s="1285"/>
      <c r="E4" s="3738"/>
      <c r="F4" s="3738"/>
      <c r="G4" s="3737">
        <v>1</v>
      </c>
      <c r="H4" s="1285"/>
      <c r="I4" s="1285"/>
      <c r="J4" s="1285"/>
      <c r="K4" s="1285"/>
      <c r="L4" s="1286"/>
      <c r="M4" s="1287"/>
      <c r="N4" s="1287"/>
      <c r="O4" s="1287"/>
      <c r="P4" s="1334"/>
      <c r="Q4" s="1333"/>
      <c r="R4" s="287"/>
      <c r="S4" s="1387" t="e">
        <f>INDEX(PT_DIFFERENTIATION_NUM_CS,MATCH(C4,PT_DIFFERENTIATION_CS_ID,0))</f>
        <v>#N/A</v>
      </c>
      <c r="T4" s="244" t="s">
        <v>524</v>
      </c>
      <c r="U4" s="235"/>
      <c r="V4" s="3724"/>
      <c r="W4" s="3724"/>
      <c r="X4" s="3724"/>
      <c r="Y4" s="3724"/>
      <c r="Z4" s="3724"/>
      <c r="AA4" s="3724"/>
      <c r="AB4" s="3724"/>
      <c r="AC4" s="3725"/>
      <c r="AD4" s="3723" t="e">
        <f>INDEX(PT_DIFFERENTIATION_CS,MATCH(C4,PT_DIFFERENTIATION_CS_ID,0))</f>
        <v>#N/A</v>
      </c>
      <c r="AE4" s="3724"/>
      <c r="AF4" s="3724"/>
      <c r="AG4" s="3724"/>
      <c r="AH4" s="3724"/>
      <c r="AI4" s="3724"/>
      <c r="AJ4" s="3724"/>
      <c r="AK4" s="3724"/>
      <c r="AL4" s="3724"/>
      <c r="AM4" s="3724"/>
      <c r="AN4" s="3724"/>
      <c r="AO4" s="3724"/>
      <c r="AP4" s="3724"/>
      <c r="AQ4" s="3724"/>
      <c r="AR4" s="3724"/>
      <c r="AS4" s="3724"/>
      <c r="AT4" s="3724"/>
      <c r="AU4" s="3724"/>
      <c r="AV4" s="3724"/>
      <c r="AW4" s="3724"/>
      <c r="AX4" s="3724"/>
      <c r="AY4" s="3724"/>
      <c r="AZ4" s="3724"/>
      <c r="BA4" s="3724"/>
      <c r="BB4" s="3725"/>
      <c r="BC4" s="1180" t="s">
        <v>525</v>
      </c>
      <c r="BE4" s="434"/>
      <c r="BF4" s="434" t="str">
        <f t="shared" si="0"/>
        <v>Наименование централизованной системы холодного водоснабжения</v>
      </c>
      <c r="BG4" s="434"/>
      <c r="BH4" s="434"/>
      <c r="BI4" s="1077">
        <v>0</v>
      </c>
    </row>
    <row r="5" spans="1:61" s="1564" customFormat="1" ht="14.25" hidden="1" customHeight="1">
      <c r="A5" s="1265"/>
      <c r="B5" s="1265"/>
      <c r="C5" s="1265"/>
      <c r="D5" s="1265"/>
      <c r="E5" s="3738"/>
      <c r="F5" s="3738"/>
      <c r="G5" s="3738"/>
      <c r="H5" s="3737">
        <v>1</v>
      </c>
      <c r="I5" s="1265"/>
      <c r="J5" s="1265"/>
      <c r="K5" s="1265"/>
      <c r="L5" s="1268"/>
      <c r="M5" s="1237"/>
      <c r="N5" s="1237"/>
      <c r="O5" s="1237"/>
      <c r="P5" s="1419"/>
      <c r="Q5" s="1420"/>
      <c r="R5" s="291"/>
      <c r="S5" s="968"/>
      <c r="T5" s="1421"/>
      <c r="U5" s="1306"/>
      <c r="V5" s="3767"/>
      <c r="W5" s="3767"/>
      <c r="X5" s="3767"/>
      <c r="Y5" s="3767"/>
      <c r="Z5" s="3767"/>
      <c r="AA5" s="3767"/>
      <c r="AB5" s="3767"/>
      <c r="AC5" s="3768"/>
      <c r="AD5" s="3766"/>
      <c r="AE5" s="3767"/>
      <c r="AF5" s="3767"/>
      <c r="AG5" s="3767"/>
      <c r="AH5" s="3767"/>
      <c r="AI5" s="3767"/>
      <c r="AJ5" s="3767"/>
      <c r="AK5" s="3767"/>
      <c r="AL5" s="3767"/>
      <c r="AM5" s="3767"/>
      <c r="AN5" s="3767"/>
      <c r="AO5" s="3767"/>
      <c r="AP5" s="3767"/>
      <c r="AQ5" s="3767"/>
      <c r="AR5" s="3767"/>
      <c r="AS5" s="3767"/>
      <c r="AT5" s="3767"/>
      <c r="AU5" s="3767"/>
      <c r="AV5" s="3767"/>
      <c r="AW5" s="3767"/>
      <c r="AX5" s="3767"/>
      <c r="AY5" s="3767"/>
      <c r="AZ5" s="3767"/>
      <c r="BA5" s="3767"/>
      <c r="BB5" s="3768"/>
      <c r="BC5" s="1307" t="s">
        <v>447</v>
      </c>
      <c r="BE5" s="434"/>
      <c r="BF5" s="434" t="str">
        <f t="shared" si="0"/>
        <v/>
      </c>
      <c r="BG5" s="434"/>
      <c r="BH5" s="434"/>
      <c r="BI5" s="445">
        <v>0</v>
      </c>
    </row>
    <row r="6" spans="1:61" s="1564" customFormat="1" ht="14.25" hidden="1" customHeight="1">
      <c r="A6" s="1265"/>
      <c r="B6" s="1265"/>
      <c r="C6" s="1265"/>
      <c r="D6" s="1265"/>
      <c r="E6" s="3738"/>
      <c r="F6" s="3738"/>
      <c r="G6" s="3738"/>
      <c r="H6" s="3738"/>
      <c r="I6" s="3735" t="str">
        <f>S5&amp;".1"</f>
        <v>.1</v>
      </c>
      <c r="J6" s="1265"/>
      <c r="K6" s="1265"/>
      <c r="L6" s="1268" t="s">
        <v>448</v>
      </c>
      <c r="M6" s="444"/>
      <c r="N6" s="444"/>
      <c r="O6" s="444"/>
      <c r="P6" s="3736">
        <v>1</v>
      </c>
      <c r="Q6" s="1384"/>
      <c r="R6" s="290"/>
      <c r="S6" s="968"/>
      <c r="T6" s="1305"/>
      <c r="U6" s="1306"/>
      <c r="V6" s="3767"/>
      <c r="W6" s="3767"/>
      <c r="X6" s="3767"/>
      <c r="Y6" s="3767"/>
      <c r="Z6" s="3767"/>
      <c r="AA6" s="3767"/>
      <c r="AB6" s="3767"/>
      <c r="AC6" s="3768"/>
      <c r="AD6" s="3766"/>
      <c r="AE6" s="3767"/>
      <c r="AF6" s="3767"/>
      <c r="AG6" s="3767"/>
      <c r="AH6" s="3767"/>
      <c r="AI6" s="3767"/>
      <c r="AJ6" s="3767"/>
      <c r="AK6" s="3767"/>
      <c r="AL6" s="3767"/>
      <c r="AM6" s="3767"/>
      <c r="AN6" s="3767"/>
      <c r="AO6" s="3767"/>
      <c r="AP6" s="3767"/>
      <c r="AQ6" s="3767"/>
      <c r="AR6" s="3767"/>
      <c r="AS6" s="3767"/>
      <c r="AT6" s="3767"/>
      <c r="AU6" s="3767"/>
      <c r="AV6" s="3767"/>
      <c r="AW6" s="3767"/>
      <c r="AX6" s="3767"/>
      <c r="AY6" s="3767"/>
      <c r="AZ6" s="3767"/>
      <c r="BA6" s="3767"/>
      <c r="BB6" s="3768"/>
      <c r="BC6" s="1307"/>
      <c r="BE6" s="434"/>
      <c r="BF6" s="434" t="str">
        <f t="shared" si="0"/>
        <v/>
      </c>
      <c r="BG6" s="434"/>
      <c r="BH6" s="434"/>
      <c r="BI6" s="445">
        <v>0</v>
      </c>
    </row>
    <row r="7" spans="1:61" s="1564" customFormat="1" ht="14.25" hidden="1" customHeight="1">
      <c r="A7" s="1265"/>
      <c r="B7" s="1265"/>
      <c r="C7" s="1265"/>
      <c r="D7" s="1265"/>
      <c r="E7" s="3738"/>
      <c r="F7" s="3738"/>
      <c r="G7" s="3738"/>
      <c r="H7" s="3738"/>
      <c r="I7" s="3758"/>
      <c r="J7" s="3735" t="str">
        <f>S5&amp;".1"</f>
        <v>.1</v>
      </c>
      <c r="K7" s="1265"/>
      <c r="L7" s="1268"/>
      <c r="M7" s="444"/>
      <c r="N7" s="444"/>
      <c r="O7" s="444"/>
      <c r="P7" s="3736"/>
      <c r="Q7" s="3736">
        <v>1</v>
      </c>
      <c r="R7" s="291"/>
      <c r="S7" s="968"/>
      <c r="T7" s="1321"/>
      <c r="U7" s="1306"/>
      <c r="V7" s="3767"/>
      <c r="W7" s="3767"/>
      <c r="X7" s="3767"/>
      <c r="Y7" s="3767"/>
      <c r="Z7" s="3767"/>
      <c r="AA7" s="3767"/>
      <c r="AB7" s="3767"/>
      <c r="AC7" s="3768"/>
      <c r="AD7" s="3766"/>
      <c r="AE7" s="3767"/>
      <c r="AF7" s="3767"/>
      <c r="AG7" s="3767"/>
      <c r="AH7" s="3767"/>
      <c r="AI7" s="3767"/>
      <c r="AJ7" s="3767"/>
      <c r="AK7" s="3767"/>
      <c r="AL7" s="3767"/>
      <c r="AM7" s="3767"/>
      <c r="AN7" s="3767"/>
      <c r="AO7" s="3767"/>
      <c r="AP7" s="3767"/>
      <c r="AQ7" s="3767"/>
      <c r="AR7" s="3767"/>
      <c r="AS7" s="3767"/>
      <c r="AT7" s="3767"/>
      <c r="AU7" s="3767"/>
      <c r="AV7" s="3767"/>
      <c r="AW7" s="3767"/>
      <c r="AX7" s="3767"/>
      <c r="AY7" s="3767"/>
      <c r="AZ7" s="3767"/>
      <c r="BA7" s="3767"/>
      <c r="BB7" s="3768"/>
      <c r="BC7" s="1307"/>
      <c r="BE7" s="434"/>
      <c r="BF7" s="434" t="str">
        <f t="shared" si="0"/>
        <v/>
      </c>
      <c r="BG7" s="434"/>
      <c r="BH7" s="434"/>
      <c r="BI7" s="445">
        <v>0</v>
      </c>
    </row>
    <row r="8" spans="1:61" ht="11.25" hidden="1" customHeight="1">
      <c r="A8" s="1285"/>
      <c r="B8" s="1285"/>
      <c r="C8" s="1285"/>
      <c r="D8" s="1285"/>
      <c r="E8" s="3738"/>
      <c r="F8" s="3738"/>
      <c r="G8" s="3738"/>
      <c r="H8" s="3738"/>
      <c r="I8" s="3758"/>
      <c r="J8" s="3758"/>
      <c r="K8" s="3735" t="e">
        <f>S4&amp;".1"</f>
        <v>#N/A</v>
      </c>
      <c r="L8" s="1286"/>
      <c r="P8" s="3736"/>
      <c r="Q8" s="3736"/>
      <c r="R8" s="3801">
        <v>1</v>
      </c>
      <c r="S8" s="3795" t="e">
        <f>$K8</f>
        <v>#N/A</v>
      </c>
      <c r="T8" s="3816"/>
      <c r="U8" s="235"/>
      <c r="V8" s="685"/>
      <c r="W8" s="1179"/>
      <c r="X8" s="685"/>
      <c r="Y8" s="1179"/>
      <c r="Z8" s="1627"/>
      <c r="AA8" s="1381" t="s">
        <v>50</v>
      </c>
      <c r="AB8" s="1627"/>
      <c r="AC8" s="1381" t="s">
        <v>50</v>
      </c>
      <c r="AD8" s="3676" t="s">
        <v>50</v>
      </c>
      <c r="AE8" s="3780"/>
      <c r="AF8" s="3693">
        <v>1</v>
      </c>
      <c r="AG8" s="3819"/>
      <c r="AH8" s="3599" t="s">
        <v>50</v>
      </c>
      <c r="AI8" s="3780"/>
      <c r="AJ8" s="3693">
        <v>1</v>
      </c>
      <c r="AK8" s="3781" t="s">
        <v>9</v>
      </c>
      <c r="AL8" s="3599" t="s">
        <v>50</v>
      </c>
      <c r="AM8" s="3683"/>
      <c r="AN8" s="3693">
        <v>1</v>
      </c>
      <c r="AO8" s="3813"/>
      <c r="AP8" s="3814" t="s">
        <v>50</v>
      </c>
      <c r="AQ8" s="246"/>
      <c r="AR8" s="1385">
        <v>1</v>
      </c>
      <c r="AS8" s="1388" t="s">
        <v>9</v>
      </c>
      <c r="AT8" s="685"/>
      <c r="AU8" s="1179"/>
      <c r="AV8" s="685"/>
      <c r="AW8" s="1179"/>
      <c r="AX8" s="1627"/>
      <c r="AY8" s="1381" t="s">
        <v>50</v>
      </c>
      <c r="AZ8" s="1627"/>
      <c r="BA8" s="1381" t="s">
        <v>50</v>
      </c>
      <c r="BB8" s="1270"/>
      <c r="BC8" s="3732" t="s">
        <v>542</v>
      </c>
      <c r="BE8" s="434"/>
      <c r="BF8" s="434" t="str">
        <f t="shared" si="0"/>
        <v/>
      </c>
      <c r="BG8" s="434"/>
      <c r="BH8" s="434"/>
      <c r="BI8" s="1077">
        <v>0</v>
      </c>
    </row>
    <row r="9" spans="1:61" ht="11.25" hidden="1" customHeight="1">
      <c r="A9" s="1285"/>
      <c r="B9" s="1285"/>
      <c r="C9" s="1285"/>
      <c r="D9" s="1285"/>
      <c r="E9" s="3738"/>
      <c r="F9" s="3738"/>
      <c r="G9" s="3738"/>
      <c r="H9" s="3738"/>
      <c r="I9" s="3758"/>
      <c r="J9" s="3758"/>
      <c r="K9" s="3735"/>
      <c r="L9" s="1286"/>
      <c r="P9" s="3736"/>
      <c r="Q9" s="3736"/>
      <c r="R9" s="3801"/>
      <c r="S9" s="3796"/>
      <c r="T9" s="3817"/>
      <c r="U9" s="235"/>
      <c r="V9" s="1315"/>
      <c r="W9" s="1418"/>
      <c r="X9" s="1315"/>
      <c r="Y9" s="1418"/>
      <c r="Z9" s="1315"/>
      <c r="AA9" s="1315"/>
      <c r="AB9" s="1315"/>
      <c r="AC9" s="1315"/>
      <c r="AD9" s="3677"/>
      <c r="AE9" s="3780"/>
      <c r="AF9" s="3693"/>
      <c r="AG9" s="3819"/>
      <c r="AH9" s="3599"/>
      <c r="AI9" s="3780"/>
      <c r="AJ9" s="3693"/>
      <c r="AK9" s="3781"/>
      <c r="AL9" s="3599"/>
      <c r="AM9" s="3688"/>
      <c r="AN9" s="3693"/>
      <c r="AO9" s="3813"/>
      <c r="AP9" s="3815"/>
      <c r="AQ9" s="251"/>
      <c r="AR9" s="350"/>
      <c r="AS9" s="350" t="s">
        <v>543</v>
      </c>
      <c r="AT9" s="1315"/>
      <c r="AU9" s="1418"/>
      <c r="AV9" s="1315"/>
      <c r="AW9" s="1418"/>
      <c r="AX9" s="1315"/>
      <c r="AY9" s="1315"/>
      <c r="AZ9" s="1315"/>
      <c r="BA9" s="1315"/>
      <c r="BB9" s="1319"/>
      <c r="BC9" s="3733"/>
      <c r="BE9" s="434"/>
      <c r="BF9" s="434"/>
      <c r="BG9" s="434"/>
      <c r="BH9" s="434"/>
      <c r="BI9" s="1077">
        <v>0</v>
      </c>
    </row>
    <row r="10" spans="1:61" ht="11.25" hidden="1" customHeight="1">
      <c r="A10" s="1285"/>
      <c r="B10" s="1285"/>
      <c r="C10" s="1285"/>
      <c r="D10" s="1285"/>
      <c r="E10" s="3738"/>
      <c r="F10" s="3738"/>
      <c r="G10" s="3738"/>
      <c r="H10" s="3738"/>
      <c r="I10" s="3758"/>
      <c r="J10" s="3758"/>
      <c r="K10" s="3735"/>
      <c r="L10" s="1286"/>
      <c r="P10" s="3736"/>
      <c r="Q10" s="3736"/>
      <c r="R10" s="3801"/>
      <c r="S10" s="3796"/>
      <c r="T10" s="3817"/>
      <c r="U10" s="235"/>
      <c r="V10" s="1315"/>
      <c r="W10" s="1418"/>
      <c r="X10" s="1315"/>
      <c r="Y10" s="1418"/>
      <c r="Z10" s="1315"/>
      <c r="AA10" s="1315"/>
      <c r="AB10" s="1315"/>
      <c r="AC10" s="1315"/>
      <c r="AD10" s="3677"/>
      <c r="AE10" s="3780"/>
      <c r="AF10" s="3693"/>
      <c r="AG10" s="3819"/>
      <c r="AH10" s="3599"/>
      <c r="AI10" s="3780"/>
      <c r="AJ10" s="3693"/>
      <c r="AK10" s="3781"/>
      <c r="AL10" s="3599"/>
      <c r="AM10" s="251"/>
      <c r="AN10" s="1422"/>
      <c r="AO10" s="1422" t="s">
        <v>544</v>
      </c>
      <c r="AP10" s="350"/>
      <c r="AQ10" s="350"/>
      <c r="AR10" s="350"/>
      <c r="AS10" s="1315"/>
      <c r="AT10" s="1315"/>
      <c r="AU10" s="1418"/>
      <c r="AV10" s="1315"/>
      <c r="AW10" s="1418"/>
      <c r="AX10" s="1315"/>
      <c r="AY10" s="1315"/>
      <c r="AZ10" s="1315"/>
      <c r="BA10" s="1315"/>
      <c r="BB10" s="1319"/>
      <c r="BC10" s="3733"/>
      <c r="BE10" s="434"/>
      <c r="BF10" s="434"/>
      <c r="BG10" s="434"/>
      <c r="BH10" s="434"/>
      <c r="BI10" s="1077">
        <v>0</v>
      </c>
    </row>
    <row r="11" spans="1:61" ht="11.25" hidden="1" customHeight="1">
      <c r="A11" s="1285"/>
      <c r="B11" s="1285"/>
      <c r="C11" s="1285"/>
      <c r="D11" s="1285"/>
      <c r="E11" s="3738"/>
      <c r="F11" s="3738"/>
      <c r="G11" s="3738"/>
      <c r="H11" s="3738"/>
      <c r="I11" s="3758"/>
      <c r="J11" s="3758"/>
      <c r="K11" s="3735"/>
      <c r="L11" s="1286"/>
      <c r="P11" s="3736"/>
      <c r="Q11" s="3736"/>
      <c r="R11" s="3801"/>
      <c r="S11" s="3796"/>
      <c r="T11" s="3817"/>
      <c r="U11" s="235"/>
      <c r="V11" s="1315"/>
      <c r="W11" s="1418"/>
      <c r="X11" s="1315"/>
      <c r="Y11" s="1418"/>
      <c r="Z11" s="1315"/>
      <c r="AA11" s="1315"/>
      <c r="AB11" s="1315"/>
      <c r="AC11" s="1315"/>
      <c r="AD11" s="3677"/>
      <c r="AE11" s="3780"/>
      <c r="AF11" s="3693"/>
      <c r="AG11" s="3819"/>
      <c r="AH11" s="3599"/>
      <c r="AI11" s="229"/>
      <c r="AJ11" s="349"/>
      <c r="AK11" s="248" t="s">
        <v>545</v>
      </c>
      <c r="AL11" s="1315"/>
      <c r="AM11" s="1315"/>
      <c r="AN11" s="1315"/>
      <c r="AO11" s="1315"/>
      <c r="AP11" s="1315"/>
      <c r="AQ11" s="1315"/>
      <c r="AR11" s="1315"/>
      <c r="AS11" s="1315"/>
      <c r="AT11" s="1315"/>
      <c r="AU11" s="1418"/>
      <c r="AV11" s="1315"/>
      <c r="AW11" s="1418"/>
      <c r="AX11" s="1315"/>
      <c r="AY11" s="1315"/>
      <c r="AZ11" s="1315"/>
      <c r="BA11" s="1315"/>
      <c r="BB11" s="1319"/>
      <c r="BC11" s="3733"/>
      <c r="BE11" s="434"/>
      <c r="BF11" s="434"/>
      <c r="BG11" s="434"/>
      <c r="BH11" s="434"/>
      <c r="BI11" s="1077">
        <v>0</v>
      </c>
    </row>
    <row r="12" spans="1:61" ht="11.25" hidden="1" customHeight="1">
      <c r="A12" s="1285"/>
      <c r="B12" s="1285"/>
      <c r="C12" s="1285"/>
      <c r="D12" s="1285"/>
      <c r="E12" s="3738"/>
      <c r="F12" s="3738"/>
      <c r="G12" s="3738"/>
      <c r="H12" s="3738"/>
      <c r="I12" s="3758"/>
      <c r="J12" s="3758"/>
      <c r="K12" s="3735"/>
      <c r="L12" s="1286"/>
      <c r="P12" s="3736"/>
      <c r="Q12" s="3736"/>
      <c r="R12" s="3801"/>
      <c r="S12" s="3797"/>
      <c r="T12" s="3818"/>
      <c r="U12" s="235"/>
      <c r="V12" s="1315"/>
      <c r="W12" s="1316" t="str">
        <f>Z8&amp;"-"&amp;AB8</f>
        <v>-</v>
      </c>
      <c r="X12" s="1315"/>
      <c r="Y12" s="1316" t="str">
        <f>AB8&amp;"-"&amp;AD8</f>
        <v>-да</v>
      </c>
      <c r="Z12" s="1315"/>
      <c r="AA12" s="1315"/>
      <c r="AB12" s="1315"/>
      <c r="AC12" s="1315"/>
      <c r="AD12" s="3604"/>
      <c r="AE12" s="247"/>
      <c r="AF12" s="249"/>
      <c r="AG12" s="350" t="s">
        <v>546</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3733"/>
      <c r="BE12" s="434"/>
      <c r="BF12" s="434" t="str">
        <f t="shared" ref="BF12:BF18" si="1">IF(T12="","",T12)</f>
        <v/>
      </c>
      <c r="BG12" s="434"/>
      <c r="BH12" s="434"/>
      <c r="BI12" s="1077">
        <v>0</v>
      </c>
    </row>
    <row r="13" spans="1:61" ht="11.25" hidden="1" customHeight="1">
      <c r="A13" s="1285"/>
      <c r="B13" s="1285"/>
      <c r="C13" s="1285"/>
      <c r="D13" s="1285"/>
      <c r="E13" s="3738"/>
      <c r="F13" s="3738"/>
      <c r="G13" s="3738"/>
      <c r="H13" s="3738"/>
      <c r="I13" s="3758"/>
      <c r="J13" s="3735"/>
      <c r="K13" s="1285"/>
      <c r="L13" s="1286"/>
      <c r="P13" s="3736"/>
      <c r="Q13" s="3736"/>
      <c r="R13" s="290"/>
      <c r="S13" s="1200"/>
      <c r="T13" s="222" t="s">
        <v>509</v>
      </c>
      <c r="U13" s="301"/>
      <c r="V13" s="301"/>
      <c r="W13" s="301"/>
      <c r="X13" s="301"/>
      <c r="Y13" s="301"/>
      <c r="Z13" s="301"/>
      <c r="AA13" s="301"/>
      <c r="AB13" s="301"/>
      <c r="AC13" s="301"/>
      <c r="AD13" s="1427"/>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734"/>
      <c r="BE13" s="434"/>
      <c r="BF13" s="434" t="str">
        <f t="shared" si="1"/>
        <v>Добавить строку</v>
      </c>
      <c r="BG13" s="434"/>
      <c r="BH13" s="434"/>
      <c r="BI13" s="1077">
        <v>0</v>
      </c>
    </row>
    <row r="14" spans="1:61" s="1564" customFormat="1" ht="14.25" hidden="1" customHeight="1">
      <c r="A14" s="1265"/>
      <c r="B14" s="1265"/>
      <c r="C14" s="1265"/>
      <c r="D14" s="1265"/>
      <c r="E14" s="3738"/>
      <c r="F14" s="3738"/>
      <c r="G14" s="3738"/>
      <c r="H14" s="3738"/>
      <c r="I14" s="3735"/>
      <c r="J14" s="1265"/>
      <c r="K14" s="1265"/>
      <c r="L14" s="1268"/>
      <c r="M14" s="444"/>
      <c r="N14" s="444"/>
      <c r="O14" s="444"/>
      <c r="P14" s="3736"/>
      <c r="Q14" s="1384"/>
      <c r="R14" s="290"/>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4"/>
      <c r="BF14" s="434" t="str">
        <f t="shared" si="1"/>
        <v/>
      </c>
      <c r="BG14" s="434"/>
      <c r="BH14" s="434"/>
      <c r="BI14" s="445">
        <v>0</v>
      </c>
    </row>
    <row r="15" spans="1:61" s="1564" customFormat="1" ht="14.25" hidden="1" customHeight="1">
      <c r="A15" s="1265"/>
      <c r="B15" s="1265"/>
      <c r="C15" s="1265"/>
      <c r="D15" s="1265"/>
      <c r="E15" s="3738"/>
      <c r="F15" s="3738"/>
      <c r="G15" s="3738"/>
      <c r="H15" s="3737"/>
      <c r="I15" s="1265"/>
      <c r="J15" s="1265"/>
      <c r="K15" s="1265"/>
      <c r="L15" s="1268"/>
      <c r="M15" s="1237"/>
      <c r="N15" s="1237"/>
      <c r="O15" s="452"/>
      <c r="P15" s="314"/>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4"/>
      <c r="BF15" s="434" t="str">
        <f t="shared" si="1"/>
        <v/>
      </c>
      <c r="BG15" s="434"/>
      <c r="BH15" s="434"/>
      <c r="BI15" s="445">
        <v>0</v>
      </c>
    </row>
    <row r="16" spans="1:61" s="1564" customFormat="1" ht="14.25" hidden="1" customHeight="1">
      <c r="A16" s="1265"/>
      <c r="B16" s="1265"/>
      <c r="C16" s="1265"/>
      <c r="D16" s="1236"/>
      <c r="E16" s="3738"/>
      <c r="F16" s="3738"/>
      <c r="G16" s="3737"/>
      <c r="H16" s="1236"/>
      <c r="I16" s="1236"/>
      <c r="J16" s="1236"/>
      <c r="K16" s="1236"/>
      <c r="L16" s="138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2">
        <v>0</v>
      </c>
    </row>
    <row r="17" spans="1:61" s="1564" customFormat="1" ht="14.25" hidden="1" customHeight="1">
      <c r="A17" s="1265"/>
      <c r="B17" s="1265"/>
      <c r="C17" s="1236"/>
      <c r="D17" s="1236"/>
      <c r="E17" s="3738"/>
      <c r="F17" s="3737"/>
      <c r="G17" s="1236"/>
      <c r="H17" s="1236"/>
      <c r="I17" s="1236"/>
      <c r="J17" s="1236"/>
      <c r="K17" s="1236"/>
      <c r="L17" s="1386"/>
      <c r="M17" s="1243"/>
      <c r="N17" s="1243"/>
      <c r="P17" s="1238"/>
      <c r="Q17" s="1239"/>
      <c r="R17" s="1238"/>
      <c r="S17" s="1244"/>
      <c r="T17" s="1247" t="s">
        <v>460</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2">
        <v>0</v>
      </c>
    </row>
    <row r="18" spans="1:61" s="1564" customFormat="1" ht="14.25" hidden="1" customHeight="1">
      <c r="A18" s="1265"/>
      <c r="B18" s="1265"/>
      <c r="C18" s="1265"/>
      <c r="D18" s="1265"/>
      <c r="E18" s="3737"/>
      <c r="F18" s="1265"/>
      <c r="G18" s="1265"/>
      <c r="H18" s="1265"/>
      <c r="I18" s="1265"/>
      <c r="J18" s="1265"/>
      <c r="K18" s="1265"/>
      <c r="L18" s="1268"/>
      <c r="M18" s="1243"/>
      <c r="N18" s="1243"/>
      <c r="O18" s="452"/>
      <c r="P18" s="314"/>
      <c r="Q18" s="1266"/>
      <c r="R18" s="314"/>
      <c r="S18" s="1244"/>
      <c r="T18" s="1247" t="s">
        <v>461</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4"/>
      <c r="BF18" s="434" t="str">
        <f t="shared" si="1"/>
        <v>Добавить территорию для дифференциации</v>
      </c>
      <c r="BG18" s="434"/>
      <c r="BH18" s="434"/>
      <c r="BI18" s="445">
        <v>0</v>
      </c>
    </row>
    <row r="19" spans="1:61" ht="14.25" hidden="1" customHeight="1">
      <c r="AC19" s="262"/>
      <c r="BA19" s="262"/>
      <c r="BI19" s="1077">
        <v>0</v>
      </c>
    </row>
    <row r="20" spans="1:61" ht="14.25" hidden="1" customHeight="1">
      <c r="AD20" s="1246" t="s">
        <v>6</v>
      </c>
      <c r="AE20" s="1423"/>
      <c r="AF20" s="482">
        <v>1</v>
      </c>
      <c r="AG20" s="1424"/>
      <c r="AH20" s="1246" t="s">
        <v>6</v>
      </c>
      <c r="AI20" s="1423"/>
      <c r="AJ20" s="482">
        <v>1</v>
      </c>
      <c r="AK20" s="1424"/>
      <c r="AL20" s="1246" t="s">
        <v>6</v>
      </c>
      <c r="AM20" s="1425"/>
      <c r="AN20" s="482">
        <v>1</v>
      </c>
      <c r="AO20" s="1426"/>
      <c r="AP20" s="1246" t="s">
        <v>6</v>
      </c>
      <c r="AQ20" s="1425"/>
      <c r="AR20" s="482">
        <v>1</v>
      </c>
      <c r="AS20" s="1426"/>
      <c r="AT20" s="260"/>
      <c r="AU20" s="318"/>
      <c r="AV20" s="260"/>
      <c r="AW20" s="318"/>
      <c r="AX20" s="1629"/>
      <c r="AY20" s="1382" t="s">
        <v>50</v>
      </c>
      <c r="AZ20" s="1629"/>
      <c r="BA20" s="1382" t="s">
        <v>50</v>
      </c>
      <c r="BI20" s="1077">
        <v>0</v>
      </c>
    </row>
    <row r="21" spans="1:61" ht="14.25" hidden="1" customHeight="1">
      <c r="BD21" s="430"/>
      <c r="BE21" s="430"/>
      <c r="BF21" s="430"/>
      <c r="BG21" s="430"/>
      <c r="BH21" s="430"/>
      <c r="BI21" s="1077">
        <v>0</v>
      </c>
    </row>
    <row r="22" spans="1:61" ht="14.25" hidden="1" customHeight="1">
      <c r="O22" s="1289" t="s">
        <v>462</v>
      </c>
      <c r="Z22" s="1267"/>
      <c r="AB22" s="1267"/>
      <c r="AC22" s="262"/>
      <c r="AX22" s="1267"/>
      <c r="AZ22" s="1267"/>
      <c r="BA22" s="262"/>
      <c r="BD22" s="430"/>
      <c r="BE22" s="430"/>
      <c r="BF22" s="430"/>
      <c r="BG22" s="430"/>
      <c r="BH22" s="430"/>
      <c r="BI22" s="1077">
        <v>0</v>
      </c>
    </row>
    <row r="23" spans="1:61" ht="14.25" hidden="1" customHeight="1">
      <c r="AC23" s="262"/>
      <c r="BA23" s="262"/>
      <c r="BD23" s="430"/>
      <c r="BE23" s="430"/>
      <c r="BF23" s="430"/>
      <c r="BG23" s="430"/>
      <c r="BH23" s="430"/>
      <c r="BI23" s="1077">
        <v>0</v>
      </c>
    </row>
    <row r="24" spans="1:61" s="1431" customFormat="1" ht="14.25" hidden="1" customHeight="1">
      <c r="M24" s="1430"/>
      <c r="N24" s="1430"/>
      <c r="O24" s="1431" t="s">
        <v>463</v>
      </c>
      <c r="P24" s="1430"/>
      <c r="Q24" s="1432"/>
      <c r="R24" s="1432"/>
      <c r="AA24" s="1429" t="s">
        <v>465</v>
      </c>
      <c r="AC24" s="1429" t="s">
        <v>466</v>
      </c>
      <c r="AD24" s="1429" t="s">
        <v>510</v>
      </c>
      <c r="AH24" s="1429" t="s">
        <v>510</v>
      </c>
      <c r="AK24" s="1429" t="s">
        <v>547</v>
      </c>
      <c r="AL24" s="1429" t="s">
        <v>510</v>
      </c>
      <c r="AP24" s="1429" t="s">
        <v>510</v>
      </c>
      <c r="AY24" s="1429" t="s">
        <v>465</v>
      </c>
      <c r="BA24" s="1429" t="s">
        <v>466</v>
      </c>
      <c r="BD24" s="1433"/>
      <c r="BE24" s="1433"/>
      <c r="BF24" s="1433"/>
      <c r="BG24" s="1433"/>
      <c r="BH24" s="1433"/>
      <c r="BI24" s="1429">
        <v>0</v>
      </c>
    </row>
    <row r="25" spans="1:61" ht="14.25" hidden="1" customHeight="1">
      <c r="O25" s="1286"/>
      <c r="BD25" s="430"/>
      <c r="BE25" s="430"/>
      <c r="BF25" s="430"/>
      <c r="BG25" s="430"/>
      <c r="BH25" s="430"/>
      <c r="BI25" s="1077">
        <v>0</v>
      </c>
    </row>
    <row r="26" spans="1:61" ht="14.25" hidden="1" customHeight="1">
      <c r="O26" s="1286"/>
      <c r="BD26" s="430"/>
      <c r="BE26" s="430"/>
      <c r="BF26" s="430"/>
      <c r="BG26" s="430"/>
      <c r="BH26" s="430"/>
      <c r="BI26" s="1077">
        <v>0</v>
      </c>
    </row>
    <row r="27" spans="1:61" ht="14.65" customHeight="1">
      <c r="Q27" s="226"/>
      <c r="R27" s="310"/>
      <c r="S27" s="1197"/>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7">
        <v>14</v>
      </c>
    </row>
    <row r="28" spans="1:61" ht="14.65" customHeight="1">
      <c r="Q28" s="226"/>
      <c r="R28" s="310"/>
      <c r="S28" s="372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721"/>
      <c r="U28" s="3721"/>
      <c r="V28" s="3721"/>
      <c r="W28" s="3721"/>
      <c r="X28" s="3721"/>
      <c r="Y28" s="3721"/>
      <c r="Z28" s="3721"/>
      <c r="AA28" s="3721"/>
      <c r="AB28" s="3721"/>
      <c r="AC28" s="3721"/>
      <c r="AD28" s="3721"/>
      <c r="AE28" s="3721"/>
      <c r="AF28" s="3721"/>
      <c r="AG28" s="3721"/>
      <c r="AH28" s="3721"/>
      <c r="AI28" s="3721"/>
      <c r="AJ28" s="3721"/>
      <c r="AK28" s="3721"/>
      <c r="AL28" s="3721"/>
      <c r="AM28" s="3721"/>
      <c r="AN28" s="3721"/>
      <c r="AO28" s="3721"/>
      <c r="AP28" s="3721"/>
      <c r="AQ28" s="3721"/>
      <c r="AR28" s="3721"/>
      <c r="AS28" s="3721"/>
      <c r="AT28" s="3721"/>
      <c r="AU28" s="3721"/>
      <c r="AV28" s="3721"/>
      <c r="AW28" s="3721"/>
      <c r="AX28" s="3721"/>
      <c r="AY28" s="3721"/>
      <c r="AZ28" s="3721"/>
      <c r="BA28" s="1165"/>
      <c r="BI28" s="1077">
        <v>14</v>
      </c>
    </row>
    <row r="29" spans="1:61" ht="14.65" customHeight="1">
      <c r="Q29" s="226"/>
      <c r="R29" s="310"/>
      <c r="S29" s="3667" t="str">
        <f>IF(org=0,"Не определено",org)</f>
        <v>ООО "Смоленскрегионтеплоэнерго"</v>
      </c>
      <c r="T29" s="3667"/>
      <c r="U29" s="3667"/>
      <c r="V29" s="3667"/>
      <c r="W29" s="3667"/>
      <c r="X29" s="3667"/>
      <c r="Y29" s="3667"/>
      <c r="Z29" s="3667"/>
      <c r="AA29" s="3667"/>
      <c r="AB29" s="3667"/>
      <c r="AC29" s="3667"/>
      <c r="AD29" s="3667"/>
      <c r="AE29" s="3667"/>
      <c r="AF29" s="3667"/>
      <c r="AG29" s="3667"/>
      <c r="AH29" s="3667"/>
      <c r="AI29" s="3667"/>
      <c r="AJ29" s="3667"/>
      <c r="AK29" s="3667"/>
      <c r="AL29" s="3667"/>
      <c r="AM29" s="3667"/>
      <c r="AN29" s="3667"/>
      <c r="AO29" s="3667"/>
      <c r="AP29" s="3667"/>
      <c r="AQ29" s="3667"/>
      <c r="AR29" s="3667"/>
      <c r="AS29" s="3667"/>
      <c r="AT29" s="3667"/>
      <c r="AU29" s="3667"/>
      <c r="AV29" s="3667"/>
      <c r="AW29" s="3667"/>
      <c r="AX29" s="3667"/>
      <c r="AY29" s="3667"/>
      <c r="AZ29" s="3667"/>
      <c r="BA29" s="1165"/>
      <c r="BI29" s="1077">
        <v>14</v>
      </c>
    </row>
    <row r="30" spans="1:61" ht="14.25" hidden="1" customHeight="1">
      <c r="Q30" s="226"/>
      <c r="R30" s="310"/>
      <c r="S30" s="1197"/>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7">
        <v>0</v>
      </c>
    </row>
    <row r="31" spans="1:61" s="1742" customFormat="1" ht="25.5" hidden="1" customHeight="1">
      <c r="A31" s="1290"/>
      <c r="B31" s="1290"/>
      <c r="C31" s="1290"/>
      <c r="D31" s="1290"/>
      <c r="E31" s="1290"/>
      <c r="F31" s="1290"/>
      <c r="G31" s="1290"/>
      <c r="H31" s="1290"/>
      <c r="I31" s="1290"/>
      <c r="J31" s="1290"/>
      <c r="K31" s="1290"/>
      <c r="L31" s="1291"/>
      <c r="M31" s="1290"/>
      <c r="N31" s="1290"/>
      <c r="O31" s="1290"/>
      <c r="P31" s="1290"/>
      <c r="Q31" s="1290"/>
      <c r="S31" s="3729" t="s">
        <v>29</v>
      </c>
      <c r="T31" s="3729"/>
      <c r="U31" s="1294"/>
      <c r="V31" s="3730" t="str">
        <f>IF(TITLE_NAME_OR_PR_CHANGE="",IF(TITLE_NAME_OR_PR="","",TITLE_NAME_OR_PR),TITLE_NAME_OR_PR_CHANGE)</f>
        <v/>
      </c>
      <c r="W31" s="3730"/>
      <c r="X31" s="3730"/>
      <c r="Y31" s="3730"/>
      <c r="Z31" s="3730"/>
      <c r="AA31" s="3730"/>
      <c r="AB31" s="3730"/>
      <c r="AC31" s="261"/>
      <c r="AD31" s="3730" t="str">
        <f>IF(TITLE_NAME_OR_PR_CHANGE="",IF(TITLE_NAME_OR_PR="","",TITLE_NAME_OR_PR),TITLE_NAME_OR_PR_CHANGE)</f>
        <v/>
      </c>
      <c r="AE31" s="3730"/>
      <c r="AF31" s="3730"/>
      <c r="AG31" s="3730"/>
      <c r="AH31" s="3730"/>
      <c r="AI31" s="3730"/>
      <c r="AJ31" s="3730"/>
      <c r="AK31" s="3730"/>
      <c r="AL31" s="3730"/>
      <c r="AM31" s="3730"/>
      <c r="AN31" s="3730"/>
      <c r="AO31" s="3730"/>
      <c r="AP31" s="3730"/>
      <c r="AQ31" s="3730"/>
      <c r="AR31" s="3730"/>
      <c r="AS31" s="3730"/>
      <c r="AT31" s="3730"/>
      <c r="AU31" s="3730"/>
      <c r="AV31" s="3730"/>
      <c r="AW31" s="3730"/>
      <c r="AX31" s="3730"/>
      <c r="AY31" s="3730"/>
      <c r="AZ31" s="3730"/>
      <c r="BA31" s="261"/>
      <c r="BB31" s="261"/>
      <c r="BC31" s="215"/>
      <c r="BD31" s="302"/>
      <c r="BE31" s="302"/>
      <c r="BF31" s="302"/>
      <c r="BG31" s="302"/>
      <c r="BH31" s="302"/>
      <c r="BI31" s="352">
        <v>0</v>
      </c>
    </row>
    <row r="32" spans="1:61" s="1742" customFormat="1" ht="18.75" hidden="1" customHeight="1">
      <c r="A32" s="1290"/>
      <c r="B32" s="1290"/>
      <c r="C32" s="1290"/>
      <c r="D32" s="1290"/>
      <c r="E32" s="1290"/>
      <c r="F32" s="1290"/>
      <c r="G32" s="1290"/>
      <c r="H32" s="1290"/>
      <c r="I32" s="1290"/>
      <c r="J32" s="1290"/>
      <c r="K32" s="1290"/>
      <c r="L32" s="1291"/>
      <c r="M32" s="1290"/>
      <c r="N32" s="1290"/>
      <c r="O32" s="1290"/>
      <c r="P32" s="1290"/>
      <c r="Q32" s="1290"/>
      <c r="S32" s="3729" t="s">
        <v>548</v>
      </c>
      <c r="T32" s="3729"/>
      <c r="U32" s="1294"/>
      <c r="V32" s="3739" t="str">
        <f>IF(TITLE_DATE_PR_CHANGE="",IF(TITLE_DATE_PR="","",TITLE_DATE_PR),TITLE_DATE_PR_CHANGE)</f>
        <v/>
      </c>
      <c r="W32" s="3739"/>
      <c r="X32" s="3739"/>
      <c r="Y32" s="3739"/>
      <c r="Z32" s="3739"/>
      <c r="AA32" s="3739"/>
      <c r="AB32" s="3739"/>
      <c r="AC32" s="261"/>
      <c r="AD32" s="3739" t="str">
        <f>IF(TITLE_DATE_PR_CHANGE="",IF(TITLE_DATE_PR="","",TITLE_DATE_PR),TITLE_DATE_PR_CHANGE)</f>
        <v/>
      </c>
      <c r="AE32" s="3739"/>
      <c r="AF32" s="3739"/>
      <c r="AG32" s="3739"/>
      <c r="AH32" s="3739"/>
      <c r="AI32" s="3739"/>
      <c r="AJ32" s="3739"/>
      <c r="AK32" s="3739"/>
      <c r="AL32" s="3739"/>
      <c r="AM32" s="3739"/>
      <c r="AN32" s="3739"/>
      <c r="AO32" s="3739"/>
      <c r="AP32" s="3739"/>
      <c r="AQ32" s="3739"/>
      <c r="AR32" s="3739"/>
      <c r="AS32" s="3739"/>
      <c r="AT32" s="3739"/>
      <c r="AU32" s="3739"/>
      <c r="AV32" s="3739"/>
      <c r="AW32" s="3739"/>
      <c r="AX32" s="3739"/>
      <c r="AY32" s="3739"/>
      <c r="AZ32" s="3739"/>
      <c r="BA32" s="261"/>
      <c r="BB32" s="261"/>
      <c r="BC32" s="215"/>
      <c r="BD32" s="302"/>
      <c r="BE32" s="302"/>
      <c r="BF32" s="302"/>
      <c r="BG32" s="302"/>
      <c r="BH32" s="302"/>
      <c r="BI32" s="352">
        <v>0</v>
      </c>
    </row>
    <row r="33" spans="1:61" s="1742" customFormat="1" ht="18.75" hidden="1" customHeight="1">
      <c r="A33" s="1290"/>
      <c r="B33" s="1290"/>
      <c r="C33" s="1290"/>
      <c r="D33" s="1290"/>
      <c r="E33" s="1290"/>
      <c r="F33" s="1290"/>
      <c r="G33" s="1290"/>
      <c r="H33" s="1290"/>
      <c r="I33" s="1290"/>
      <c r="J33" s="1290"/>
      <c r="K33" s="1290"/>
      <c r="L33" s="1291"/>
      <c r="M33" s="1290"/>
      <c r="N33" s="1290"/>
      <c r="O33" s="1290"/>
      <c r="P33" s="1290"/>
      <c r="Q33" s="1290"/>
      <c r="S33" s="3729" t="s">
        <v>549</v>
      </c>
      <c r="T33" s="3729"/>
      <c r="U33" s="1294"/>
      <c r="V33" s="3730" t="str">
        <f>IF(TITLE_NUMBER_PR_CHANGE="",IF(TITLE_NUMBER_PR="","",TITLE_NUMBER_PR),TITLE_NUMBER_PR_CHANGE)</f>
        <v/>
      </c>
      <c r="W33" s="3730"/>
      <c r="X33" s="3730"/>
      <c r="Y33" s="3730"/>
      <c r="Z33" s="3730"/>
      <c r="AA33" s="3730"/>
      <c r="AB33" s="3730"/>
      <c r="AC33" s="261"/>
      <c r="AD33" s="3730" t="str">
        <f>IF(TITLE_NUMBER_PR_CHANGE="",IF(TITLE_NUMBER_PR="","",TITLE_NUMBER_PR),TITLE_NUMBER_PR_CHANGE)</f>
        <v/>
      </c>
      <c r="AE33" s="3730"/>
      <c r="AF33" s="3730"/>
      <c r="AG33" s="3730"/>
      <c r="AH33" s="3730"/>
      <c r="AI33" s="3730"/>
      <c r="AJ33" s="3730"/>
      <c r="AK33" s="3730"/>
      <c r="AL33" s="3730"/>
      <c r="AM33" s="3730"/>
      <c r="AN33" s="3730"/>
      <c r="AO33" s="3730"/>
      <c r="AP33" s="3730"/>
      <c r="AQ33" s="3730"/>
      <c r="AR33" s="3730"/>
      <c r="AS33" s="3730"/>
      <c r="AT33" s="3730"/>
      <c r="AU33" s="3730"/>
      <c r="AV33" s="3730"/>
      <c r="AW33" s="3730"/>
      <c r="AX33" s="3730"/>
      <c r="AY33" s="3730"/>
      <c r="AZ33" s="3730"/>
      <c r="BA33" s="261"/>
      <c r="BB33" s="261"/>
      <c r="BC33" s="215"/>
      <c r="BD33" s="302"/>
      <c r="BE33" s="302"/>
      <c r="BF33" s="302"/>
      <c r="BG33" s="302"/>
      <c r="BH33" s="302"/>
      <c r="BI33" s="352">
        <v>0</v>
      </c>
    </row>
    <row r="34" spans="1:61" s="1742" customFormat="1" ht="18.75" hidden="1" customHeight="1">
      <c r="A34" s="1290"/>
      <c r="B34" s="1290"/>
      <c r="C34" s="1290"/>
      <c r="D34" s="1290"/>
      <c r="E34" s="1290"/>
      <c r="F34" s="1290"/>
      <c r="G34" s="1290"/>
      <c r="H34" s="1290"/>
      <c r="I34" s="1290"/>
      <c r="J34" s="1290"/>
      <c r="K34" s="1290"/>
      <c r="L34" s="1291"/>
      <c r="M34" s="1290"/>
      <c r="N34" s="1290"/>
      <c r="O34" s="1290"/>
      <c r="P34" s="1290"/>
      <c r="Q34" s="1290"/>
      <c r="S34" s="3729" t="s">
        <v>30</v>
      </c>
      <c r="T34" s="3729"/>
      <c r="U34" s="1294"/>
      <c r="V34" s="3730" t="str">
        <f>IF(TITLE_IST_PUB_CHANGE="",IF(TITLE_IST_PUB="","",TITLE_IST_PUB),TITLE_IST_PUB_CHANGE)</f>
        <v/>
      </c>
      <c r="W34" s="3730"/>
      <c r="X34" s="3730"/>
      <c r="Y34" s="3730"/>
      <c r="Z34" s="3730"/>
      <c r="AA34" s="3730"/>
      <c r="AB34" s="3730"/>
      <c r="AC34" s="261"/>
      <c r="AD34" s="3730" t="str">
        <f>IF(TITLE_IST_PUB_CHANGE="",IF(TITLE_IST_PUB="","",TITLE_IST_PUB),TITLE_IST_PUB_CHANGE)</f>
        <v/>
      </c>
      <c r="AE34" s="3730"/>
      <c r="AF34" s="3730"/>
      <c r="AG34" s="3730"/>
      <c r="AH34" s="3730"/>
      <c r="AI34" s="3730"/>
      <c r="AJ34" s="3730"/>
      <c r="AK34" s="3730"/>
      <c r="AL34" s="3730"/>
      <c r="AM34" s="3730"/>
      <c r="AN34" s="3730"/>
      <c r="AO34" s="3730"/>
      <c r="AP34" s="3730"/>
      <c r="AQ34" s="3730"/>
      <c r="AR34" s="3730"/>
      <c r="AS34" s="3730"/>
      <c r="AT34" s="3730"/>
      <c r="AU34" s="3730"/>
      <c r="AV34" s="3730"/>
      <c r="AW34" s="3730"/>
      <c r="AX34" s="3730"/>
      <c r="AY34" s="3730"/>
      <c r="AZ34" s="3730"/>
      <c r="BA34" s="261"/>
      <c r="BB34" s="261"/>
      <c r="BC34" s="215"/>
      <c r="BD34" s="302"/>
      <c r="BE34" s="302"/>
      <c r="BF34" s="302"/>
      <c r="BG34" s="302"/>
      <c r="BH34" s="302"/>
      <c r="BI34" s="352">
        <v>0</v>
      </c>
    </row>
    <row r="35" spans="1:61" ht="14.25" hidden="1" customHeight="1">
      <c r="Q35" s="226"/>
      <c r="R35" s="310"/>
      <c r="S35" s="1197"/>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7">
        <v>0</v>
      </c>
    </row>
    <row r="36" spans="1:61" s="1742" customFormat="1" ht="18.75" hidden="1" customHeight="1">
      <c r="A36" s="1290"/>
      <c r="B36" s="1290"/>
      <c r="C36" s="1290"/>
      <c r="D36" s="1290"/>
      <c r="E36" s="1290"/>
      <c r="F36" s="1290"/>
      <c r="G36" s="1290"/>
      <c r="H36" s="1290"/>
      <c r="I36" s="1290"/>
      <c r="J36" s="1290"/>
      <c r="K36" s="1290"/>
      <c r="L36" s="1291"/>
      <c r="M36" s="1290"/>
      <c r="N36" s="1290"/>
      <c r="O36" s="1290"/>
      <c r="P36" s="1290"/>
      <c r="Q36" s="1290"/>
      <c r="S36" s="3729" t="s">
        <v>548</v>
      </c>
      <c r="T36" s="3729"/>
      <c r="U36" s="1294"/>
      <c r="V36" s="3739" t="str">
        <f>IF(TITLE_DATE_PR_CHANGE="",IF(TITLE_DATE_PR="","",TITLE_DATE_PR),TITLE_DATE_PR_CHANGE)</f>
        <v/>
      </c>
      <c r="W36" s="3739"/>
      <c r="X36" s="3739"/>
      <c r="Y36" s="3739"/>
      <c r="Z36" s="3739"/>
      <c r="AA36" s="3739"/>
      <c r="AB36" s="3739"/>
      <c r="AC36" s="261"/>
      <c r="AD36" s="3739" t="str">
        <f>IF(TITLE_DATE_PR_CHANGE="",IF(TITLE_DATE_PR="","",TITLE_DATE_PR),TITLE_DATE_PR_CHANGE)</f>
        <v/>
      </c>
      <c r="AE36" s="3739"/>
      <c r="AF36" s="3739"/>
      <c r="AG36" s="3739"/>
      <c r="AH36" s="3739"/>
      <c r="AI36" s="3739"/>
      <c r="AJ36" s="3739"/>
      <c r="AK36" s="3739"/>
      <c r="AL36" s="3739"/>
      <c r="AM36" s="3739"/>
      <c r="AN36" s="3739"/>
      <c r="AO36" s="3739"/>
      <c r="AP36" s="3739"/>
      <c r="AQ36" s="3739"/>
      <c r="AR36" s="3739"/>
      <c r="AS36" s="3739"/>
      <c r="AT36" s="3739"/>
      <c r="AU36" s="3739"/>
      <c r="AV36" s="3739"/>
      <c r="AW36" s="3739"/>
      <c r="AX36" s="3739"/>
      <c r="AY36" s="3739"/>
      <c r="AZ36" s="3739"/>
      <c r="BA36" s="261"/>
      <c r="BB36" s="261"/>
      <c r="BC36" s="215"/>
      <c r="BD36" s="302"/>
      <c r="BE36" s="302"/>
      <c r="BF36" s="302"/>
      <c r="BG36" s="302"/>
      <c r="BH36" s="302"/>
      <c r="BI36" s="352">
        <v>0</v>
      </c>
    </row>
    <row r="37" spans="1:61" s="1742" customFormat="1" ht="18.75" hidden="1" customHeight="1">
      <c r="A37" s="1290"/>
      <c r="B37" s="1290"/>
      <c r="C37" s="1290"/>
      <c r="D37" s="1290"/>
      <c r="E37" s="1290"/>
      <c r="F37" s="1290"/>
      <c r="G37" s="1290"/>
      <c r="H37" s="1290"/>
      <c r="I37" s="1290"/>
      <c r="J37" s="1290"/>
      <c r="K37" s="1290"/>
      <c r="L37" s="1291"/>
      <c r="M37" s="1290"/>
      <c r="N37" s="1290"/>
      <c r="O37" s="1290"/>
      <c r="P37" s="1290"/>
      <c r="Q37" s="1290"/>
      <c r="S37" s="3729" t="s">
        <v>549</v>
      </c>
      <c r="T37" s="3729"/>
      <c r="U37" s="1294"/>
      <c r="V37" s="3730" t="str">
        <f>IF(TITLE_NUMBER_PR_CHANGE="",IF(TITLE_NUMBER_PR="","",TITLE_NUMBER_PR),TITLE_NUMBER_PR_CHANGE)</f>
        <v/>
      </c>
      <c r="W37" s="3730"/>
      <c r="X37" s="3730"/>
      <c r="Y37" s="3730"/>
      <c r="Z37" s="3730"/>
      <c r="AA37" s="3730"/>
      <c r="AB37" s="3730"/>
      <c r="AC37" s="261"/>
      <c r="AD37" s="3730" t="str">
        <f>IF(TITLE_NUMBER_PR_CHANGE="",IF(TITLE_NUMBER_PR="","",TITLE_NUMBER_PR),TITLE_NUMBER_PR_CHANGE)</f>
        <v/>
      </c>
      <c r="AE37" s="3730"/>
      <c r="AF37" s="3730"/>
      <c r="AG37" s="3730"/>
      <c r="AH37" s="3730"/>
      <c r="AI37" s="3730"/>
      <c r="AJ37" s="3730"/>
      <c r="AK37" s="3730"/>
      <c r="AL37" s="3730"/>
      <c r="AM37" s="3730"/>
      <c r="AN37" s="3730"/>
      <c r="AO37" s="3730"/>
      <c r="AP37" s="3730"/>
      <c r="AQ37" s="3730"/>
      <c r="AR37" s="3730"/>
      <c r="AS37" s="3730"/>
      <c r="AT37" s="3730"/>
      <c r="AU37" s="3730"/>
      <c r="AV37" s="3730"/>
      <c r="AW37" s="3730"/>
      <c r="AX37" s="3730"/>
      <c r="AY37" s="3730"/>
      <c r="AZ37" s="3730"/>
      <c r="BA37" s="261"/>
      <c r="BB37" s="261"/>
      <c r="BC37" s="215"/>
      <c r="BD37" s="302"/>
      <c r="BE37" s="302"/>
      <c r="BF37" s="302"/>
      <c r="BG37" s="302"/>
      <c r="BH37" s="302"/>
      <c r="BI37" s="352">
        <v>0</v>
      </c>
    </row>
    <row r="38" spans="1:61" s="1742" customFormat="1" ht="0" hidden="1" customHeight="1">
      <c r="A38" s="1290"/>
      <c r="B38" s="1290"/>
      <c r="C38" s="1290"/>
      <c r="D38" s="1290"/>
      <c r="E38" s="1290"/>
      <c r="F38" s="1290"/>
      <c r="G38" s="1290"/>
      <c r="H38" s="1290"/>
      <c r="I38" s="1290"/>
      <c r="J38" s="1290"/>
      <c r="K38" s="1290"/>
      <c r="L38" s="1291"/>
      <c r="M38" s="1290"/>
      <c r="N38" s="1290"/>
      <c r="O38" s="1290"/>
      <c r="P38" s="1290"/>
      <c r="Q38" s="1290"/>
      <c r="S38" s="258"/>
      <c r="T38" s="258"/>
      <c r="U38" s="1376"/>
      <c r="V38" s="261"/>
      <c r="W38" s="261"/>
      <c r="X38" s="261"/>
      <c r="Y38" s="261"/>
      <c r="Z38" s="261"/>
      <c r="AA38" s="261"/>
      <c r="AB38" s="261"/>
      <c r="AC38" s="213" t="s">
        <v>468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468</v>
      </c>
      <c r="BD38" s="302"/>
      <c r="BE38" s="302"/>
      <c r="BF38" s="302"/>
      <c r="BG38" s="302"/>
      <c r="BH38" s="302"/>
      <c r="BI38" s="352">
        <v>0</v>
      </c>
    </row>
    <row r="39" spans="1:61" ht="14.65" customHeight="1">
      <c r="Q39" s="226"/>
      <c r="R39" s="310"/>
      <c r="S39" s="1197"/>
      <c r="T39" s="297"/>
      <c r="U39" s="1166"/>
      <c r="V39" s="3731"/>
      <c r="W39" s="3731"/>
      <c r="X39" s="3731"/>
      <c r="Y39" s="3731"/>
      <c r="Z39" s="3731"/>
      <c r="AA39" s="3731"/>
      <c r="AB39" s="3731"/>
      <c r="AC39" s="3731"/>
      <c r="AD39" s="3731"/>
      <c r="AE39" s="3731"/>
      <c r="AF39" s="3731"/>
      <c r="AG39" s="3731"/>
      <c r="AH39" s="3731"/>
      <c r="AI39" s="3731"/>
      <c r="AJ39" s="3731"/>
      <c r="AK39" s="3731"/>
      <c r="AL39" s="3731"/>
      <c r="AM39" s="3731"/>
      <c r="AN39" s="3731"/>
      <c r="AO39" s="3731"/>
      <c r="AP39" s="3731"/>
      <c r="AQ39" s="3731"/>
      <c r="AR39" s="3731"/>
      <c r="AS39" s="3731"/>
      <c r="AT39" s="3731"/>
      <c r="AU39" s="3731"/>
      <c r="AV39" s="3731"/>
      <c r="AW39" s="3731"/>
      <c r="AX39" s="3731"/>
      <c r="AY39" s="3731"/>
      <c r="AZ39" s="3731"/>
      <c r="BA39" s="3731"/>
      <c r="BI39" s="1077">
        <v>14</v>
      </c>
    </row>
    <row r="40" spans="1:61" ht="14.65" customHeight="1">
      <c r="Q40" s="226"/>
      <c r="R40" s="310"/>
      <c r="S40" s="3618" t="s">
        <v>345</v>
      </c>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c r="AS40" s="3618"/>
      <c r="AT40" s="3618"/>
      <c r="AU40" s="3618"/>
      <c r="AV40" s="3618"/>
      <c r="AW40" s="3618"/>
      <c r="AX40" s="3618"/>
      <c r="AY40" s="3618"/>
      <c r="AZ40" s="3618"/>
      <c r="BA40" s="3618"/>
      <c r="BB40" s="3618"/>
      <c r="BC40" s="3618" t="s">
        <v>346</v>
      </c>
      <c r="BI40" s="1077">
        <v>14</v>
      </c>
    </row>
    <row r="41" spans="1:61" ht="14.65" customHeight="1">
      <c r="Q41" s="226"/>
      <c r="R41" s="310"/>
      <c r="S41" s="3745" t="s">
        <v>76</v>
      </c>
      <c r="T41" s="3697" t="s">
        <v>550</v>
      </c>
      <c r="U41" s="236"/>
      <c r="V41" s="3746" t="s">
        <v>470</v>
      </c>
      <c r="W41" s="3747"/>
      <c r="X41" s="3747"/>
      <c r="Y41" s="3747"/>
      <c r="Z41" s="3747"/>
      <c r="AA41" s="3747"/>
      <c r="AB41" s="3748"/>
      <c r="AC41" s="3749" t="s">
        <v>471</v>
      </c>
      <c r="AD41" s="3782" t="s">
        <v>551</v>
      </c>
      <c r="AE41" s="3763"/>
      <c r="AF41" s="3763"/>
      <c r="AG41" s="3783"/>
      <c r="AH41" s="3782" t="s">
        <v>552</v>
      </c>
      <c r="AI41" s="3763"/>
      <c r="AJ41" s="3763"/>
      <c r="AK41" s="3783"/>
      <c r="AL41" s="3782" t="s">
        <v>553</v>
      </c>
      <c r="AM41" s="3763"/>
      <c r="AN41" s="3763"/>
      <c r="AO41" s="3783"/>
      <c r="AP41" s="3782" t="s">
        <v>554</v>
      </c>
      <c r="AQ41" s="3763"/>
      <c r="AR41" s="3763"/>
      <c r="AS41" s="3783"/>
      <c r="AT41" s="3746" t="s">
        <v>470</v>
      </c>
      <c r="AU41" s="3747"/>
      <c r="AV41" s="3747"/>
      <c r="AW41" s="3747"/>
      <c r="AX41" s="3747"/>
      <c r="AY41" s="3747"/>
      <c r="AZ41" s="3748"/>
      <c r="BA41" s="3749" t="s">
        <v>471</v>
      </c>
      <c r="BB41" s="3752" t="s">
        <v>473</v>
      </c>
      <c r="BC41" s="3618"/>
      <c r="BI41" s="1077">
        <v>14</v>
      </c>
    </row>
    <row r="42" spans="1:61" ht="35.65" customHeight="1">
      <c r="Q42" s="226"/>
      <c r="R42" s="310"/>
      <c r="S42" s="3745"/>
      <c r="T42" s="3697"/>
      <c r="U42" s="957"/>
      <c r="V42" s="3683" t="s">
        <v>555</v>
      </c>
      <c r="W42" s="3684"/>
      <c r="X42" s="3683" t="s">
        <v>556</v>
      </c>
      <c r="Y42" s="3684"/>
      <c r="Z42" s="3683" t="s">
        <v>557</v>
      </c>
      <c r="AA42" s="3777"/>
      <c r="AB42" s="3684"/>
      <c r="AC42" s="3750"/>
      <c r="AD42" s="3784"/>
      <c r="AE42" s="3785"/>
      <c r="AF42" s="3785"/>
      <c r="AG42" s="3786"/>
      <c r="AH42" s="3784"/>
      <c r="AI42" s="3785"/>
      <c r="AJ42" s="3785"/>
      <c r="AK42" s="3786"/>
      <c r="AL42" s="3784"/>
      <c r="AM42" s="3785"/>
      <c r="AN42" s="3785"/>
      <c r="AO42" s="3786"/>
      <c r="AP42" s="3784"/>
      <c r="AQ42" s="3785"/>
      <c r="AR42" s="3785"/>
      <c r="AS42" s="3786"/>
      <c r="AT42" s="3683" t="s">
        <v>555</v>
      </c>
      <c r="AU42" s="3684"/>
      <c r="AV42" s="3683" t="s">
        <v>556</v>
      </c>
      <c r="AW42" s="3684"/>
      <c r="AX42" s="3683" t="s">
        <v>557</v>
      </c>
      <c r="AY42" s="3777"/>
      <c r="AZ42" s="3684"/>
      <c r="BA42" s="3750"/>
      <c r="BB42" s="3753"/>
      <c r="BC42" s="3618"/>
      <c r="BI42" s="1077">
        <v>34</v>
      </c>
    </row>
    <row r="43" spans="1:61" ht="14.65" customHeight="1">
      <c r="Q43" s="226"/>
      <c r="R43" s="310"/>
      <c r="S43" s="3745"/>
      <c r="T43" s="3697"/>
      <c r="U43" s="957"/>
      <c r="V43" s="3688"/>
      <c r="W43" s="3689"/>
      <c r="X43" s="3688"/>
      <c r="Y43" s="3689"/>
      <c r="Z43" s="3688"/>
      <c r="AA43" s="3778"/>
      <c r="AB43" s="3689"/>
      <c r="AC43" s="3750"/>
      <c r="AD43" s="3784"/>
      <c r="AE43" s="3785"/>
      <c r="AF43" s="3785"/>
      <c r="AG43" s="3786"/>
      <c r="AH43" s="3784"/>
      <c r="AI43" s="3785"/>
      <c r="AJ43" s="3785"/>
      <c r="AK43" s="3786"/>
      <c r="AL43" s="3784"/>
      <c r="AM43" s="3785"/>
      <c r="AN43" s="3785"/>
      <c r="AO43" s="3786"/>
      <c r="AP43" s="3784"/>
      <c r="AQ43" s="3785"/>
      <c r="AR43" s="3785"/>
      <c r="AS43" s="3786"/>
      <c r="AT43" s="3688"/>
      <c r="AU43" s="3689"/>
      <c r="AV43" s="3688"/>
      <c r="AW43" s="3689"/>
      <c r="AX43" s="3688"/>
      <c r="AY43" s="3778"/>
      <c r="AZ43" s="3689"/>
      <c r="BA43" s="3750"/>
      <c r="BB43" s="3753"/>
      <c r="BC43" s="3618"/>
      <c r="BI43" s="1077">
        <v>14</v>
      </c>
    </row>
    <row r="44" spans="1:61" ht="14.65" customHeight="1">
      <c r="A44" s="1292"/>
      <c r="B44" s="1292" t="s">
        <v>188</v>
      </c>
      <c r="C44" s="1292" t="s">
        <v>189</v>
      </c>
      <c r="D44" s="1292" t="s">
        <v>190</v>
      </c>
      <c r="E44" s="1286" t="s">
        <v>478</v>
      </c>
      <c r="F44" s="1286" t="s">
        <v>479</v>
      </c>
      <c r="G44" s="1286" t="s">
        <v>480</v>
      </c>
      <c r="H44" s="1286" t="s">
        <v>481</v>
      </c>
      <c r="I44" s="1286" t="s">
        <v>482</v>
      </c>
      <c r="J44" s="1286" t="s">
        <v>483</v>
      </c>
      <c r="K44" s="1286" t="s">
        <v>484</v>
      </c>
      <c r="L44" s="1286" t="s">
        <v>463</v>
      </c>
      <c r="Q44" s="226"/>
      <c r="R44" s="310"/>
      <c r="S44" s="3745"/>
      <c r="T44" s="3697"/>
      <c r="U44" s="237"/>
      <c r="V44" s="1370" t="s">
        <v>519</v>
      </c>
      <c r="W44" s="1370" t="s">
        <v>520</v>
      </c>
      <c r="X44" s="1370" t="s">
        <v>519</v>
      </c>
      <c r="Y44" s="1370" t="s">
        <v>520</v>
      </c>
      <c r="Z44" s="1377" t="s">
        <v>487</v>
      </c>
      <c r="AA44" s="3705" t="s">
        <v>488</v>
      </c>
      <c r="AB44" s="3707"/>
      <c r="AC44" s="3751"/>
      <c r="AD44" s="3787"/>
      <c r="AE44" s="3788"/>
      <c r="AF44" s="3788"/>
      <c r="AG44" s="3789"/>
      <c r="AH44" s="3787"/>
      <c r="AI44" s="3788"/>
      <c r="AJ44" s="3788"/>
      <c r="AK44" s="3789"/>
      <c r="AL44" s="3787"/>
      <c r="AM44" s="3788"/>
      <c r="AN44" s="3788"/>
      <c r="AO44" s="3789"/>
      <c r="AP44" s="3787"/>
      <c r="AQ44" s="3788"/>
      <c r="AR44" s="3788"/>
      <c r="AS44" s="3789"/>
      <c r="AT44" s="1370" t="s">
        <v>519</v>
      </c>
      <c r="AU44" s="1370" t="s">
        <v>520</v>
      </c>
      <c r="AV44" s="1370" t="s">
        <v>519</v>
      </c>
      <c r="AW44" s="1370" t="s">
        <v>520</v>
      </c>
      <c r="AX44" s="1377" t="s">
        <v>487</v>
      </c>
      <c r="AY44" s="3705" t="s">
        <v>488</v>
      </c>
      <c r="AZ44" s="3707"/>
      <c r="BA44" s="3751"/>
      <c r="BB44" s="3754"/>
      <c r="BC44" s="3618"/>
      <c r="BI44" s="1077">
        <v>14</v>
      </c>
    </row>
    <row r="45" spans="1:61" s="1563" customFormat="1" ht="11.25" hidden="1" customHeight="1">
      <c r="A45" s="1292"/>
      <c r="B45" s="1292"/>
      <c r="C45" s="1292"/>
      <c r="D45" s="1292"/>
      <c r="E45" s="1292"/>
      <c r="F45" s="1292"/>
      <c r="G45" s="1292"/>
      <c r="H45" s="1292"/>
      <c r="I45" s="1292"/>
      <c r="J45" s="1292"/>
      <c r="K45" s="1292"/>
      <c r="L45" s="1286"/>
      <c r="M45" s="1284"/>
      <c r="N45" s="1284"/>
      <c r="O45" s="1284"/>
      <c r="P45" s="444"/>
      <c r="Q45" s="1176"/>
      <c r="R45" s="1176">
        <v>1</v>
      </c>
      <c r="S45" s="1199" t="s">
        <v>164</v>
      </c>
      <c r="T45" s="1177" t="s">
        <v>89</v>
      </c>
      <c r="U45" s="1167" t="str">
        <f ca="1">OFFSET(U45,0,-1)</f>
        <v>2</v>
      </c>
      <c r="V45" s="1373">
        <f t="shared" ref="V45:AA45" ca="1" si="2">OFFSET(V45,0,-1)+1</f>
        <v>3</v>
      </c>
      <c r="W45" s="1373">
        <f t="shared" ca="1" si="2"/>
        <v>4</v>
      </c>
      <c r="X45" s="1373">
        <f t="shared" ca="1" si="2"/>
        <v>5</v>
      </c>
      <c r="Y45" s="1373">
        <f t="shared" ca="1" si="2"/>
        <v>6</v>
      </c>
      <c r="Z45" s="1373">
        <f t="shared" ca="1" si="2"/>
        <v>7</v>
      </c>
      <c r="AA45" s="3744">
        <f t="shared" ca="1" si="2"/>
        <v>8</v>
      </c>
      <c r="AB45" s="3744"/>
      <c r="AC45" s="1373">
        <f ca="1">OFFSET(AC45,0,-2)+1</f>
        <v>9</v>
      </c>
      <c r="AD45" s="1373">
        <f ca="1">OFFSET(AD45,0,-1)+1</f>
        <v>10</v>
      </c>
      <c r="AE45" s="1373"/>
      <c r="AF45" s="1373"/>
      <c r="AG45" s="1373"/>
      <c r="AH45" s="1373"/>
      <c r="AI45" s="1373"/>
      <c r="AJ45" s="1373"/>
      <c r="AK45" s="1373"/>
      <c r="AL45" s="1373"/>
      <c r="AM45" s="1373"/>
      <c r="AN45" s="1373"/>
      <c r="AO45" s="1373"/>
      <c r="AP45" s="1373"/>
      <c r="AQ45" s="1373"/>
      <c r="AR45" s="1373"/>
      <c r="AS45" s="1373"/>
      <c r="AT45" s="1373"/>
      <c r="AU45" s="1373"/>
      <c r="AV45" s="1373"/>
      <c r="AW45" s="1373">
        <f ca="1">OFFSET(AW45,0,-1)+1</f>
        <v>1</v>
      </c>
      <c r="AX45" s="1373">
        <f ca="1">OFFSET(AX45,0,-1)+1</f>
        <v>2</v>
      </c>
      <c r="AY45" s="3744">
        <f ca="1">OFFSET(AY45,0,-1)+1</f>
        <v>3</v>
      </c>
      <c r="AZ45" s="3744"/>
      <c r="BA45" s="1373">
        <f ca="1">OFFSET(BA45,0,-2)+1</f>
        <v>4</v>
      </c>
      <c r="BB45" s="1167">
        <f ca="1">OFFSET(BB45,0,-1)</f>
        <v>4</v>
      </c>
      <c r="BC45" s="1373">
        <f ca="1">OFFSET(BC45,0,-1)+1</f>
        <v>5</v>
      </c>
      <c r="BD45" s="445"/>
      <c r="BE45" s="445"/>
      <c r="BF45" s="445"/>
      <c r="BG45" s="445"/>
      <c r="BH45" s="445"/>
      <c r="BI45" s="430">
        <v>0</v>
      </c>
    </row>
    <row r="46" spans="1:61" ht="21.95" customHeight="1">
      <c r="A46" s="1285" t="s">
        <v>291</v>
      </c>
      <c r="B46" s="1285"/>
      <c r="C46" s="1285"/>
      <c r="D46" s="1285"/>
      <c r="E46" s="3737">
        <v>1</v>
      </c>
      <c r="F46" s="1285"/>
      <c r="G46" s="1285"/>
      <c r="H46" s="1285"/>
      <c r="I46" s="1285"/>
      <c r="J46" s="1285"/>
      <c r="K46" s="1285"/>
      <c r="L46" s="1286"/>
      <c r="M46" s="1287"/>
      <c r="N46" s="1287"/>
      <c r="O46" s="1287"/>
      <c r="P46" s="1331"/>
      <c r="Q46" s="801"/>
      <c r="R46" s="289"/>
      <c r="S46" s="1379">
        <f>INDEX(PT_DIFFERENTIATION_NUM_NTAR,MATCH(A46,PT_DIFFERENTIATION_NTAR_ID,0))</f>
        <v>0</v>
      </c>
      <c r="T46" s="233" t="s">
        <v>176</v>
      </c>
      <c r="U46" s="235"/>
      <c r="V46" s="3724"/>
      <c r="W46" s="3724"/>
      <c r="X46" s="3724"/>
      <c r="Y46" s="3724"/>
      <c r="Z46" s="3724"/>
      <c r="AA46" s="3724"/>
      <c r="AB46" s="3724"/>
      <c r="AC46" s="3725"/>
      <c r="AD46" s="3723" t="str">
        <f>INDEX(PT_DIFFERENTIATION_NTAR,MATCH(A46,PT_DIFFERENTIATION_NTAR_ID,0))</f>
        <v/>
      </c>
      <c r="AE46" s="3724"/>
      <c r="AF46" s="3724"/>
      <c r="AG46" s="3724"/>
      <c r="AH46" s="3724"/>
      <c r="AI46" s="3724"/>
      <c r="AJ46" s="3724"/>
      <c r="AK46" s="3724"/>
      <c r="AL46" s="3724"/>
      <c r="AM46" s="3724"/>
      <c r="AN46" s="3724"/>
      <c r="AO46" s="3724"/>
      <c r="AP46" s="3724"/>
      <c r="AQ46" s="3724"/>
      <c r="AR46" s="3724"/>
      <c r="AS46" s="3724"/>
      <c r="AT46" s="3724"/>
      <c r="AU46" s="3724"/>
      <c r="AV46" s="3724"/>
      <c r="AW46" s="3724"/>
      <c r="AX46" s="3724"/>
      <c r="AY46" s="3724"/>
      <c r="AZ46" s="3724"/>
      <c r="BA46" s="3724"/>
      <c r="BB46" s="3725"/>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7">
        <v>21</v>
      </c>
    </row>
    <row r="47" spans="1:61" ht="21.95" customHeight="1">
      <c r="A47" s="1285" t="s">
        <v>291</v>
      </c>
      <c r="B47" s="1285" t="s">
        <v>292</v>
      </c>
      <c r="C47" s="1285"/>
      <c r="D47" s="1285"/>
      <c r="E47" s="3738"/>
      <c r="F47" s="3737">
        <v>1</v>
      </c>
      <c r="G47" s="1285"/>
      <c r="H47" s="1285"/>
      <c r="I47" s="1285"/>
      <c r="J47" s="1285"/>
      <c r="K47" s="1285"/>
      <c r="L47" s="1286"/>
      <c r="M47" s="1287"/>
      <c r="N47" s="1287"/>
      <c r="O47" s="1287"/>
      <c r="P47" s="1332"/>
      <c r="Q47" s="1333"/>
      <c r="R47" s="287"/>
      <c r="S47" s="1379" t="str">
        <f>INDEX(PT_DIFFERENTIATION_NUM_TER,MATCH(B47,PT_DIFFERENTIATION_TER_ID,0))</f>
        <v>.</v>
      </c>
      <c r="T47" s="243" t="s">
        <v>442</v>
      </c>
      <c r="U47" s="235"/>
      <c r="V47" s="3724"/>
      <c r="W47" s="3724"/>
      <c r="X47" s="3724"/>
      <c r="Y47" s="3724"/>
      <c r="Z47" s="3724"/>
      <c r="AA47" s="3724"/>
      <c r="AB47" s="3724"/>
      <c r="AC47" s="3725"/>
      <c r="AD47" s="3723" t="str">
        <f>INDEX(PT_DIFFERENTIATION_TER,MATCH(B47,PT_DIFFERENTIATION_TER_ID,0))</f>
        <v/>
      </c>
      <c r="AE47" s="3724"/>
      <c r="AF47" s="3724"/>
      <c r="AG47" s="3724"/>
      <c r="AH47" s="3724"/>
      <c r="AI47" s="3724"/>
      <c r="AJ47" s="3724"/>
      <c r="AK47" s="3724"/>
      <c r="AL47" s="3724"/>
      <c r="AM47" s="3724"/>
      <c r="AN47" s="3724"/>
      <c r="AO47" s="3724"/>
      <c r="AP47" s="3724"/>
      <c r="AQ47" s="3724"/>
      <c r="AR47" s="3724"/>
      <c r="AS47" s="3724"/>
      <c r="AT47" s="3724"/>
      <c r="AU47" s="3724"/>
      <c r="AV47" s="3724"/>
      <c r="AW47" s="3724"/>
      <c r="AX47" s="3724"/>
      <c r="AY47" s="3724"/>
      <c r="AZ47" s="3724"/>
      <c r="BA47" s="3724"/>
      <c r="BB47" s="3725"/>
      <c r="BC47" s="1180" t="s">
        <v>443</v>
      </c>
      <c r="BE47" s="434"/>
      <c r="BF47" s="434" t="str">
        <f t="shared" si="3"/>
        <v>Территория действия тарифа</v>
      </c>
      <c r="BG47" s="434"/>
      <c r="BH47" s="434"/>
      <c r="BI47" s="1077">
        <v>21</v>
      </c>
    </row>
    <row r="48" spans="1:61" ht="43.15" customHeight="1">
      <c r="A48" s="1285" t="s">
        <v>291</v>
      </c>
      <c r="B48" s="1285" t="s">
        <v>292</v>
      </c>
      <c r="C48" s="1285" t="s">
        <v>293</v>
      </c>
      <c r="D48" s="1285"/>
      <c r="E48" s="3738"/>
      <c r="F48" s="3738"/>
      <c r="G48" s="3737">
        <v>1</v>
      </c>
      <c r="H48" s="1285"/>
      <c r="I48" s="1285"/>
      <c r="J48" s="1285"/>
      <c r="K48" s="1285"/>
      <c r="L48" s="1286"/>
      <c r="M48" s="1287"/>
      <c r="N48" s="1287"/>
      <c r="O48" s="1287"/>
      <c r="P48" s="1334"/>
      <c r="Q48" s="1333"/>
      <c r="R48" s="287"/>
      <c r="S48" s="1379" t="str">
        <f>INDEX(PT_DIFFERENTIATION_NUM_CS,MATCH(C48,PT_DIFFERENTIATION_CS_ID,0))</f>
        <v>..</v>
      </c>
      <c r="T48" s="244" t="s">
        <v>524</v>
      </c>
      <c r="U48" s="235"/>
      <c r="V48" s="3724"/>
      <c r="W48" s="3724"/>
      <c r="X48" s="3724"/>
      <c r="Y48" s="3724"/>
      <c r="Z48" s="3724"/>
      <c r="AA48" s="3724"/>
      <c r="AB48" s="3724"/>
      <c r="AC48" s="3725"/>
      <c r="AD48" s="3723" t="str">
        <f>INDEX(PT_DIFFERENTIATION_CS,MATCH(C48,PT_DIFFERENTIATION_CS_ID,0))</f>
        <v/>
      </c>
      <c r="AE48" s="3724"/>
      <c r="AF48" s="3724"/>
      <c r="AG48" s="3724"/>
      <c r="AH48" s="3724"/>
      <c r="AI48" s="3724"/>
      <c r="AJ48" s="3724"/>
      <c r="AK48" s="3724"/>
      <c r="AL48" s="3724"/>
      <c r="AM48" s="3724"/>
      <c r="AN48" s="3724"/>
      <c r="AO48" s="3724"/>
      <c r="AP48" s="3724"/>
      <c r="AQ48" s="3724"/>
      <c r="AR48" s="3724"/>
      <c r="AS48" s="3724"/>
      <c r="AT48" s="3724"/>
      <c r="AU48" s="3724"/>
      <c r="AV48" s="3724"/>
      <c r="AW48" s="3724"/>
      <c r="AX48" s="3724"/>
      <c r="AY48" s="3724"/>
      <c r="AZ48" s="3724"/>
      <c r="BA48" s="3724"/>
      <c r="BB48" s="3725"/>
      <c r="BC48" s="1180" t="s">
        <v>525</v>
      </c>
      <c r="BE48" s="434"/>
      <c r="BF48" s="434" t="str">
        <f t="shared" si="3"/>
        <v>Наименование централизованной системы холодного водоснабжения</v>
      </c>
      <c r="BG48" s="434"/>
      <c r="BH48" s="434"/>
      <c r="BI48" s="1077">
        <v>41</v>
      </c>
    </row>
    <row r="49" spans="1:61" s="1564" customFormat="1" ht="0" hidden="1" customHeight="1">
      <c r="A49" s="1265" t="s">
        <v>291</v>
      </c>
      <c r="B49" s="1265" t="s">
        <v>292</v>
      </c>
      <c r="C49" s="1265" t="s">
        <v>293</v>
      </c>
      <c r="D49" s="1265" t="s">
        <v>558</v>
      </c>
      <c r="E49" s="3738"/>
      <c r="F49" s="3738"/>
      <c r="G49" s="3738"/>
      <c r="H49" s="3737">
        <v>1</v>
      </c>
      <c r="I49" s="1265"/>
      <c r="J49" s="1265"/>
      <c r="K49" s="1265"/>
      <c r="L49" s="1268"/>
      <c r="M49" s="1237"/>
      <c r="N49" s="1237"/>
      <c r="O49" s="1237"/>
      <c r="P49" s="1419"/>
      <c r="Q49" s="1420"/>
      <c r="R49" s="291"/>
      <c r="S49" s="968"/>
      <c r="T49" s="1421"/>
      <c r="U49" s="1306"/>
      <c r="V49" s="3767"/>
      <c r="W49" s="3767"/>
      <c r="X49" s="3767"/>
      <c r="Y49" s="3767"/>
      <c r="Z49" s="3767"/>
      <c r="AA49" s="3767"/>
      <c r="AB49" s="3767"/>
      <c r="AC49" s="3768"/>
      <c r="AD49" s="3766"/>
      <c r="AE49" s="3767"/>
      <c r="AF49" s="3767"/>
      <c r="AG49" s="3767"/>
      <c r="AH49" s="3767"/>
      <c r="AI49" s="3767"/>
      <c r="AJ49" s="3767"/>
      <c r="AK49" s="3767"/>
      <c r="AL49" s="3767"/>
      <c r="AM49" s="3767"/>
      <c r="AN49" s="3767"/>
      <c r="AO49" s="3767"/>
      <c r="AP49" s="3767"/>
      <c r="AQ49" s="3767"/>
      <c r="AR49" s="3767"/>
      <c r="AS49" s="3767"/>
      <c r="AT49" s="3767"/>
      <c r="AU49" s="3767"/>
      <c r="AV49" s="3767"/>
      <c r="AW49" s="3767"/>
      <c r="AX49" s="3767"/>
      <c r="AY49" s="3767"/>
      <c r="AZ49" s="3767"/>
      <c r="BA49" s="3767"/>
      <c r="BB49" s="3768"/>
      <c r="BC49" s="1307" t="s">
        <v>447</v>
      </c>
      <c r="BE49" s="434"/>
      <c r="BF49" s="434" t="str">
        <f t="shared" si="3"/>
        <v/>
      </c>
      <c r="BG49" s="434"/>
      <c r="BH49" s="434"/>
      <c r="BI49" s="445">
        <v>0</v>
      </c>
    </row>
    <row r="50" spans="1:61" s="1564" customFormat="1" ht="0" hidden="1" customHeight="1">
      <c r="A50" s="1265" t="s">
        <v>291</v>
      </c>
      <c r="B50" s="1265" t="s">
        <v>292</v>
      </c>
      <c r="C50" s="1265" t="s">
        <v>293</v>
      </c>
      <c r="D50" s="1265" t="s">
        <v>558</v>
      </c>
      <c r="E50" s="3738"/>
      <c r="F50" s="3738"/>
      <c r="G50" s="3738"/>
      <c r="H50" s="3738"/>
      <c r="I50" s="3735" t="str">
        <f>S49&amp;".1"</f>
        <v>.1</v>
      </c>
      <c r="J50" s="1265"/>
      <c r="K50" s="1265"/>
      <c r="L50" s="1268" t="s">
        <v>448</v>
      </c>
      <c r="M50" s="444"/>
      <c r="N50" s="444"/>
      <c r="O50" s="444"/>
      <c r="P50" s="3736">
        <v>1</v>
      </c>
      <c r="Q50" s="1384"/>
      <c r="R50" s="290"/>
      <c r="S50" s="968"/>
      <c r="T50" s="1305"/>
      <c r="U50" s="1306"/>
      <c r="V50" s="3767"/>
      <c r="W50" s="3767"/>
      <c r="X50" s="3767"/>
      <c r="Y50" s="3767"/>
      <c r="Z50" s="3767"/>
      <c r="AA50" s="3767"/>
      <c r="AB50" s="3767"/>
      <c r="AC50" s="3768"/>
      <c r="AD50" s="3766"/>
      <c r="AE50" s="3767"/>
      <c r="AF50" s="3767"/>
      <c r="AG50" s="3767"/>
      <c r="AH50" s="3767"/>
      <c r="AI50" s="3767"/>
      <c r="AJ50" s="3767"/>
      <c r="AK50" s="3767"/>
      <c r="AL50" s="3767"/>
      <c r="AM50" s="3767"/>
      <c r="AN50" s="3767"/>
      <c r="AO50" s="3767"/>
      <c r="AP50" s="3767"/>
      <c r="AQ50" s="3767"/>
      <c r="AR50" s="3767"/>
      <c r="AS50" s="3767"/>
      <c r="AT50" s="3767"/>
      <c r="AU50" s="3767"/>
      <c r="AV50" s="3767"/>
      <c r="AW50" s="3767"/>
      <c r="AX50" s="3767"/>
      <c r="AY50" s="3767"/>
      <c r="AZ50" s="3767"/>
      <c r="BA50" s="3767"/>
      <c r="BB50" s="3768"/>
      <c r="BC50" s="1307"/>
      <c r="BE50" s="434"/>
      <c r="BF50" s="434" t="str">
        <f t="shared" si="3"/>
        <v/>
      </c>
      <c r="BG50" s="434"/>
      <c r="BH50" s="434"/>
      <c r="BI50" s="445">
        <v>0</v>
      </c>
    </row>
    <row r="51" spans="1:61" s="1564" customFormat="1" ht="0" hidden="1" customHeight="1">
      <c r="A51" s="1265" t="s">
        <v>291</v>
      </c>
      <c r="B51" s="1265" t="s">
        <v>292</v>
      </c>
      <c r="C51" s="1265" t="s">
        <v>293</v>
      </c>
      <c r="D51" s="1265" t="s">
        <v>558</v>
      </c>
      <c r="E51" s="3738"/>
      <c r="F51" s="3738"/>
      <c r="G51" s="3738"/>
      <c r="H51" s="3738"/>
      <c r="I51" s="3758"/>
      <c r="J51" s="3735" t="str">
        <f>S49&amp;".1"</f>
        <v>.1</v>
      </c>
      <c r="K51" s="1265"/>
      <c r="L51" s="1268"/>
      <c r="M51" s="444"/>
      <c r="N51" s="444"/>
      <c r="O51" s="444"/>
      <c r="P51" s="3736"/>
      <c r="Q51" s="3736">
        <v>1</v>
      </c>
      <c r="R51" s="291"/>
      <c r="S51" s="968"/>
      <c r="T51" s="1321"/>
      <c r="U51" s="1306"/>
      <c r="V51" s="3767"/>
      <c r="W51" s="3767"/>
      <c r="X51" s="3767"/>
      <c r="Y51" s="3767"/>
      <c r="Z51" s="3767"/>
      <c r="AA51" s="3767"/>
      <c r="AB51" s="3767"/>
      <c r="AC51" s="3768"/>
      <c r="AD51" s="3766"/>
      <c r="AE51" s="3767"/>
      <c r="AF51" s="3767"/>
      <c r="AG51" s="3767"/>
      <c r="AH51" s="3767"/>
      <c r="AI51" s="3767"/>
      <c r="AJ51" s="3767"/>
      <c r="AK51" s="3767"/>
      <c r="AL51" s="3767"/>
      <c r="AM51" s="3767"/>
      <c r="AN51" s="3820"/>
      <c r="AO51" s="3820"/>
      <c r="AP51" s="3767"/>
      <c r="AQ51" s="3767"/>
      <c r="AR51" s="3767"/>
      <c r="AS51" s="3767"/>
      <c r="AT51" s="3767"/>
      <c r="AU51" s="3767"/>
      <c r="AV51" s="3767"/>
      <c r="AW51" s="3767"/>
      <c r="AX51" s="3767"/>
      <c r="AY51" s="3767"/>
      <c r="AZ51" s="3767"/>
      <c r="BA51" s="3767"/>
      <c r="BB51" s="3768"/>
      <c r="BC51" s="1307"/>
      <c r="BE51" s="434"/>
      <c r="BF51" s="434" t="str">
        <f t="shared" si="3"/>
        <v/>
      </c>
      <c r="BG51" s="434"/>
      <c r="BH51" s="434"/>
      <c r="BI51" s="445">
        <v>0</v>
      </c>
    </row>
    <row r="52" spans="1:61" ht="11.45" customHeight="1">
      <c r="A52" s="1285" t="s">
        <v>291</v>
      </c>
      <c r="B52" s="1285" t="s">
        <v>292</v>
      </c>
      <c r="C52" s="1285" t="s">
        <v>293</v>
      </c>
      <c r="D52" s="1285" t="s">
        <v>558</v>
      </c>
      <c r="E52" s="3738"/>
      <c r="F52" s="3738"/>
      <c r="G52" s="3738"/>
      <c r="H52" s="3738"/>
      <c r="I52" s="3758"/>
      <c r="J52" s="3758"/>
      <c r="K52" s="3735" t="str">
        <f>S48&amp;".1"</f>
        <v>...1</v>
      </c>
      <c r="L52" s="1286"/>
      <c r="P52" s="3736"/>
      <c r="Q52" s="3736"/>
      <c r="R52" s="291">
        <v>1</v>
      </c>
      <c r="S52" s="3795" t="str">
        <f>$K52</f>
        <v>...1</v>
      </c>
      <c r="T52" s="3816"/>
      <c r="U52" s="235"/>
      <c r="V52" s="685"/>
      <c r="W52" s="1179"/>
      <c r="X52" s="685"/>
      <c r="Y52" s="1179"/>
      <c r="Z52" s="1627"/>
      <c r="AA52" s="1381" t="s">
        <v>50</v>
      </c>
      <c r="AB52" s="1627"/>
      <c r="AC52" s="1381" t="s">
        <v>50</v>
      </c>
      <c r="AD52" s="3676" t="s">
        <v>50</v>
      </c>
      <c r="AE52" s="3780"/>
      <c r="AF52" s="3693">
        <v>1</v>
      </c>
      <c r="AG52" s="3819"/>
      <c r="AH52" s="3599" t="s">
        <v>50</v>
      </c>
      <c r="AI52" s="3780"/>
      <c r="AJ52" s="3693">
        <v>1</v>
      </c>
      <c r="AK52" s="3781" t="s">
        <v>9</v>
      </c>
      <c r="AL52" s="3599" t="s">
        <v>50</v>
      </c>
      <c r="AM52" s="3683"/>
      <c r="AN52" s="3693">
        <v>1</v>
      </c>
      <c r="AO52" s="3813"/>
      <c r="AP52" s="3814" t="s">
        <v>50</v>
      </c>
      <c r="AQ52" s="246"/>
      <c r="AR52" s="1385">
        <v>1</v>
      </c>
      <c r="AS52" s="1388" t="s">
        <v>9</v>
      </c>
      <c r="AT52" s="685"/>
      <c r="AU52" s="1179"/>
      <c r="AV52" s="685"/>
      <c r="AW52" s="1179"/>
      <c r="AX52" s="1627"/>
      <c r="AY52" s="1381" t="s">
        <v>50</v>
      </c>
      <c r="AZ52" s="1627"/>
      <c r="BA52" s="1381" t="s">
        <v>50</v>
      </c>
      <c r="BB52" s="1270"/>
      <c r="BC52" s="3732" t="s">
        <v>542</v>
      </c>
      <c r="BE52" s="434"/>
      <c r="BF52" s="434" t="str">
        <f t="shared" si="3"/>
        <v/>
      </c>
      <c r="BG52" s="434"/>
      <c r="BH52" s="434"/>
      <c r="BI52" s="1077">
        <v>11</v>
      </c>
    </row>
    <row r="53" spans="1:61" ht="11.45" customHeight="1">
      <c r="A53" s="1285"/>
      <c r="B53" s="1285"/>
      <c r="C53" s="1285"/>
      <c r="D53" s="1285"/>
      <c r="E53" s="3738"/>
      <c r="F53" s="3738"/>
      <c r="G53" s="3738"/>
      <c r="H53" s="3738"/>
      <c r="I53" s="3758"/>
      <c r="J53" s="3758"/>
      <c r="K53" s="3735"/>
      <c r="L53" s="1286"/>
      <c r="P53" s="3736"/>
      <c r="Q53" s="3736"/>
      <c r="R53" s="291"/>
      <c r="S53" s="3796"/>
      <c r="T53" s="3817"/>
      <c r="U53" s="235"/>
      <c r="V53" s="1315"/>
      <c r="W53" s="1418"/>
      <c r="X53" s="1315"/>
      <c r="Y53" s="1418"/>
      <c r="Z53" s="1315"/>
      <c r="AA53" s="1315"/>
      <c r="AB53" s="1315"/>
      <c r="AC53" s="1315"/>
      <c r="AD53" s="3677"/>
      <c r="AE53" s="3780"/>
      <c r="AF53" s="3693"/>
      <c r="AG53" s="3819"/>
      <c r="AH53" s="3599"/>
      <c r="AI53" s="3780"/>
      <c r="AJ53" s="3693"/>
      <c r="AK53" s="3781"/>
      <c r="AL53" s="3599"/>
      <c r="AM53" s="3688"/>
      <c r="AN53" s="3693"/>
      <c r="AO53" s="3813"/>
      <c r="AP53" s="3815"/>
      <c r="AQ53" s="251"/>
      <c r="AR53" s="350"/>
      <c r="AS53" s="350" t="s">
        <v>543</v>
      </c>
      <c r="AT53" s="1315"/>
      <c r="AU53" s="1418"/>
      <c r="AV53" s="1315"/>
      <c r="AW53" s="1418"/>
      <c r="AX53" s="1315"/>
      <c r="AY53" s="1315"/>
      <c r="AZ53" s="1315"/>
      <c r="BA53" s="1315"/>
      <c r="BB53" s="1319"/>
      <c r="BC53" s="3733"/>
      <c r="BE53" s="434"/>
      <c r="BF53" s="434"/>
      <c r="BG53" s="434"/>
      <c r="BH53" s="434"/>
      <c r="BI53" s="1077">
        <v>11</v>
      </c>
    </row>
    <row r="54" spans="1:61" ht="11.45" customHeight="1">
      <c r="A54" s="1285" t="s">
        <v>291</v>
      </c>
      <c r="B54" s="1285"/>
      <c r="C54" s="1285"/>
      <c r="D54" s="1285"/>
      <c r="E54" s="3738"/>
      <c r="F54" s="3738"/>
      <c r="G54" s="3738"/>
      <c r="H54" s="3738"/>
      <c r="I54" s="3758"/>
      <c r="J54" s="3758"/>
      <c r="K54" s="3735"/>
      <c r="L54" s="1286"/>
      <c r="P54" s="3736"/>
      <c r="Q54" s="3736"/>
      <c r="R54" s="291"/>
      <c r="S54" s="3796"/>
      <c r="T54" s="3817"/>
      <c r="U54" s="235"/>
      <c r="V54" s="1315"/>
      <c r="W54" s="1418"/>
      <c r="X54" s="1315"/>
      <c r="Y54" s="1418"/>
      <c r="Z54" s="1315"/>
      <c r="AA54" s="1315"/>
      <c r="AB54" s="1315"/>
      <c r="AC54" s="1315"/>
      <c r="AD54" s="3677"/>
      <c r="AE54" s="3780"/>
      <c r="AF54" s="3693"/>
      <c r="AG54" s="3819"/>
      <c r="AH54" s="3599"/>
      <c r="AI54" s="3780"/>
      <c r="AJ54" s="3693"/>
      <c r="AK54" s="3781"/>
      <c r="AL54" s="3599"/>
      <c r="AM54" s="251"/>
      <c r="AN54" s="1422"/>
      <c r="AO54" s="1422" t="s">
        <v>544</v>
      </c>
      <c r="AP54" s="350"/>
      <c r="AQ54" s="350"/>
      <c r="AR54" s="350"/>
      <c r="AS54" s="1315"/>
      <c r="AT54" s="1315"/>
      <c r="AU54" s="1418"/>
      <c r="AV54" s="1315"/>
      <c r="AW54" s="1418"/>
      <c r="AX54" s="1315"/>
      <c r="AY54" s="1315"/>
      <c r="AZ54" s="1315"/>
      <c r="BA54" s="1315"/>
      <c r="BB54" s="1319"/>
      <c r="BC54" s="3733"/>
      <c r="BE54" s="434"/>
      <c r="BF54" s="434"/>
      <c r="BG54" s="434"/>
      <c r="BH54" s="434"/>
      <c r="BI54" s="1077">
        <v>11</v>
      </c>
    </row>
    <row r="55" spans="1:61" ht="11.45" customHeight="1">
      <c r="A55" s="1285" t="s">
        <v>291</v>
      </c>
      <c r="B55" s="1285"/>
      <c r="C55" s="1285"/>
      <c r="D55" s="1285"/>
      <c r="E55" s="3738"/>
      <c r="F55" s="3738"/>
      <c r="G55" s="3738"/>
      <c r="H55" s="3738"/>
      <c r="I55" s="3758"/>
      <c r="J55" s="3758"/>
      <c r="K55" s="3735"/>
      <c r="L55" s="1286"/>
      <c r="P55" s="3736"/>
      <c r="Q55" s="3736"/>
      <c r="R55" s="291"/>
      <c r="S55" s="3796"/>
      <c r="T55" s="3817"/>
      <c r="U55" s="235"/>
      <c r="V55" s="1315"/>
      <c r="W55" s="1418"/>
      <c r="X55" s="1315"/>
      <c r="Y55" s="1418"/>
      <c r="Z55" s="1315"/>
      <c r="AA55" s="1315"/>
      <c r="AB55" s="1315"/>
      <c r="AC55" s="1315"/>
      <c r="AD55" s="3677"/>
      <c r="AE55" s="3780"/>
      <c r="AF55" s="3693"/>
      <c r="AG55" s="3819"/>
      <c r="AH55" s="3599"/>
      <c r="AI55" s="229"/>
      <c r="AJ55" s="349"/>
      <c r="AK55" s="248" t="s">
        <v>545</v>
      </c>
      <c r="AL55" s="1315"/>
      <c r="AM55" s="1315"/>
      <c r="AN55" s="1315"/>
      <c r="AO55" s="1315"/>
      <c r="AP55" s="1315"/>
      <c r="AQ55" s="1315"/>
      <c r="AR55" s="1315"/>
      <c r="AS55" s="1315"/>
      <c r="AT55" s="1315"/>
      <c r="AU55" s="1418"/>
      <c r="AV55" s="1315"/>
      <c r="AW55" s="1418"/>
      <c r="AX55" s="1315"/>
      <c r="AY55" s="1315"/>
      <c r="AZ55" s="1315"/>
      <c r="BA55" s="1315"/>
      <c r="BB55" s="1319"/>
      <c r="BC55" s="3733"/>
      <c r="BE55" s="434"/>
      <c r="BF55" s="434"/>
      <c r="BG55" s="434"/>
      <c r="BH55" s="434"/>
      <c r="BI55" s="1077">
        <v>11</v>
      </c>
    </row>
    <row r="56" spans="1:61" ht="11.45" customHeight="1">
      <c r="A56" s="1285" t="s">
        <v>291</v>
      </c>
      <c r="B56" s="1285" t="s">
        <v>292</v>
      </c>
      <c r="C56" s="1285" t="s">
        <v>293</v>
      </c>
      <c r="D56" s="1285" t="s">
        <v>558</v>
      </c>
      <c r="E56" s="3738"/>
      <c r="F56" s="3738"/>
      <c r="G56" s="3738"/>
      <c r="H56" s="3738"/>
      <c r="I56" s="3758"/>
      <c r="J56" s="3758"/>
      <c r="K56" s="3735"/>
      <c r="L56" s="1286"/>
      <c r="P56" s="3736"/>
      <c r="Q56" s="3736"/>
      <c r="R56" s="291"/>
      <c r="S56" s="3797"/>
      <c r="T56" s="3818"/>
      <c r="U56" s="235"/>
      <c r="V56" s="1315"/>
      <c r="W56" s="1316" t="str">
        <f>Z52&amp;"-"&amp;AB52</f>
        <v>-</v>
      </c>
      <c r="X56" s="1315"/>
      <c r="Y56" s="1316" t="str">
        <f>AB52&amp;"-"&amp;AD52</f>
        <v>-да</v>
      </c>
      <c r="Z56" s="1315"/>
      <c r="AA56" s="1315"/>
      <c r="AB56" s="1315"/>
      <c r="AC56" s="1315"/>
      <c r="AD56" s="3604"/>
      <c r="AE56" s="247"/>
      <c r="AF56" s="249"/>
      <c r="AG56" s="350" t="s">
        <v>546</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3733"/>
      <c r="BE56" s="434"/>
      <c r="BF56" s="434" t="str">
        <f t="shared" ref="BF56:BF63" si="4">IF(T56="","",T56)</f>
        <v/>
      </c>
      <c r="BG56" s="434"/>
      <c r="BH56" s="434"/>
      <c r="BI56" s="1077">
        <v>11</v>
      </c>
    </row>
    <row r="57" spans="1:61" ht="11.45" customHeight="1">
      <c r="A57" s="1285" t="s">
        <v>291</v>
      </c>
      <c r="B57" s="1285" t="s">
        <v>292</v>
      </c>
      <c r="C57" s="1285" t="s">
        <v>293</v>
      </c>
      <c r="D57" s="1285" t="s">
        <v>558</v>
      </c>
      <c r="E57" s="3738"/>
      <c r="F57" s="3738"/>
      <c r="G57" s="3738"/>
      <c r="H57" s="3738"/>
      <c r="I57" s="3758"/>
      <c r="J57" s="3735"/>
      <c r="K57" s="1285"/>
      <c r="L57" s="1286"/>
      <c r="P57" s="3736"/>
      <c r="Q57" s="3736"/>
      <c r="R57" s="290"/>
      <c r="S57" s="1200"/>
      <c r="T57" s="222" t="s">
        <v>509</v>
      </c>
      <c r="U57" s="301"/>
      <c r="V57" s="301"/>
      <c r="W57" s="301"/>
      <c r="X57" s="301"/>
      <c r="Y57" s="301"/>
      <c r="Z57" s="301"/>
      <c r="AA57" s="301"/>
      <c r="AB57" s="301"/>
      <c r="AC57" s="259"/>
      <c r="AD57" s="1427"/>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734"/>
      <c r="BE57" s="434"/>
      <c r="BF57" s="434" t="str">
        <f t="shared" si="4"/>
        <v>Добавить строку</v>
      </c>
      <c r="BG57" s="434"/>
      <c r="BH57" s="434"/>
      <c r="BI57" s="1077">
        <v>11</v>
      </c>
    </row>
    <row r="58" spans="1:61" s="1564" customFormat="1" ht="0" hidden="1" customHeight="1">
      <c r="A58" s="1265" t="s">
        <v>291</v>
      </c>
      <c r="B58" s="1265" t="s">
        <v>292</v>
      </c>
      <c r="C58" s="1265" t="s">
        <v>293</v>
      </c>
      <c r="D58" s="1265" t="s">
        <v>558</v>
      </c>
      <c r="E58" s="3738"/>
      <c r="F58" s="3738"/>
      <c r="G58" s="3738"/>
      <c r="H58" s="3738"/>
      <c r="I58" s="3735"/>
      <c r="J58" s="1265"/>
      <c r="K58" s="1265"/>
      <c r="L58" s="1268"/>
      <c r="M58" s="444"/>
      <c r="N58" s="444"/>
      <c r="O58" s="444"/>
      <c r="P58" s="3736"/>
      <c r="Q58" s="1384"/>
      <c r="R58" s="290"/>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4"/>
      <c r="BF58" s="434" t="str">
        <f t="shared" si="4"/>
        <v/>
      </c>
      <c r="BG58" s="434"/>
      <c r="BH58" s="434"/>
      <c r="BI58" s="445">
        <v>0</v>
      </c>
    </row>
    <row r="59" spans="1:61" s="1564" customFormat="1" ht="0" hidden="1" customHeight="1">
      <c r="A59" s="1265" t="s">
        <v>291</v>
      </c>
      <c r="B59" s="1265" t="s">
        <v>292</v>
      </c>
      <c r="C59" s="1265" t="s">
        <v>293</v>
      </c>
      <c r="D59" s="1265" t="s">
        <v>558</v>
      </c>
      <c r="E59" s="3738"/>
      <c r="F59" s="3738"/>
      <c r="G59" s="3738"/>
      <c r="H59" s="3737"/>
      <c r="I59" s="1265"/>
      <c r="J59" s="1265"/>
      <c r="K59" s="1265"/>
      <c r="L59" s="1268"/>
      <c r="M59" s="1237"/>
      <c r="N59" s="1237"/>
      <c r="O59" s="452"/>
      <c r="P59" s="314"/>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4"/>
      <c r="BF59" s="434" t="str">
        <f t="shared" si="4"/>
        <v/>
      </c>
      <c r="BG59" s="434"/>
      <c r="BH59" s="434"/>
      <c r="BI59" s="445">
        <v>0</v>
      </c>
    </row>
    <row r="60" spans="1:61" s="1564" customFormat="1" ht="0" hidden="1" customHeight="1">
      <c r="A60" s="1265" t="s">
        <v>291</v>
      </c>
      <c r="B60" s="1265" t="s">
        <v>292</v>
      </c>
      <c r="C60" s="1265" t="s">
        <v>293</v>
      </c>
      <c r="D60" s="1236"/>
      <c r="E60" s="3738"/>
      <c r="F60" s="3738"/>
      <c r="G60" s="3737"/>
      <c r="H60" s="1236"/>
      <c r="I60" s="1236"/>
      <c r="J60" s="1236"/>
      <c r="K60" s="1236"/>
      <c r="L60" s="138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2">
        <v>0</v>
      </c>
    </row>
    <row r="61" spans="1:61" s="1564" customFormat="1" ht="0" hidden="1" customHeight="1">
      <c r="A61" s="1265" t="s">
        <v>291</v>
      </c>
      <c r="B61" s="1265" t="s">
        <v>292</v>
      </c>
      <c r="C61" s="1236"/>
      <c r="D61" s="1236"/>
      <c r="E61" s="3738"/>
      <c r="F61" s="3737"/>
      <c r="G61" s="1236"/>
      <c r="H61" s="1236"/>
      <c r="I61" s="1236"/>
      <c r="J61" s="1236"/>
      <c r="K61" s="1236"/>
      <c r="L61" s="1386"/>
      <c r="M61" s="1243"/>
      <c r="N61" s="1243"/>
      <c r="P61" s="1238"/>
      <c r="Q61" s="1239"/>
      <c r="R61" s="1238"/>
      <c r="S61" s="1244"/>
      <c r="T61" s="1247" t="s">
        <v>460</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2">
        <v>0</v>
      </c>
    </row>
    <row r="62" spans="1:61" s="1564" customFormat="1" ht="0" hidden="1" customHeight="1">
      <c r="A62" s="1265" t="s">
        <v>291</v>
      </c>
      <c r="B62" s="1265"/>
      <c r="C62" s="1265"/>
      <c r="D62" s="1265"/>
      <c r="E62" s="3737"/>
      <c r="F62" s="1265"/>
      <c r="G62" s="1265"/>
      <c r="H62" s="1265"/>
      <c r="I62" s="1265"/>
      <c r="J62" s="1265"/>
      <c r="K62" s="1265"/>
      <c r="L62" s="1268"/>
      <c r="M62" s="1243"/>
      <c r="N62" s="1243"/>
      <c r="O62" s="452"/>
      <c r="P62" s="314"/>
      <c r="Q62" s="1266"/>
      <c r="R62" s="314"/>
      <c r="S62" s="1244"/>
      <c r="T62" s="1247" t="s">
        <v>461</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4"/>
      <c r="BF62" s="434" t="str">
        <f t="shared" si="4"/>
        <v>Добавить территорию для дифференциации</v>
      </c>
      <c r="BG62" s="434"/>
      <c r="BH62" s="434"/>
      <c r="BI62" s="445">
        <v>0</v>
      </c>
    </row>
    <row r="63" spans="1:61" s="1564" customFormat="1" ht="0" hidden="1" customHeight="1">
      <c r="A63" s="1236"/>
      <c r="B63" s="1236"/>
      <c r="C63" s="1236"/>
      <c r="D63" s="1236"/>
      <c r="E63" s="1265"/>
      <c r="F63" s="1236"/>
      <c r="G63" s="1236"/>
      <c r="H63" s="1236"/>
      <c r="I63" s="1236"/>
      <c r="J63" s="1236"/>
      <c r="K63" s="1236"/>
      <c r="L63" s="1386"/>
      <c r="M63" s="1243"/>
      <c r="N63" s="1243"/>
      <c r="P63" s="1238"/>
      <c r="Q63" s="1239"/>
      <c r="R63" s="1238"/>
      <c r="S63" s="1244"/>
      <c r="T63" s="1247" t="s">
        <v>489</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2">
        <v>0</v>
      </c>
    </row>
    <row r="64" spans="1:61" ht="11.45" customHeight="1">
      <c r="M64" s="1082"/>
      <c r="N64" s="1082"/>
      <c r="O64" s="471"/>
      <c r="P64" s="1082"/>
      <c r="Q64" s="1082"/>
      <c r="R64" s="1077"/>
      <c r="S64" s="1077"/>
      <c r="BD64" s="1077"/>
      <c r="BE64" s="1077"/>
      <c r="BF64" s="1077"/>
      <c r="BG64" s="1077"/>
      <c r="BH64" s="1077"/>
      <c r="BI64" s="1077">
        <v>11</v>
      </c>
    </row>
    <row r="65" spans="1:61" ht="19.899999999999999" customHeight="1">
      <c r="O65" s="471"/>
      <c r="S65" s="1175"/>
      <c r="T65" s="3757"/>
      <c r="U65" s="3757"/>
      <c r="V65" s="3757"/>
      <c r="W65" s="3757"/>
      <c r="X65" s="3757"/>
      <c r="Y65" s="3757"/>
      <c r="Z65" s="3757"/>
      <c r="AA65" s="3757"/>
      <c r="AB65" s="3757"/>
      <c r="AC65" s="3757"/>
      <c r="AD65" s="3757"/>
      <c r="AE65" s="3757"/>
      <c r="AF65" s="3757"/>
      <c r="AG65" s="3757"/>
      <c r="AH65" s="3757"/>
      <c r="AI65" s="3757"/>
      <c r="AJ65" s="3757"/>
      <c r="AK65" s="3757"/>
      <c r="AL65" s="3757"/>
      <c r="AM65" s="3757"/>
      <c r="AN65" s="3757"/>
      <c r="AO65" s="3757"/>
      <c r="AP65" s="3757"/>
      <c r="AQ65" s="3757"/>
      <c r="AR65" s="3757"/>
      <c r="AS65" s="3757"/>
      <c r="AT65" s="3757"/>
      <c r="AU65" s="3757"/>
      <c r="AV65" s="3757"/>
      <c r="AW65" s="3757"/>
      <c r="AX65" s="3757"/>
      <c r="AY65" s="3757"/>
      <c r="AZ65" s="3757"/>
      <c r="BA65" s="3757"/>
      <c r="BB65" s="3757"/>
      <c r="BC65" s="3757"/>
      <c r="BI65" s="1077">
        <v>19</v>
      </c>
    </row>
    <row r="66" spans="1:61" ht="14.65" customHeight="1">
      <c r="O66" s="471"/>
      <c r="T66" s="1371"/>
      <c r="U66" s="1371"/>
      <c r="V66" s="1371"/>
      <c r="W66" s="1371"/>
      <c r="X66" s="1371"/>
      <c r="Y66" s="1371"/>
      <c r="Z66" s="1371"/>
      <c r="AA66" s="1371"/>
      <c r="AB66" s="1371"/>
      <c r="AC66" s="1371"/>
      <c r="AD66" s="1371"/>
      <c r="AE66" s="1371"/>
      <c r="AF66" s="1371"/>
      <c r="AG66" s="1371"/>
      <c r="AH66" s="1371"/>
      <c r="AI66" s="1371"/>
      <c r="AJ66" s="1371"/>
      <c r="AK66" s="1371"/>
      <c r="AL66" s="1371"/>
      <c r="AM66" s="1371"/>
      <c r="AN66" s="1371"/>
      <c r="AO66" s="1371"/>
      <c r="AP66" s="1371"/>
      <c r="AQ66" s="1371"/>
      <c r="AR66" s="1371"/>
      <c r="AS66" s="1371"/>
      <c r="AT66" s="1371"/>
      <c r="AU66" s="1371"/>
      <c r="AV66" s="1371"/>
      <c r="AW66" s="1371"/>
      <c r="AX66" s="1371"/>
      <c r="AY66" s="1371"/>
      <c r="AZ66" s="1371"/>
      <c r="BA66" s="1371"/>
      <c r="BB66" s="1371"/>
      <c r="BC66" s="1371"/>
      <c r="BI66" s="1077">
        <v>14</v>
      </c>
    </row>
    <row r="67" spans="1:61" ht="19.899999999999999" customHeight="1">
      <c r="O67" s="471"/>
      <c r="S67" s="1175"/>
      <c r="T67" s="3757"/>
      <c r="U67" s="3757"/>
      <c r="V67" s="3757"/>
      <c r="W67" s="3757"/>
      <c r="X67" s="3757"/>
      <c r="Y67" s="3757"/>
      <c r="Z67" s="3757"/>
      <c r="AA67" s="3757"/>
      <c r="AB67" s="3757"/>
      <c r="AC67" s="3757"/>
      <c r="AD67" s="3757"/>
      <c r="AE67" s="3757"/>
      <c r="AF67" s="3757"/>
      <c r="AG67" s="3757"/>
      <c r="AH67" s="3757"/>
      <c r="AI67" s="3757"/>
      <c r="AJ67" s="3757"/>
      <c r="AK67" s="3757"/>
      <c r="AL67" s="3757"/>
      <c r="AM67" s="3757"/>
      <c r="AN67" s="3757"/>
      <c r="AO67" s="3757"/>
      <c r="AP67" s="3757"/>
      <c r="AQ67" s="3757"/>
      <c r="AR67" s="3757"/>
      <c r="AS67" s="3757"/>
      <c r="AT67" s="3757"/>
      <c r="AU67" s="3757"/>
      <c r="AV67" s="3757"/>
      <c r="AW67" s="3757"/>
      <c r="AX67" s="3757"/>
      <c r="AY67" s="3757"/>
      <c r="AZ67" s="3757"/>
      <c r="BA67" s="3757"/>
      <c r="BB67" s="3757"/>
      <c r="BC67" s="3757"/>
      <c r="BI67" s="1077">
        <v>19</v>
      </c>
    </row>
    <row r="68" spans="1:61" ht="14.65" customHeight="1">
      <c r="O68" s="471"/>
      <c r="BI68" s="1077">
        <v>14</v>
      </c>
    </row>
    <row r="69" spans="1:61" ht="14.25" hidden="1" customHeight="1">
      <c r="A69" s="1082" t="s">
        <v>70</v>
      </c>
      <c r="B69" s="1082">
        <v>0</v>
      </c>
      <c r="C69" s="1082">
        <v>0</v>
      </c>
      <c r="D69" s="1082">
        <v>0</v>
      </c>
      <c r="E69" s="1082">
        <v>0</v>
      </c>
      <c r="F69" s="1082">
        <v>0</v>
      </c>
      <c r="G69" s="1082">
        <v>0</v>
      </c>
      <c r="H69" s="1082">
        <v>0</v>
      </c>
      <c r="I69" s="1082">
        <v>0</v>
      </c>
      <c r="J69" s="1082">
        <v>0</v>
      </c>
      <c r="K69" s="1082">
        <v>0</v>
      </c>
      <c r="L69" s="1383">
        <v>0</v>
      </c>
      <c r="M69" s="1284">
        <v>0</v>
      </c>
      <c r="N69" s="1284">
        <v>0</v>
      </c>
      <c r="O69" s="1284">
        <v>0</v>
      </c>
      <c r="P69" s="1284">
        <v>0</v>
      </c>
      <c r="Q69" s="1293">
        <v>0</v>
      </c>
      <c r="R69" s="279">
        <v>3</v>
      </c>
      <c r="S69" s="515">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5">
        <v>10</v>
      </c>
      <c r="BE69" s="445">
        <v>10</v>
      </c>
      <c r="BF69" s="445">
        <v>10</v>
      </c>
      <c r="BG69" s="445">
        <v>10</v>
      </c>
      <c r="BH69" s="445">
        <v>10</v>
      </c>
      <c r="BI69" s="1077">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v>
      </c>
    </row>
    <row r="2" spans="1:43" ht="23.25" hidden="1" customHeight="1">
      <c r="A2" s="1285"/>
      <c r="B2" s="1285"/>
      <c r="C2" s="1285"/>
      <c r="D2" s="1285"/>
      <c r="E2" s="3737">
        <v>1</v>
      </c>
      <c r="F2" s="1285"/>
      <c r="G2" s="1285"/>
      <c r="H2" s="1285"/>
      <c r="I2" s="1285"/>
      <c r="J2" s="1285"/>
      <c r="K2" s="1285"/>
      <c r="L2" s="1286"/>
      <c r="M2" s="1287"/>
      <c r="N2" s="1287"/>
      <c r="O2" s="1287"/>
      <c r="P2" s="295"/>
      <c r="Q2" s="294"/>
      <c r="R2" s="289"/>
      <c r="S2" s="1415" t="e">
        <f>INDEX(PT_DIFFERENTIATION_NUM_NTAR,MATCH(A2,PT_DIFFERENTIATION_NTAR_ID,0))</f>
        <v>#N/A</v>
      </c>
      <c r="T2" s="233" t="s">
        <v>176</v>
      </c>
      <c r="U2" s="235"/>
      <c r="V2" s="3723"/>
      <c r="W2" s="3724"/>
      <c r="X2" s="3724"/>
      <c r="Y2" s="3724"/>
      <c r="Z2" s="3724"/>
      <c r="AA2" s="3724"/>
      <c r="AB2" s="3725"/>
      <c r="AC2" s="3723" t="e">
        <f>INDEX(PT_DIFFERENTIATION_NTAR,MATCH(A2,PT_DIFFERENTIATION_NTAR_ID,0))</f>
        <v>#N/A</v>
      </c>
      <c r="AD2" s="3724"/>
      <c r="AE2" s="3724"/>
      <c r="AF2" s="3724"/>
      <c r="AG2" s="3724"/>
      <c r="AH2" s="3724"/>
      <c r="AI2" s="3724"/>
      <c r="AJ2" s="3725"/>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3738"/>
      <c r="F3" s="3737">
        <v>1</v>
      </c>
      <c r="G3" s="1285"/>
      <c r="H3" s="1285"/>
      <c r="I3" s="1285"/>
      <c r="J3" s="1285"/>
      <c r="K3" s="1285"/>
      <c r="L3" s="1286"/>
      <c r="M3" s="1287"/>
      <c r="N3" s="1287"/>
      <c r="O3" s="1287"/>
      <c r="P3" s="1409"/>
      <c r="Q3" s="286"/>
      <c r="R3" s="287"/>
      <c r="S3" s="1415" t="e">
        <f>INDEX(PT_DIFFERENTIATION_NUM_TER,MATCH(B3,PT_DIFFERENTIATION_TER_ID,0))</f>
        <v>#N/A</v>
      </c>
      <c r="T3" s="243" t="s">
        <v>442</v>
      </c>
      <c r="U3" s="235"/>
      <c r="V3" s="3723"/>
      <c r="W3" s="3724"/>
      <c r="X3" s="3724"/>
      <c r="Y3" s="3724"/>
      <c r="Z3" s="3724"/>
      <c r="AA3" s="3724"/>
      <c r="AB3" s="3725"/>
      <c r="AC3" s="3723" t="e">
        <f>INDEX(PT_DIFFERENTIATION_TER,MATCH(B3,PT_DIFFERENTIATION_TER_ID,0))</f>
        <v>#N/A</v>
      </c>
      <c r="AD3" s="3724"/>
      <c r="AE3" s="3724"/>
      <c r="AF3" s="3724"/>
      <c r="AG3" s="3724"/>
      <c r="AH3" s="3724"/>
      <c r="AI3" s="3724"/>
      <c r="AJ3" s="3725"/>
      <c r="AK3" s="1180" t="s">
        <v>443</v>
      </c>
      <c r="AM3" s="434"/>
      <c r="AN3" s="434" t="str">
        <f t="shared" si="0"/>
        <v>Территория действия тарифа</v>
      </c>
      <c r="AO3" s="434"/>
      <c r="AP3" s="434"/>
      <c r="AQ3" s="1077">
        <v>0</v>
      </c>
    </row>
    <row r="4" spans="1:43" ht="23.25" hidden="1" customHeight="1">
      <c r="A4" s="1285"/>
      <c r="B4" s="1285"/>
      <c r="C4" s="1285"/>
      <c r="D4" s="1285"/>
      <c r="E4" s="3738"/>
      <c r="F4" s="3738"/>
      <c r="G4" s="3737">
        <v>1</v>
      </c>
      <c r="H4" s="1285"/>
      <c r="I4" s="1285"/>
      <c r="J4" s="1285"/>
      <c r="K4" s="1285"/>
      <c r="L4" s="1286"/>
      <c r="M4" s="1287"/>
      <c r="N4" s="1287"/>
      <c r="O4" s="1287"/>
      <c r="P4" s="288"/>
      <c r="Q4" s="286"/>
      <c r="R4" s="287"/>
      <c r="S4" s="1415" t="e">
        <f>INDEX(PT_DIFFERENTIATION_NUM_CS,MATCH(C4,PT_DIFFERENTIATION_CS_ID,0))</f>
        <v>#N/A</v>
      </c>
      <c r="T4" s="244" t="s">
        <v>559</v>
      </c>
      <c r="U4" s="235"/>
      <c r="V4" s="3723"/>
      <c r="W4" s="3724"/>
      <c r="X4" s="3724"/>
      <c r="Y4" s="3724"/>
      <c r="Z4" s="3724"/>
      <c r="AA4" s="3724"/>
      <c r="AB4" s="3725"/>
      <c r="AC4" s="3723" t="e">
        <f>INDEX(PT_DIFFERENTIATION_CS,MATCH(C4,PT_DIFFERENTIATION_CS_ID,0))</f>
        <v>#N/A</v>
      </c>
      <c r="AD4" s="3724"/>
      <c r="AE4" s="3724"/>
      <c r="AF4" s="3724"/>
      <c r="AG4" s="3724"/>
      <c r="AH4" s="3724"/>
      <c r="AI4" s="3724"/>
      <c r="AJ4" s="3725"/>
      <c r="AK4" s="1180" t="s">
        <v>560</v>
      </c>
      <c r="AM4" s="434"/>
      <c r="AN4" s="434" t="str">
        <f t="shared" si="0"/>
        <v>Наименование централизованной системы водоотведения</v>
      </c>
      <c r="AO4" s="434"/>
      <c r="AP4" s="434"/>
      <c r="AQ4" s="1077">
        <v>0</v>
      </c>
    </row>
    <row r="5" spans="1:43" ht="23.25" hidden="1" customHeight="1">
      <c r="A5" s="1285"/>
      <c r="B5" s="1285"/>
      <c r="C5" s="1285"/>
      <c r="D5" s="1285"/>
      <c r="E5" s="3738"/>
      <c r="F5" s="3738"/>
      <c r="G5" s="3738"/>
      <c r="H5" s="3738"/>
      <c r="I5" s="3735" t="e">
        <f>S4&amp;".1"</f>
        <v>#N/A</v>
      </c>
      <c r="J5" s="1285"/>
      <c r="K5" s="1285"/>
      <c r="L5" s="1286"/>
      <c r="P5" s="3736">
        <v>1</v>
      </c>
      <c r="Q5" s="1403"/>
      <c r="R5" s="290"/>
      <c r="S5" s="1415" t="e">
        <f>$I5</f>
        <v>#N/A</v>
      </c>
      <c r="T5" s="220" t="s">
        <v>526</v>
      </c>
      <c r="U5" s="235"/>
      <c r="V5" s="3807"/>
      <c r="W5" s="3808"/>
      <c r="X5" s="3808"/>
      <c r="Y5" s="3808"/>
      <c r="Z5" s="3808"/>
      <c r="AA5" s="3808"/>
      <c r="AB5" s="3809"/>
      <c r="AC5" s="3810"/>
      <c r="AD5" s="3811"/>
      <c r="AE5" s="3811"/>
      <c r="AF5" s="3811"/>
      <c r="AG5" s="3811"/>
      <c r="AH5" s="3811"/>
      <c r="AI5" s="3811"/>
      <c r="AJ5" s="3812"/>
      <c r="AK5" s="1180" t="s">
        <v>527</v>
      </c>
      <c r="AM5" s="434"/>
      <c r="AN5" s="434" t="str">
        <f t="shared" si="0"/>
        <v>Наименование признака дифференциации</v>
      </c>
      <c r="AO5" s="434"/>
      <c r="AP5" s="434"/>
      <c r="AQ5" s="1077">
        <v>0</v>
      </c>
    </row>
    <row r="6" spans="1:43" ht="23.25" hidden="1" customHeight="1">
      <c r="A6" s="1285"/>
      <c r="B6" s="1285"/>
      <c r="C6" s="1285"/>
      <c r="D6" s="1285"/>
      <c r="E6" s="3738"/>
      <c r="F6" s="3738"/>
      <c r="G6" s="3738"/>
      <c r="H6" s="3738"/>
      <c r="I6" s="3758"/>
      <c r="J6" s="3735" t="e">
        <f>I5&amp;".1"</f>
        <v>#N/A</v>
      </c>
      <c r="K6" s="1285"/>
      <c r="L6" s="1286" t="s">
        <v>451</v>
      </c>
      <c r="P6" s="3736"/>
      <c r="Q6" s="3736">
        <v>1</v>
      </c>
      <c r="R6" s="291"/>
      <c r="S6" s="1415" t="e">
        <f>$J6</f>
        <v>#N/A</v>
      </c>
      <c r="T6" s="221" t="s">
        <v>452</v>
      </c>
      <c r="U6" s="235"/>
      <c r="V6" s="3726"/>
      <c r="W6" s="3727"/>
      <c r="X6" s="3727"/>
      <c r="Y6" s="3727"/>
      <c r="Z6" s="3727"/>
      <c r="AA6" s="3727"/>
      <c r="AB6" s="3728"/>
      <c r="AC6" s="3726"/>
      <c r="AD6" s="3727"/>
      <c r="AE6" s="3727"/>
      <c r="AF6" s="3727"/>
      <c r="AG6" s="3727"/>
      <c r="AH6" s="3727"/>
      <c r="AI6" s="3727"/>
      <c r="AJ6" s="3728"/>
      <c r="AK6" s="1229" t="s">
        <v>528</v>
      </c>
      <c r="AM6" s="434"/>
      <c r="AN6" s="434" t="str">
        <f t="shared" si="0"/>
        <v>Группа потребителей</v>
      </c>
      <c r="AO6" s="434"/>
      <c r="AP6" s="434"/>
      <c r="AQ6" s="1077">
        <v>0</v>
      </c>
    </row>
    <row r="7" spans="1:43" ht="23.25" hidden="1" customHeight="1">
      <c r="A7" s="1285"/>
      <c r="B7" s="1285"/>
      <c r="C7" s="1285"/>
      <c r="D7" s="1285"/>
      <c r="E7" s="3738"/>
      <c r="F7" s="3738"/>
      <c r="G7" s="3738"/>
      <c r="H7" s="3738"/>
      <c r="I7" s="3758"/>
      <c r="J7" s="3758"/>
      <c r="K7" s="3735" t="e">
        <f>J6&amp;".1"</f>
        <v>#N/A</v>
      </c>
      <c r="L7" s="1286"/>
      <c r="P7" s="3736"/>
      <c r="Q7" s="3736"/>
      <c r="R7" s="291">
        <v>1</v>
      </c>
      <c r="S7" s="1415" t="e">
        <f>$K7</f>
        <v>#N/A</v>
      </c>
      <c r="T7" s="1359"/>
      <c r="U7" s="235"/>
      <c r="V7" s="685"/>
      <c r="W7" s="685"/>
      <c r="X7" s="1179"/>
      <c r="Y7" s="3740"/>
      <c r="Z7" s="3599" t="s">
        <v>50</v>
      </c>
      <c r="AA7" s="3740"/>
      <c r="AB7" s="3599" t="s">
        <v>50</v>
      </c>
      <c r="AC7" s="685"/>
      <c r="AD7" s="685"/>
      <c r="AE7" s="1179"/>
      <c r="AF7" s="3740"/>
      <c r="AG7" s="3599" t="s">
        <v>50</v>
      </c>
      <c r="AH7" s="3759"/>
      <c r="AI7" s="3599" t="s">
        <v>50</v>
      </c>
      <c r="AJ7" s="1360"/>
      <c r="AK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3738"/>
      <c r="F8" s="3738"/>
      <c r="G8" s="3738"/>
      <c r="H8" s="3738"/>
      <c r="I8" s="3758"/>
      <c r="J8" s="3758"/>
      <c r="K8" s="3735"/>
      <c r="L8" s="1286"/>
      <c r="P8" s="3736"/>
      <c r="Q8" s="3736"/>
      <c r="R8" s="291"/>
      <c r="S8" s="1412"/>
      <c r="T8" s="235"/>
      <c r="U8" s="235"/>
      <c r="V8" s="260"/>
      <c r="W8" s="260"/>
      <c r="X8" s="263" t="str">
        <f>Y7&amp;"-"&amp;AA7</f>
        <v>-</v>
      </c>
      <c r="Y8" s="3741"/>
      <c r="Z8" s="3599"/>
      <c r="AA8" s="3741"/>
      <c r="AB8" s="3599"/>
      <c r="AC8" s="260"/>
      <c r="AD8" s="260"/>
      <c r="AE8" s="263" t="str">
        <f>AF7&amp;"-"&amp;AH7</f>
        <v>-</v>
      </c>
      <c r="AF8" s="3741"/>
      <c r="AG8" s="3599"/>
      <c r="AH8" s="3760"/>
      <c r="AI8" s="3599"/>
      <c r="AJ8" s="1361"/>
      <c r="AK8" s="3806"/>
      <c r="AM8" s="434"/>
      <c r="AN8" s="434" t="str">
        <f t="shared" si="0"/>
        <v/>
      </c>
      <c r="AO8" s="434"/>
      <c r="AP8" s="434"/>
      <c r="AQ8" s="1077">
        <v>0</v>
      </c>
    </row>
    <row r="9" spans="1:43" ht="21" hidden="1" customHeight="1">
      <c r="A9" s="1285"/>
      <c r="B9" s="1285"/>
      <c r="C9" s="1285"/>
      <c r="D9" s="1285"/>
      <c r="E9" s="3738"/>
      <c r="F9" s="3738"/>
      <c r="G9" s="3738"/>
      <c r="H9" s="3738"/>
      <c r="I9" s="3758"/>
      <c r="J9" s="3735"/>
      <c r="K9" s="1285"/>
      <c r="L9" s="1286"/>
      <c r="P9" s="3736"/>
      <c r="Q9" s="3736"/>
      <c r="R9" s="290"/>
      <c r="S9" s="1200"/>
      <c r="T9" s="222" t="s">
        <v>529</v>
      </c>
      <c r="U9" s="301"/>
      <c r="V9" s="301"/>
      <c r="W9" s="301"/>
      <c r="X9" s="301"/>
      <c r="Y9" s="301"/>
      <c r="Z9" s="301"/>
      <c r="AA9" s="301"/>
      <c r="AB9" s="301"/>
      <c r="AC9" s="301"/>
      <c r="AD9" s="301"/>
      <c r="AE9" s="301"/>
      <c r="AF9" s="301"/>
      <c r="AG9" s="301"/>
      <c r="AH9" s="301"/>
      <c r="AI9" s="301"/>
      <c r="AJ9" s="301"/>
      <c r="AK9" s="1180" t="s">
        <v>530</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3738"/>
      <c r="F10" s="3738"/>
      <c r="G10" s="3738"/>
      <c r="H10" s="3738"/>
      <c r="I10" s="3735"/>
      <c r="J10" s="1285"/>
      <c r="K10" s="1285"/>
      <c r="L10" s="1286"/>
      <c r="P10" s="3736"/>
      <c r="Q10" s="1403"/>
      <c r="R10" s="290"/>
      <c r="S10" s="1200"/>
      <c r="T10" s="299" t="s">
        <v>457</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3738"/>
      <c r="F12" s="3737"/>
      <c r="G12" s="1236"/>
      <c r="H12" s="1236"/>
      <c r="I12" s="1236"/>
      <c r="J12" s="1236"/>
      <c r="K12" s="1236"/>
      <c r="L12" s="1416"/>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3742"/>
      <c r="AG15" s="3743" t="s">
        <v>50</v>
      </c>
      <c r="AH15" s="3742"/>
      <c r="AI15" s="3743" t="s">
        <v>50</v>
      </c>
      <c r="AQ15" s="1077">
        <v>0</v>
      </c>
    </row>
    <row r="16" spans="1:43" ht="14.25" hidden="1" customHeight="1">
      <c r="AC16" s="1282"/>
      <c r="AD16" s="1282"/>
      <c r="AE16" s="263" t="str">
        <f>AF15&amp;"-"&amp;AH15</f>
        <v>-</v>
      </c>
      <c r="AF16" s="3743"/>
      <c r="AG16" s="3743"/>
      <c r="AH16" s="3743"/>
      <c r="AI16" s="3743"/>
      <c r="AQ16" s="1077">
        <v>0</v>
      </c>
    </row>
    <row r="17" spans="1:43" ht="14.25" hidden="1" customHeight="1">
      <c r="AI17" s="262"/>
      <c r="AQ17" s="1077">
        <v>0</v>
      </c>
    </row>
    <row r="18" spans="1:43" s="1288" customFormat="1" ht="22.5" hidden="1" customHeight="1">
      <c r="L18" s="1400"/>
      <c r="M18" s="1284"/>
      <c r="N18" s="1284"/>
      <c r="O18" s="1289" t="s">
        <v>462</v>
      </c>
      <c r="P18" s="1284"/>
      <c r="Q18" s="1293"/>
      <c r="R18" s="1293"/>
      <c r="S18" s="663"/>
      <c r="Y18" s="1289"/>
      <c r="AA18" s="1289"/>
      <c r="AF18" s="1289"/>
      <c r="AH18" s="1289"/>
      <c r="AL18" s="445"/>
      <c r="AM18" s="445"/>
      <c r="AN18" s="445"/>
      <c r="AO18" s="445"/>
      <c r="AP18" s="445"/>
      <c r="AQ18" s="1082">
        <v>0</v>
      </c>
    </row>
    <row r="19" spans="1:43" s="1288" customFormat="1" ht="14.25" hidden="1" customHeight="1">
      <c r="L19" s="1400"/>
      <c r="M19" s="1284"/>
      <c r="N19" s="1284"/>
      <c r="O19" s="1284"/>
      <c r="P19" s="1284"/>
      <c r="Q19" s="1293"/>
      <c r="R19" s="1293"/>
      <c r="S19" s="663"/>
      <c r="AL19" s="445"/>
      <c r="AM19" s="445"/>
      <c r="AN19" s="445"/>
      <c r="AO19" s="445"/>
      <c r="AP19" s="445"/>
      <c r="AQ19" s="1082">
        <v>0</v>
      </c>
    </row>
    <row r="20" spans="1:43" s="1288" customFormat="1" ht="12" hidden="1" customHeight="1">
      <c r="L20" s="1400"/>
      <c r="M20" s="1284"/>
      <c r="N20" s="1284"/>
      <c r="O20" s="1286" t="s">
        <v>463</v>
      </c>
      <c r="P20" s="1284"/>
      <c r="Q20" s="1364"/>
      <c r="R20" s="1364"/>
      <c r="S20" s="663"/>
      <c r="T20" s="1082" t="s">
        <v>464</v>
      </c>
      <c r="Z20" s="121" t="s">
        <v>465</v>
      </c>
      <c r="AB20" s="121" t="s">
        <v>466</v>
      </c>
      <c r="AC20" s="1082" t="s">
        <v>464</v>
      </c>
      <c r="AG20" s="121" t="s">
        <v>467</v>
      </c>
      <c r="AI20" s="121" t="s">
        <v>466</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37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721"/>
      <c r="U24" s="3721"/>
      <c r="V24" s="3721"/>
      <c r="W24" s="3721"/>
      <c r="X24" s="3721"/>
      <c r="Y24" s="3721"/>
      <c r="Z24" s="3721"/>
      <c r="AA24" s="3721"/>
      <c r="AB24" s="3721"/>
      <c r="AC24" s="3721"/>
      <c r="AD24" s="3721"/>
      <c r="AE24" s="3721"/>
      <c r="AF24" s="3721"/>
      <c r="AG24" s="3721"/>
      <c r="AH24" s="3721"/>
      <c r="AI24" s="1165"/>
      <c r="AQ24" s="1077">
        <v>14</v>
      </c>
    </row>
    <row r="25" spans="1:43"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261"/>
      <c r="AC27" s="3730" t="str">
        <f>IF(TITLE_NAME_OR_PR_CHANGE="",IF(TITLE_NAME_OR_PR="","",TITLE_NAME_OR_PR),TITLE_NAME_OR_PR_CHANGE)</f>
        <v/>
      </c>
      <c r="AD27" s="3730"/>
      <c r="AE27" s="3730"/>
      <c r="AF27" s="3730"/>
      <c r="AG27" s="3730"/>
      <c r="AH27" s="3730"/>
      <c r="AI27" s="261"/>
      <c r="AJ27" s="261"/>
      <c r="AK27" s="215"/>
      <c r="AL27" s="302"/>
      <c r="AM27" s="302"/>
      <c r="AN27" s="302"/>
      <c r="AO27" s="302"/>
      <c r="AP27" s="302"/>
      <c r="AQ27" s="352">
        <v>0</v>
      </c>
    </row>
    <row r="28" spans="1:43"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261"/>
      <c r="AC28" s="3739" t="str">
        <f>IF(TITLE_DATE_PR_CHANGE="",IF(TITLE_DATE_PR="","",TITLE_DATE_PR),TITLE_DATE_PR_CHANGE)</f>
        <v/>
      </c>
      <c r="AD28" s="3739"/>
      <c r="AE28" s="3739"/>
      <c r="AF28" s="3739"/>
      <c r="AG28" s="3739"/>
      <c r="AH28" s="3739"/>
      <c r="AI28" s="261"/>
      <c r="AJ28" s="261"/>
      <c r="AK28" s="215"/>
      <c r="AL28" s="302"/>
      <c r="AM28" s="302"/>
      <c r="AN28" s="302"/>
      <c r="AO28" s="302"/>
      <c r="AP28" s="302"/>
      <c r="AQ28" s="352">
        <v>0</v>
      </c>
    </row>
    <row r="29" spans="1:43"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261"/>
      <c r="AC29" s="3730" t="str">
        <f>IF(TITLE_NUMBER_PR_CHANGE="",IF(TITLE_NUMBER_PR="","",TITLE_NUMBER_PR),TITLE_NUMBER_PR_CHANGE)</f>
        <v/>
      </c>
      <c r="AD29" s="3730"/>
      <c r="AE29" s="3730"/>
      <c r="AF29" s="3730"/>
      <c r="AG29" s="3730"/>
      <c r="AH29" s="3730"/>
      <c r="AI29" s="261"/>
      <c r="AJ29" s="261"/>
      <c r="AK29" s="215"/>
      <c r="AL29" s="302"/>
      <c r="AM29" s="302"/>
      <c r="AN29" s="302"/>
      <c r="AO29" s="302"/>
      <c r="AP29" s="302"/>
      <c r="AQ29" s="352">
        <v>0</v>
      </c>
    </row>
    <row r="30" spans="1:43"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261"/>
      <c r="AC30" s="3730" t="str">
        <f>IF(TITLE_IST_PUB_CHANGE="",IF(TITLE_IST_PUB="","",TITLE_IST_PUB),TITLE_IST_PUB_CHANGE)</f>
        <v/>
      </c>
      <c r="AD30" s="3730"/>
      <c r="AE30" s="3730"/>
      <c r="AF30" s="3730"/>
      <c r="AG30" s="3730"/>
      <c r="AH30" s="3730"/>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261"/>
      <c r="AC32" s="3739" t="str">
        <f>IF(TITLE_DATE_PR_CHANGE="",IF(TITLE_DATE_PR="","",TITLE_DATE_PR),TITLE_DATE_PR_CHANGE)</f>
        <v/>
      </c>
      <c r="AD32" s="3739"/>
      <c r="AE32" s="3739"/>
      <c r="AF32" s="3739"/>
      <c r="AG32" s="3739"/>
      <c r="AH32" s="3739"/>
      <c r="AI32" s="261"/>
      <c r="AJ32" s="261"/>
      <c r="AK32" s="215"/>
      <c r="AL32" s="302"/>
      <c r="AM32" s="302"/>
      <c r="AN32" s="302"/>
      <c r="AO32" s="302"/>
      <c r="AP32" s="302"/>
      <c r="AQ32" s="352">
        <v>0</v>
      </c>
    </row>
    <row r="33" spans="1:43"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261"/>
      <c r="AC33" s="3730" t="str">
        <f>IF(TITLE_NUMBER_PR_CHANGE="",IF(TITLE_NUMBER_PR="","",TITLE_NUMBER_PR),TITLE_NUMBER_PR_CHANGE)</f>
        <v/>
      </c>
      <c r="AD33" s="3730"/>
      <c r="AE33" s="3730"/>
      <c r="AF33" s="3730"/>
      <c r="AG33" s="3730"/>
      <c r="AH33" s="3730"/>
      <c r="AI33" s="261"/>
      <c r="AJ33" s="261"/>
      <c r="AK33" s="215"/>
      <c r="AL33" s="302"/>
      <c r="AM33" s="302"/>
      <c r="AN33" s="302"/>
      <c r="AO33" s="302"/>
      <c r="AP33" s="302"/>
      <c r="AQ33" s="352">
        <v>0</v>
      </c>
    </row>
    <row r="34" spans="1:43"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261"/>
      <c r="X34" s="261"/>
      <c r="Y34" s="261"/>
      <c r="Z34" s="261"/>
      <c r="AA34" s="261"/>
      <c r="AB34" s="213" t="s">
        <v>468</v>
      </c>
      <c r="AC34" s="261"/>
      <c r="AD34" s="261"/>
      <c r="AE34" s="261"/>
      <c r="AF34" s="261"/>
      <c r="AG34" s="261"/>
      <c r="AH34" s="261"/>
      <c r="AI34" s="213" t="s">
        <v>468</v>
      </c>
      <c r="AL34" s="302"/>
      <c r="AM34" s="302"/>
      <c r="AN34" s="302"/>
      <c r="AO34" s="302"/>
      <c r="AP34" s="302"/>
      <c r="AQ34" s="352">
        <v>1</v>
      </c>
    </row>
    <row r="35" spans="1:43" ht="14.65" customHeight="1">
      <c r="Q35" s="310"/>
      <c r="R35" s="310"/>
      <c r="S35" s="1197"/>
      <c r="T35" s="297"/>
      <c r="U35" s="1166"/>
      <c r="V35" s="3731"/>
      <c r="W35" s="3731"/>
      <c r="X35" s="3731"/>
      <c r="Y35" s="3731"/>
      <c r="Z35" s="3731"/>
      <c r="AA35" s="3731"/>
      <c r="AB35" s="3731"/>
      <c r="AC35" s="3731"/>
      <c r="AD35" s="3731"/>
      <c r="AE35" s="3731"/>
      <c r="AF35" s="3731"/>
      <c r="AG35" s="3731"/>
      <c r="AH35" s="3731"/>
      <c r="AI35" s="3731"/>
      <c r="AQ35" s="1077">
        <v>14</v>
      </c>
    </row>
    <row r="36" spans="1:43"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t="s">
        <v>346</v>
      </c>
      <c r="AQ36" s="1077">
        <v>14</v>
      </c>
    </row>
    <row r="37" spans="1:43" ht="14.65" customHeight="1">
      <c r="Q37" s="310"/>
      <c r="R37" s="310"/>
      <c r="S37" s="3745" t="s">
        <v>76</v>
      </c>
      <c r="T37" s="3697" t="s">
        <v>469</v>
      </c>
      <c r="U37" s="236"/>
      <c r="V37" s="3746" t="s">
        <v>470</v>
      </c>
      <c r="W37" s="3747"/>
      <c r="X37" s="3747"/>
      <c r="Y37" s="3747"/>
      <c r="Z37" s="3747"/>
      <c r="AA37" s="3748"/>
      <c r="AB37" s="3749" t="s">
        <v>471</v>
      </c>
      <c r="AC37" s="3746" t="s">
        <v>470</v>
      </c>
      <c r="AD37" s="3747"/>
      <c r="AE37" s="3747"/>
      <c r="AF37" s="3747"/>
      <c r="AG37" s="3747"/>
      <c r="AH37" s="3748"/>
      <c r="AI37" s="3749" t="s">
        <v>472</v>
      </c>
      <c r="AJ37" s="3752" t="s">
        <v>473</v>
      </c>
      <c r="AK37" s="3618"/>
      <c r="AQ37" s="1077">
        <v>14</v>
      </c>
    </row>
    <row r="38" spans="1:43" ht="35.65" customHeight="1">
      <c r="Q38" s="310"/>
      <c r="R38" s="310"/>
      <c r="S38" s="3745"/>
      <c r="T38" s="3697"/>
      <c r="U38" s="957"/>
      <c r="V38" s="1405" t="s">
        <v>532</v>
      </c>
      <c r="W38" s="3589" t="s">
        <v>476</v>
      </c>
      <c r="X38" s="3588"/>
      <c r="Y38" s="3589" t="s">
        <v>477</v>
      </c>
      <c r="Z38" s="3595"/>
      <c r="AA38" s="3588"/>
      <c r="AB38" s="3750"/>
      <c r="AC38" s="1405" t="s">
        <v>532</v>
      </c>
      <c r="AD38" s="3589" t="s">
        <v>476</v>
      </c>
      <c r="AE38" s="3588"/>
      <c r="AF38" s="3589" t="s">
        <v>477</v>
      </c>
      <c r="AG38" s="3595"/>
      <c r="AH38" s="3588"/>
      <c r="AI38" s="3750"/>
      <c r="AJ38" s="3753"/>
      <c r="AK38" s="3618"/>
      <c r="AQ38" s="1077">
        <v>34</v>
      </c>
    </row>
    <row r="39" spans="1:43" ht="90.4" customHeight="1">
      <c r="A39" s="1292"/>
      <c r="B39" s="1292" t="s">
        <v>188</v>
      </c>
      <c r="C39" s="1292" t="s">
        <v>189</v>
      </c>
      <c r="D39" s="1292" t="s">
        <v>190</v>
      </c>
      <c r="E39" s="1286" t="s">
        <v>478</v>
      </c>
      <c r="F39" s="1286" t="s">
        <v>479</v>
      </c>
      <c r="G39" s="1286" t="s">
        <v>480</v>
      </c>
      <c r="H39" s="1286"/>
      <c r="I39" s="1286" t="s">
        <v>533</v>
      </c>
      <c r="J39" s="1286" t="s">
        <v>483</v>
      </c>
      <c r="K39" s="1286" t="s">
        <v>534</v>
      </c>
      <c r="L39" s="1286" t="s">
        <v>463</v>
      </c>
      <c r="Q39" s="310"/>
      <c r="R39" s="310"/>
      <c r="S39" s="3745"/>
      <c r="T39" s="3697"/>
      <c r="U39" s="237"/>
      <c r="V39" s="1405" t="s">
        <v>561</v>
      </c>
      <c r="W39" s="1144" t="s">
        <v>562</v>
      </c>
      <c r="X39" s="1144" t="s">
        <v>537</v>
      </c>
      <c r="Y39" s="1411" t="s">
        <v>487</v>
      </c>
      <c r="Z39" s="3705" t="s">
        <v>488</v>
      </c>
      <c r="AA39" s="3707"/>
      <c r="AB39" s="3751"/>
      <c r="AC39" s="1405" t="s">
        <v>561</v>
      </c>
      <c r="AD39" s="1144" t="s">
        <v>562</v>
      </c>
      <c r="AE39" s="1144" t="s">
        <v>537</v>
      </c>
      <c r="AF39" s="1411" t="s">
        <v>487</v>
      </c>
      <c r="AG39" s="3705" t="s">
        <v>488</v>
      </c>
      <c r="AH39" s="3707"/>
      <c r="AI39" s="3751"/>
      <c r="AJ39" s="3754"/>
      <c r="AK39" s="3618"/>
      <c r="AQ39" s="1077">
        <v>86</v>
      </c>
    </row>
    <row r="40" spans="1:43" s="1563" customFormat="1" ht="11.25"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164</v>
      </c>
      <c r="T40" s="1177" t="s">
        <v>89</v>
      </c>
      <c r="U40" s="1167" t="str">
        <f ca="1">OFFSET(U40,0,-1)</f>
        <v>2</v>
      </c>
      <c r="V40" s="1404">
        <f ca="1">OFFSET(V40,0,-1)+1</f>
        <v>3</v>
      </c>
      <c r="W40" s="1404">
        <f ca="1">OFFSET(W40,0,-1)+1</f>
        <v>4</v>
      </c>
      <c r="X40" s="1404">
        <f ca="1">OFFSET(X40,0,-1)+1</f>
        <v>5</v>
      </c>
      <c r="Y40" s="1404">
        <f ca="1">OFFSET(Y40,0,-1)+1</f>
        <v>6</v>
      </c>
      <c r="Z40" s="3744">
        <f ca="1">OFFSET(Z40,0,-1)+1</f>
        <v>7</v>
      </c>
      <c r="AA40" s="3744"/>
      <c r="AB40" s="1404">
        <f ca="1">OFFSET(AB40,0,-2)+1</f>
        <v>8</v>
      </c>
      <c r="AC40" s="1404">
        <f ca="1">OFFSET(AC40,0,-1)+1</f>
        <v>9</v>
      </c>
      <c r="AD40" s="1404">
        <f ca="1">OFFSET(AD40,0,-1)+1</f>
        <v>10</v>
      </c>
      <c r="AE40" s="1404">
        <f ca="1">OFFSET(AE40,0,-1)+1</f>
        <v>11</v>
      </c>
      <c r="AF40" s="1404">
        <f ca="1">OFFSET(AF40,0,-1)+1</f>
        <v>12</v>
      </c>
      <c r="AG40" s="3744">
        <f ca="1">OFFSET(AG40,0,-1)+1</f>
        <v>13</v>
      </c>
      <c r="AH40" s="3744"/>
      <c r="AI40" s="1404">
        <f ca="1">OFFSET(AI40,0,-2)+1</f>
        <v>14</v>
      </c>
      <c r="AJ40" s="1167">
        <f ca="1">OFFSET(AJ40,0,-1)</f>
        <v>14</v>
      </c>
      <c r="AK40" s="1404">
        <f ca="1">OFFSET(AK40,0,-1)+1</f>
        <v>15</v>
      </c>
      <c r="AL40" s="445"/>
      <c r="AM40" s="445"/>
      <c r="AN40" s="445"/>
      <c r="AO40" s="445"/>
      <c r="AP40" s="445"/>
      <c r="AQ40" s="430">
        <v>0</v>
      </c>
    </row>
    <row r="41" spans="1:43" ht="24" customHeight="1">
      <c r="A41" s="1285" t="s">
        <v>311</v>
      </c>
      <c r="B41" s="1285"/>
      <c r="C41" s="1285"/>
      <c r="D41" s="1285"/>
      <c r="E41" s="3737">
        <v>1</v>
      </c>
      <c r="F41" s="1285"/>
      <c r="G41" s="1285"/>
      <c r="H41" s="1285"/>
      <c r="I41" s="1285"/>
      <c r="J41" s="1285"/>
      <c r="K41" s="1285"/>
      <c r="L41" s="1286"/>
      <c r="M41" s="1287"/>
      <c r="N41" s="1287"/>
      <c r="O41" s="1287"/>
      <c r="P41" s="295"/>
      <c r="Q41" s="294"/>
      <c r="R41" s="289"/>
      <c r="S41" s="1415">
        <f>INDEX(PT_DIFFERENTIATION_NUM_NTAR,MATCH(A41,PT_DIFFERENTIATION_NTAR_ID,0))</f>
        <v>0</v>
      </c>
      <c r="T41" s="233" t="s">
        <v>176</v>
      </c>
      <c r="U41" s="235"/>
      <c r="V41" s="3723"/>
      <c r="W41" s="3724"/>
      <c r="X41" s="3724"/>
      <c r="Y41" s="3724"/>
      <c r="Z41" s="3724"/>
      <c r="AA41" s="3724"/>
      <c r="AB41" s="3725"/>
      <c r="AC41" s="3723" t="str">
        <f>INDEX(PT_DIFFERENTIATION_NTAR,MATCH(A41,PT_DIFFERENTIATION_NTAR_ID,0))</f>
        <v/>
      </c>
      <c r="AD41" s="3724"/>
      <c r="AE41" s="3724"/>
      <c r="AF41" s="3724"/>
      <c r="AG41" s="3724"/>
      <c r="AH41" s="3724"/>
      <c r="AI41" s="3724"/>
      <c r="AJ41" s="3725"/>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311</v>
      </c>
      <c r="B42" s="1285" t="s">
        <v>312</v>
      </c>
      <c r="C42" s="1285"/>
      <c r="D42" s="1285"/>
      <c r="E42" s="3738"/>
      <c r="F42" s="3737">
        <v>1</v>
      </c>
      <c r="G42" s="1285"/>
      <c r="H42" s="1285"/>
      <c r="I42" s="1285"/>
      <c r="J42" s="1285"/>
      <c r="K42" s="1285"/>
      <c r="L42" s="1286"/>
      <c r="M42" s="1287"/>
      <c r="N42" s="1287"/>
      <c r="O42" s="1287"/>
      <c r="P42" s="1409"/>
      <c r="Q42" s="286"/>
      <c r="R42" s="287"/>
      <c r="S42" s="1415" t="str">
        <f>INDEX(PT_DIFFERENTIATION_NUM_TER,MATCH(B42,PT_DIFFERENTIATION_TER_ID,0))</f>
        <v>.</v>
      </c>
      <c r="T42" s="243" t="s">
        <v>442</v>
      </c>
      <c r="U42" s="235"/>
      <c r="V42" s="3723"/>
      <c r="W42" s="3724"/>
      <c r="X42" s="3724"/>
      <c r="Y42" s="3724"/>
      <c r="Z42" s="3724"/>
      <c r="AA42" s="3724"/>
      <c r="AB42" s="3725"/>
      <c r="AC42" s="3723" t="str">
        <f>INDEX(PT_DIFFERENTIATION_TER,MATCH(B42,PT_DIFFERENTIATION_TER_ID,0))</f>
        <v/>
      </c>
      <c r="AD42" s="3724"/>
      <c r="AE42" s="3724"/>
      <c r="AF42" s="3724"/>
      <c r="AG42" s="3724"/>
      <c r="AH42" s="3724"/>
      <c r="AI42" s="3724"/>
      <c r="AJ42" s="3725"/>
      <c r="AK42" s="1180" t="s">
        <v>443</v>
      </c>
      <c r="AM42" s="434"/>
      <c r="AN42" s="434" t="str">
        <f t="shared" si="1"/>
        <v>Территория действия тарифа</v>
      </c>
      <c r="AO42" s="434"/>
      <c r="AP42" s="434"/>
      <c r="AQ42" s="1077">
        <v>23</v>
      </c>
    </row>
    <row r="43" spans="1:43" ht="24" customHeight="1">
      <c r="A43" s="1285" t="s">
        <v>311</v>
      </c>
      <c r="B43" s="1285" t="s">
        <v>312</v>
      </c>
      <c r="C43" s="1285" t="s">
        <v>313</v>
      </c>
      <c r="D43" s="1285"/>
      <c r="E43" s="3738"/>
      <c r="F43" s="3738"/>
      <c r="G43" s="3737">
        <v>1</v>
      </c>
      <c r="H43" s="1285"/>
      <c r="I43" s="1285"/>
      <c r="J43" s="1285"/>
      <c r="K43" s="1285"/>
      <c r="L43" s="1286"/>
      <c r="M43" s="1287"/>
      <c r="N43" s="1287"/>
      <c r="O43" s="1287"/>
      <c r="P43" s="288"/>
      <c r="Q43" s="286"/>
      <c r="R43" s="287"/>
      <c r="S43" s="1415" t="str">
        <f>INDEX(PT_DIFFERENTIATION_NUM_CS,MATCH(C43,PT_DIFFERENTIATION_CS_ID,0))</f>
        <v>..</v>
      </c>
      <c r="T43" s="244" t="s">
        <v>559</v>
      </c>
      <c r="U43" s="235"/>
      <c r="V43" s="3723"/>
      <c r="W43" s="3724"/>
      <c r="X43" s="3724"/>
      <c r="Y43" s="3724"/>
      <c r="Z43" s="3724"/>
      <c r="AA43" s="3724"/>
      <c r="AB43" s="3725"/>
      <c r="AC43" s="3723" t="str">
        <f>INDEX(PT_DIFFERENTIATION_CS,MATCH(C43,PT_DIFFERENTIATION_CS_ID,0))</f>
        <v/>
      </c>
      <c r="AD43" s="3724"/>
      <c r="AE43" s="3724"/>
      <c r="AF43" s="3724"/>
      <c r="AG43" s="3724"/>
      <c r="AH43" s="3724"/>
      <c r="AI43" s="3724"/>
      <c r="AJ43" s="3725"/>
      <c r="AK43" s="1180" t="s">
        <v>560</v>
      </c>
      <c r="AM43" s="434"/>
      <c r="AN43" s="434" t="str">
        <f t="shared" si="1"/>
        <v>Наименование централизованной системы водоотведения</v>
      </c>
      <c r="AO43" s="434"/>
      <c r="AP43" s="434"/>
      <c r="AQ43" s="1077">
        <v>23</v>
      </c>
    </row>
    <row r="44" spans="1:43" ht="24" customHeight="1">
      <c r="A44" s="1285" t="s">
        <v>311</v>
      </c>
      <c r="B44" s="1285" t="s">
        <v>312</v>
      </c>
      <c r="C44" s="1285" t="s">
        <v>313</v>
      </c>
      <c r="D44" s="1285" t="s">
        <v>563</v>
      </c>
      <c r="E44" s="3738"/>
      <c r="F44" s="3738"/>
      <c r="G44" s="3738"/>
      <c r="H44" s="3738"/>
      <c r="I44" s="3735" t="str">
        <f>S43&amp;".1"</f>
        <v>...1</v>
      </c>
      <c r="J44" s="1285"/>
      <c r="K44" s="1285"/>
      <c r="L44" s="1286"/>
      <c r="P44" s="3736">
        <v>1</v>
      </c>
      <c r="Q44" s="1403"/>
      <c r="R44" s="290"/>
      <c r="S44" s="1415" t="str">
        <f>$I44</f>
        <v>...1</v>
      </c>
      <c r="T44" s="220" t="s">
        <v>526</v>
      </c>
      <c r="U44" s="235"/>
      <c r="V44" s="3807"/>
      <c r="W44" s="3808"/>
      <c r="X44" s="3808"/>
      <c r="Y44" s="3808"/>
      <c r="Z44" s="3808"/>
      <c r="AA44" s="3808"/>
      <c r="AB44" s="3809"/>
      <c r="AC44" s="3810"/>
      <c r="AD44" s="3811"/>
      <c r="AE44" s="3811"/>
      <c r="AF44" s="3811"/>
      <c r="AG44" s="3811"/>
      <c r="AH44" s="3811"/>
      <c r="AI44" s="3811"/>
      <c r="AJ44" s="3812"/>
      <c r="AK44" s="1180" t="s">
        <v>527</v>
      </c>
      <c r="AM44" s="434"/>
      <c r="AN44" s="434" t="str">
        <f t="shared" si="1"/>
        <v>Наименование признака дифференциации</v>
      </c>
      <c r="AO44" s="434"/>
      <c r="AP44" s="434"/>
      <c r="AQ44" s="1077">
        <v>23</v>
      </c>
    </row>
    <row r="45" spans="1:43" ht="24" customHeight="1">
      <c r="A45" s="1285" t="s">
        <v>311</v>
      </c>
      <c r="B45" s="1285" t="s">
        <v>312</v>
      </c>
      <c r="C45" s="1285" t="s">
        <v>313</v>
      </c>
      <c r="D45" s="1285" t="s">
        <v>563</v>
      </c>
      <c r="E45" s="3738"/>
      <c r="F45" s="3738"/>
      <c r="G45" s="3738"/>
      <c r="H45" s="3738"/>
      <c r="I45" s="3758"/>
      <c r="J45" s="3735" t="str">
        <f>I44&amp;".1"</f>
        <v>...1.1</v>
      </c>
      <c r="K45" s="1285"/>
      <c r="L45" s="1286" t="s">
        <v>451</v>
      </c>
      <c r="P45" s="3736"/>
      <c r="Q45" s="3736">
        <v>1</v>
      </c>
      <c r="R45" s="291"/>
      <c r="S45" s="1415" t="str">
        <f>$J45</f>
        <v>...1.1</v>
      </c>
      <c r="T45" s="221" t="s">
        <v>452</v>
      </c>
      <c r="U45" s="235"/>
      <c r="V45" s="3726"/>
      <c r="W45" s="3727"/>
      <c r="X45" s="3727"/>
      <c r="Y45" s="3727"/>
      <c r="Z45" s="3727"/>
      <c r="AA45" s="3727"/>
      <c r="AB45" s="3728"/>
      <c r="AC45" s="3726"/>
      <c r="AD45" s="3727"/>
      <c r="AE45" s="3727"/>
      <c r="AF45" s="3727"/>
      <c r="AG45" s="3727"/>
      <c r="AH45" s="3727"/>
      <c r="AI45" s="3727"/>
      <c r="AJ45" s="3728"/>
      <c r="AK45" s="1229" t="s">
        <v>528</v>
      </c>
      <c r="AM45" s="434"/>
      <c r="AN45" s="434" t="str">
        <f t="shared" si="1"/>
        <v>Группа потребителей</v>
      </c>
      <c r="AO45" s="434"/>
      <c r="AP45" s="434"/>
      <c r="AQ45" s="1077">
        <v>23</v>
      </c>
    </row>
    <row r="46" spans="1:43" ht="24" customHeight="1">
      <c r="A46" s="1285" t="s">
        <v>311</v>
      </c>
      <c r="B46" s="1285" t="s">
        <v>312</v>
      </c>
      <c r="C46" s="1285" t="s">
        <v>313</v>
      </c>
      <c r="D46" s="1285" t="s">
        <v>563</v>
      </c>
      <c r="E46" s="3738"/>
      <c r="F46" s="3738"/>
      <c r="G46" s="3738"/>
      <c r="H46" s="3738"/>
      <c r="I46" s="3758"/>
      <c r="J46" s="3758"/>
      <c r="K46" s="3735" t="str">
        <f>J45&amp;".1"</f>
        <v>...1.1.1</v>
      </c>
      <c r="L46" s="1286"/>
      <c r="P46" s="3736"/>
      <c r="Q46" s="3736"/>
      <c r="R46" s="291">
        <v>1</v>
      </c>
      <c r="S46" s="1415" t="str">
        <f>$K46</f>
        <v>...1.1.1</v>
      </c>
      <c r="T46" s="1359"/>
      <c r="U46" s="235"/>
      <c r="V46" s="1282"/>
      <c r="W46" s="1282"/>
      <c r="X46" s="1283"/>
      <c r="Y46" s="3742"/>
      <c r="Z46" s="3743" t="s">
        <v>50</v>
      </c>
      <c r="AA46" s="3742"/>
      <c r="AB46" s="3743" t="s">
        <v>50</v>
      </c>
      <c r="AC46" s="685"/>
      <c r="AD46" s="685"/>
      <c r="AE46" s="1179"/>
      <c r="AF46" s="3740"/>
      <c r="AG46" s="3599" t="s">
        <v>50</v>
      </c>
      <c r="AH46" s="3759"/>
      <c r="AI46" s="3599" t="s">
        <v>6</v>
      </c>
      <c r="AJ46" s="1360"/>
      <c r="AK46"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311</v>
      </c>
      <c r="B47" s="1285" t="s">
        <v>312</v>
      </c>
      <c r="C47" s="1285" t="s">
        <v>313</v>
      </c>
      <c r="D47" s="1285" t="s">
        <v>563</v>
      </c>
      <c r="E47" s="3738"/>
      <c r="F47" s="3738"/>
      <c r="G47" s="3738"/>
      <c r="H47" s="3738"/>
      <c r="I47" s="3758"/>
      <c r="J47" s="3758"/>
      <c r="K47" s="3735"/>
      <c r="L47" s="1286"/>
      <c r="P47" s="3736"/>
      <c r="Q47" s="3736"/>
      <c r="R47" s="291"/>
      <c r="S47" s="1412"/>
      <c r="T47" s="235"/>
      <c r="U47" s="235"/>
      <c r="V47" s="1282"/>
      <c r="W47" s="1282"/>
      <c r="X47" s="263" t="str">
        <f>Y46&amp;"-"&amp;AA46</f>
        <v>-</v>
      </c>
      <c r="Y47" s="3743"/>
      <c r="Z47" s="3743"/>
      <c r="AA47" s="3743"/>
      <c r="AB47" s="3743"/>
      <c r="AC47" s="260"/>
      <c r="AD47" s="260"/>
      <c r="AE47" s="263" t="str">
        <f>AF46&amp;"-"&amp;AH46</f>
        <v>-</v>
      </c>
      <c r="AF47" s="3741"/>
      <c r="AG47" s="3599"/>
      <c r="AH47" s="3760"/>
      <c r="AI47" s="3599"/>
      <c r="AJ47" s="1361"/>
      <c r="AK47" s="3806"/>
      <c r="AM47" s="434"/>
      <c r="AN47" s="434" t="str">
        <f t="shared" si="1"/>
        <v/>
      </c>
      <c r="AO47" s="434"/>
      <c r="AP47" s="434"/>
      <c r="AQ47" s="1077">
        <v>0</v>
      </c>
    </row>
    <row r="48" spans="1:43" ht="21" customHeight="1">
      <c r="A48" s="1285" t="s">
        <v>311</v>
      </c>
      <c r="B48" s="1285" t="s">
        <v>312</v>
      </c>
      <c r="C48" s="1285" t="s">
        <v>313</v>
      </c>
      <c r="D48" s="1285" t="s">
        <v>563</v>
      </c>
      <c r="E48" s="3738"/>
      <c r="F48" s="3738"/>
      <c r="G48" s="3738"/>
      <c r="H48" s="3738"/>
      <c r="I48" s="3758"/>
      <c r="J48" s="3735"/>
      <c r="K48" s="1285"/>
      <c r="L48" s="1286"/>
      <c r="P48" s="3736"/>
      <c r="Q48" s="3736"/>
      <c r="R48" s="290"/>
      <c r="S48" s="1200"/>
      <c r="T48" s="222" t="s">
        <v>529</v>
      </c>
      <c r="U48" s="301"/>
      <c r="V48" s="301"/>
      <c r="W48" s="301"/>
      <c r="X48" s="301"/>
      <c r="Y48" s="301"/>
      <c r="Z48" s="301"/>
      <c r="AA48" s="301"/>
      <c r="AB48" s="301"/>
      <c r="AC48" s="301"/>
      <c r="AD48" s="301"/>
      <c r="AE48" s="301"/>
      <c r="AF48" s="301"/>
      <c r="AG48" s="301"/>
      <c r="AH48" s="301"/>
      <c r="AI48" s="301"/>
      <c r="AJ48" s="301"/>
      <c r="AK48" s="1180" t="s">
        <v>530</v>
      </c>
      <c r="AM48" s="434"/>
      <c r="AN48" s="434" t="str">
        <f t="shared" si="1"/>
        <v>Добавить значение признака дифференциации</v>
      </c>
      <c r="AO48" s="434"/>
      <c r="AP48" s="434"/>
      <c r="AQ48" s="1077">
        <v>20</v>
      </c>
    </row>
    <row r="49" spans="1:43" ht="21.95" customHeight="1">
      <c r="A49" s="1285" t="s">
        <v>311</v>
      </c>
      <c r="B49" s="1285" t="s">
        <v>312</v>
      </c>
      <c r="C49" s="1285" t="s">
        <v>313</v>
      </c>
      <c r="D49" s="1285" t="s">
        <v>563</v>
      </c>
      <c r="E49" s="3738"/>
      <c r="F49" s="3738"/>
      <c r="G49" s="3738"/>
      <c r="H49" s="3738"/>
      <c r="I49" s="3735"/>
      <c r="J49" s="1285"/>
      <c r="K49" s="1285"/>
      <c r="L49" s="1286"/>
      <c r="P49" s="3736"/>
      <c r="Q49" s="1403"/>
      <c r="R49" s="290"/>
      <c r="S49" s="1200"/>
      <c r="T49" s="299" t="s">
        <v>457</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311</v>
      </c>
      <c r="B50" s="1285" t="s">
        <v>312</v>
      </c>
      <c r="C50" s="1285" t="s">
        <v>313</v>
      </c>
      <c r="D50" s="1285" t="s">
        <v>563</v>
      </c>
      <c r="E50" s="3738"/>
      <c r="F50" s="3738"/>
      <c r="G50" s="3738"/>
      <c r="H50" s="3737"/>
      <c r="I50" s="1285"/>
      <c r="J50" s="1285"/>
      <c r="K50" s="1285"/>
      <c r="L50" s="1286"/>
      <c r="M50" s="1287"/>
      <c r="N50" s="1287"/>
      <c r="O50" s="471"/>
      <c r="P50" s="294"/>
      <c r="Q50" s="309"/>
      <c r="R50" s="289"/>
      <c r="S50" s="1200"/>
      <c r="T50" s="306" t="s">
        <v>531</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311</v>
      </c>
      <c r="B51" s="1265" t="s">
        <v>312</v>
      </c>
      <c r="C51" s="1236"/>
      <c r="D51" s="1236"/>
      <c r="E51" s="3738"/>
      <c r="F51" s="3737"/>
      <c r="G51" s="1236"/>
      <c r="H51" s="1236"/>
      <c r="I51" s="1236"/>
      <c r="J51" s="1236"/>
      <c r="K51" s="1236"/>
      <c r="L51" s="1416"/>
      <c r="M51" s="1243"/>
      <c r="N51" s="1243"/>
      <c r="P51" s="1238"/>
      <c r="Q51" s="1239"/>
      <c r="R51" s="1238"/>
      <c r="S51" s="1244"/>
      <c r="T51" s="1247" t="s">
        <v>460</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311</v>
      </c>
      <c r="B52" s="1265"/>
      <c r="C52" s="1265"/>
      <c r="D52" s="1265"/>
      <c r="E52" s="3737"/>
      <c r="F52" s="1265"/>
      <c r="G52" s="1265"/>
      <c r="H52" s="1265"/>
      <c r="I52" s="1265"/>
      <c r="J52" s="1265"/>
      <c r="K52" s="1265"/>
      <c r="L52" s="1268"/>
      <c r="M52" s="1243"/>
      <c r="N52" s="1243"/>
      <c r="O52" s="452"/>
      <c r="P52" s="314"/>
      <c r="Q52" s="1266"/>
      <c r="R52" s="314"/>
      <c r="S52" s="1244"/>
      <c r="T52" s="1247" t="s">
        <v>461</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416"/>
      <c r="M53" s="1243"/>
      <c r="N53" s="1243"/>
      <c r="P53" s="1238"/>
      <c r="Q53" s="1239"/>
      <c r="R53" s="1238"/>
      <c r="S53" s="1244"/>
      <c r="T53" s="1247" t="s">
        <v>489</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3757"/>
      <c r="U55" s="3757"/>
      <c r="V55" s="3757"/>
      <c r="W55" s="3757"/>
      <c r="X55" s="3757"/>
      <c r="Y55" s="3757"/>
      <c r="Z55" s="3757"/>
      <c r="AA55" s="3757"/>
      <c r="AB55" s="3757"/>
      <c r="AC55" s="3757"/>
      <c r="AD55" s="3757"/>
      <c r="AE55" s="3757"/>
      <c r="AF55" s="3757"/>
      <c r="AG55" s="3757"/>
      <c r="AH55" s="3757"/>
      <c r="AI55" s="3757"/>
      <c r="AJ55" s="3757"/>
      <c r="AK55" s="3757"/>
      <c r="AQ55" s="1077">
        <v>14</v>
      </c>
    </row>
    <row r="56" spans="1:43" ht="14.65" customHeight="1">
      <c r="O56" s="471"/>
      <c r="AQ56" s="1077">
        <v>14</v>
      </c>
    </row>
    <row r="57" spans="1:43" ht="14.65" customHeight="1">
      <c r="O57" s="471"/>
      <c r="S57" s="1175"/>
      <c r="T57" s="3757"/>
      <c r="U57" s="3757"/>
      <c r="V57" s="3757"/>
      <c r="W57" s="3757"/>
      <c r="X57" s="3757"/>
      <c r="Y57" s="3757"/>
      <c r="Z57" s="3757"/>
      <c r="AA57" s="3757"/>
      <c r="AB57" s="3757"/>
      <c r="AC57" s="3757"/>
      <c r="AD57" s="3757"/>
      <c r="AE57" s="3757"/>
      <c r="AF57" s="3757"/>
      <c r="AG57" s="3757"/>
      <c r="AH57" s="3757"/>
      <c r="AI57" s="3757"/>
      <c r="AJ57" s="3757"/>
      <c r="AK57" s="3757"/>
      <c r="AQ57" s="1077">
        <v>14</v>
      </c>
    </row>
    <row r="58" spans="1:43" ht="22.5" hidden="1" customHeight="1">
      <c r="A58" s="1082" t="s">
        <v>70</v>
      </c>
      <c r="B58" s="1082">
        <v>0</v>
      </c>
      <c r="C58" s="1082">
        <v>0</v>
      </c>
      <c r="D58" s="1082">
        <v>0</v>
      </c>
      <c r="E58" s="1082">
        <v>0</v>
      </c>
      <c r="F58" s="1082">
        <v>0</v>
      </c>
      <c r="G58" s="1082">
        <v>0</v>
      </c>
      <c r="H58" s="1082">
        <v>0</v>
      </c>
      <c r="I58" s="1082">
        <v>0</v>
      </c>
      <c r="J58" s="1082">
        <v>0</v>
      </c>
      <c r="K58" s="1082">
        <v>0</v>
      </c>
      <c r="L58" s="1400">
        <v>0</v>
      </c>
      <c r="M58" s="1284">
        <v>0</v>
      </c>
      <c r="N58" s="1284">
        <v>0</v>
      </c>
      <c r="O58" s="1284">
        <v>0</v>
      </c>
      <c r="P58" s="1395">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v>
      </c>
    </row>
    <row r="2" spans="1:43" ht="23.25" hidden="1" customHeight="1">
      <c r="A2" s="1285"/>
      <c r="B2" s="1285"/>
      <c r="C2" s="1285"/>
      <c r="D2" s="1285"/>
      <c r="E2" s="3737">
        <v>1</v>
      </c>
      <c r="F2" s="1285"/>
      <c r="G2" s="1285"/>
      <c r="H2" s="1285"/>
      <c r="I2" s="1285"/>
      <c r="J2" s="1285"/>
      <c r="K2" s="1285"/>
      <c r="L2" s="1286"/>
      <c r="M2" s="1287"/>
      <c r="N2" s="1287"/>
      <c r="O2" s="1287"/>
      <c r="P2" s="295"/>
      <c r="Q2" s="294"/>
      <c r="R2" s="289"/>
      <c r="S2" s="1415" t="e">
        <f>INDEX(PT_DIFFERENTIATION_NUM_NTAR,MATCH(A2,PT_DIFFERENTIATION_NTAR_ID,0))</f>
        <v>#N/A</v>
      </c>
      <c r="T2" s="233" t="s">
        <v>176</v>
      </c>
      <c r="U2" s="235"/>
      <c r="V2" s="3723"/>
      <c r="W2" s="3724"/>
      <c r="X2" s="3724"/>
      <c r="Y2" s="3724"/>
      <c r="Z2" s="3724"/>
      <c r="AA2" s="3724"/>
      <c r="AB2" s="3725"/>
      <c r="AC2" s="3723" t="e">
        <f>INDEX(PT_DIFFERENTIATION_NTAR,MATCH(A2,PT_DIFFERENTIATION_NTAR_ID,0))</f>
        <v>#N/A</v>
      </c>
      <c r="AD2" s="3724"/>
      <c r="AE2" s="3724"/>
      <c r="AF2" s="3724"/>
      <c r="AG2" s="3724"/>
      <c r="AH2" s="3724"/>
      <c r="AI2" s="3724"/>
      <c r="AJ2" s="3725"/>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3738"/>
      <c r="F3" s="3737">
        <v>1</v>
      </c>
      <c r="G3" s="1285"/>
      <c r="H3" s="1285"/>
      <c r="I3" s="1285"/>
      <c r="J3" s="1285"/>
      <c r="K3" s="1285"/>
      <c r="L3" s="1286"/>
      <c r="M3" s="1287"/>
      <c r="N3" s="1287"/>
      <c r="O3" s="1287"/>
      <c r="P3" s="1409"/>
      <c r="Q3" s="286"/>
      <c r="R3" s="287"/>
      <c r="S3" s="1415" t="e">
        <f>INDEX(PT_DIFFERENTIATION_NUM_TER,MATCH(B3,PT_DIFFERENTIATION_TER_ID,0))</f>
        <v>#N/A</v>
      </c>
      <c r="T3" s="243" t="s">
        <v>442</v>
      </c>
      <c r="U3" s="235"/>
      <c r="V3" s="3723"/>
      <c r="W3" s="3724"/>
      <c r="X3" s="3724"/>
      <c r="Y3" s="3724"/>
      <c r="Z3" s="3724"/>
      <c r="AA3" s="3724"/>
      <c r="AB3" s="3725"/>
      <c r="AC3" s="3723" t="e">
        <f>INDEX(PT_DIFFERENTIATION_TER,MATCH(B3,PT_DIFFERENTIATION_TER_ID,0))</f>
        <v>#N/A</v>
      </c>
      <c r="AD3" s="3724"/>
      <c r="AE3" s="3724"/>
      <c r="AF3" s="3724"/>
      <c r="AG3" s="3724"/>
      <c r="AH3" s="3724"/>
      <c r="AI3" s="3724"/>
      <c r="AJ3" s="3725"/>
      <c r="AK3" s="1180" t="s">
        <v>443</v>
      </c>
      <c r="AM3" s="434"/>
      <c r="AN3" s="434" t="str">
        <f t="shared" si="0"/>
        <v>Территория действия тарифа</v>
      </c>
      <c r="AO3" s="434"/>
      <c r="AP3" s="434"/>
      <c r="AQ3" s="1077">
        <v>0</v>
      </c>
    </row>
    <row r="4" spans="1:43" ht="23.25" hidden="1" customHeight="1">
      <c r="A4" s="1285"/>
      <c r="B4" s="1285"/>
      <c r="C4" s="1285"/>
      <c r="D4" s="1285"/>
      <c r="E4" s="3738"/>
      <c r="F4" s="3738"/>
      <c r="G4" s="3737">
        <v>1</v>
      </c>
      <c r="H4" s="1285"/>
      <c r="I4" s="1285"/>
      <c r="J4" s="1285"/>
      <c r="K4" s="1285"/>
      <c r="L4" s="1286"/>
      <c r="M4" s="1287"/>
      <c r="N4" s="1287"/>
      <c r="O4" s="1287"/>
      <c r="P4" s="288"/>
      <c r="Q4" s="286"/>
      <c r="R4" s="287"/>
      <c r="S4" s="1415" t="e">
        <f>INDEX(PT_DIFFERENTIATION_NUM_CS,MATCH(C4,PT_DIFFERENTIATION_CS_ID,0))</f>
        <v>#N/A</v>
      </c>
      <c r="T4" s="244" t="s">
        <v>559</v>
      </c>
      <c r="U4" s="235"/>
      <c r="V4" s="3723"/>
      <c r="W4" s="3724"/>
      <c r="X4" s="3724"/>
      <c r="Y4" s="3724"/>
      <c r="Z4" s="3724"/>
      <c r="AA4" s="3724"/>
      <c r="AB4" s="3725"/>
      <c r="AC4" s="3723" t="e">
        <f>INDEX(PT_DIFFERENTIATION_CS,MATCH(C4,PT_DIFFERENTIATION_CS_ID,0))</f>
        <v>#N/A</v>
      </c>
      <c r="AD4" s="3724"/>
      <c r="AE4" s="3724"/>
      <c r="AF4" s="3724"/>
      <c r="AG4" s="3724"/>
      <c r="AH4" s="3724"/>
      <c r="AI4" s="3724"/>
      <c r="AJ4" s="3725"/>
      <c r="AK4" s="1180" t="s">
        <v>560</v>
      </c>
      <c r="AM4" s="434"/>
      <c r="AN4" s="434" t="str">
        <f t="shared" si="0"/>
        <v>Наименование централизованной системы водоотведения</v>
      </c>
      <c r="AO4" s="434"/>
      <c r="AP4" s="434"/>
      <c r="AQ4" s="1077">
        <v>0</v>
      </c>
    </row>
    <row r="5" spans="1:43" ht="23.25" hidden="1" customHeight="1">
      <c r="A5" s="1285"/>
      <c r="B5" s="1285"/>
      <c r="C5" s="1285"/>
      <c r="D5" s="1285"/>
      <c r="E5" s="3738"/>
      <c r="F5" s="3738"/>
      <c r="G5" s="3738"/>
      <c r="H5" s="3738"/>
      <c r="I5" s="3735" t="e">
        <f>S4&amp;".1"</f>
        <v>#N/A</v>
      </c>
      <c r="J5" s="1285"/>
      <c r="K5" s="1285"/>
      <c r="L5" s="1286"/>
      <c r="P5" s="3736">
        <v>1</v>
      </c>
      <c r="Q5" s="1403"/>
      <c r="R5" s="290"/>
      <c r="S5" s="1415" t="e">
        <f>$I5</f>
        <v>#N/A</v>
      </c>
      <c r="T5" s="220" t="s">
        <v>526</v>
      </c>
      <c r="U5" s="235"/>
      <c r="V5" s="3807"/>
      <c r="W5" s="3808"/>
      <c r="X5" s="3808"/>
      <c r="Y5" s="3808"/>
      <c r="Z5" s="3808"/>
      <c r="AA5" s="3808"/>
      <c r="AB5" s="3809"/>
      <c r="AC5" s="3810"/>
      <c r="AD5" s="3811"/>
      <c r="AE5" s="3811"/>
      <c r="AF5" s="3811"/>
      <c r="AG5" s="3811"/>
      <c r="AH5" s="3811"/>
      <c r="AI5" s="3811"/>
      <c r="AJ5" s="3812"/>
      <c r="AK5" s="1180" t="s">
        <v>527</v>
      </c>
      <c r="AM5" s="434"/>
      <c r="AN5" s="434" t="str">
        <f t="shared" si="0"/>
        <v>Наименование признака дифференциации</v>
      </c>
      <c r="AO5" s="434"/>
      <c r="AP5" s="434"/>
      <c r="AQ5" s="1077">
        <v>0</v>
      </c>
    </row>
    <row r="6" spans="1:43" ht="23.25" hidden="1" customHeight="1">
      <c r="A6" s="1285"/>
      <c r="B6" s="1285"/>
      <c r="C6" s="1285"/>
      <c r="D6" s="1285"/>
      <c r="E6" s="3738"/>
      <c r="F6" s="3738"/>
      <c r="G6" s="3738"/>
      <c r="H6" s="3738"/>
      <c r="I6" s="3758"/>
      <c r="J6" s="3735" t="e">
        <f>I5&amp;".1"</f>
        <v>#N/A</v>
      </c>
      <c r="K6" s="1285"/>
      <c r="L6" s="1286" t="s">
        <v>451</v>
      </c>
      <c r="P6" s="3736"/>
      <c r="Q6" s="3736">
        <v>1</v>
      </c>
      <c r="R6" s="291"/>
      <c r="S6" s="1415" t="e">
        <f>$J6</f>
        <v>#N/A</v>
      </c>
      <c r="T6" s="221" t="s">
        <v>452</v>
      </c>
      <c r="U6" s="235"/>
      <c r="V6" s="3726"/>
      <c r="W6" s="3727"/>
      <c r="X6" s="3727"/>
      <c r="Y6" s="3727"/>
      <c r="Z6" s="3727"/>
      <c r="AA6" s="3727"/>
      <c r="AB6" s="3728"/>
      <c r="AC6" s="3726"/>
      <c r="AD6" s="3727"/>
      <c r="AE6" s="3727"/>
      <c r="AF6" s="3727"/>
      <c r="AG6" s="3727"/>
      <c r="AH6" s="3727"/>
      <c r="AI6" s="3727"/>
      <c r="AJ6" s="3728"/>
      <c r="AK6" s="1229" t="s">
        <v>528</v>
      </c>
      <c r="AM6" s="434"/>
      <c r="AN6" s="434" t="str">
        <f t="shared" si="0"/>
        <v>Группа потребителей</v>
      </c>
      <c r="AO6" s="434"/>
      <c r="AP6" s="434"/>
      <c r="AQ6" s="1077">
        <v>0</v>
      </c>
    </row>
    <row r="7" spans="1:43" ht="23.25" hidden="1" customHeight="1">
      <c r="A7" s="1285"/>
      <c r="B7" s="1285"/>
      <c r="C7" s="1285"/>
      <c r="D7" s="1285"/>
      <c r="E7" s="3738"/>
      <c r="F7" s="3738"/>
      <c r="G7" s="3738"/>
      <c r="H7" s="3738"/>
      <c r="I7" s="3758"/>
      <c r="J7" s="3758"/>
      <c r="K7" s="3735" t="e">
        <f>J6&amp;".1"</f>
        <v>#N/A</v>
      </c>
      <c r="L7" s="1286"/>
      <c r="P7" s="3736"/>
      <c r="Q7" s="3736"/>
      <c r="R7" s="291">
        <v>1</v>
      </c>
      <c r="S7" s="1415" t="e">
        <f>$K7</f>
        <v>#N/A</v>
      </c>
      <c r="T7" s="1359"/>
      <c r="U7" s="235"/>
      <c r="V7" s="685"/>
      <c r="W7" s="685"/>
      <c r="X7" s="1179"/>
      <c r="Y7" s="3740"/>
      <c r="Z7" s="3599" t="s">
        <v>50</v>
      </c>
      <c r="AA7" s="3740"/>
      <c r="AB7" s="3599" t="s">
        <v>50</v>
      </c>
      <c r="AC7" s="685"/>
      <c r="AD7" s="685"/>
      <c r="AE7" s="1179"/>
      <c r="AF7" s="3740"/>
      <c r="AG7" s="3599" t="s">
        <v>50</v>
      </c>
      <c r="AH7" s="3759"/>
      <c r="AI7" s="3599" t="s">
        <v>50</v>
      </c>
      <c r="AJ7" s="1360"/>
      <c r="AK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3738"/>
      <c r="F8" s="3738"/>
      <c r="G8" s="3738"/>
      <c r="H8" s="3738"/>
      <c r="I8" s="3758"/>
      <c r="J8" s="3758"/>
      <c r="K8" s="3735"/>
      <c r="L8" s="1286"/>
      <c r="P8" s="3736"/>
      <c r="Q8" s="3736"/>
      <c r="R8" s="291"/>
      <c r="S8" s="1412"/>
      <c r="T8" s="235"/>
      <c r="U8" s="235"/>
      <c r="V8" s="260"/>
      <c r="W8" s="260"/>
      <c r="X8" s="263" t="str">
        <f>Y7&amp;"-"&amp;AA7</f>
        <v>-</v>
      </c>
      <c r="Y8" s="3741"/>
      <c r="Z8" s="3599"/>
      <c r="AA8" s="3741"/>
      <c r="AB8" s="3599"/>
      <c r="AC8" s="260"/>
      <c r="AD8" s="260"/>
      <c r="AE8" s="263" t="str">
        <f>AF7&amp;"-"&amp;AH7</f>
        <v>-</v>
      </c>
      <c r="AF8" s="3741"/>
      <c r="AG8" s="3599"/>
      <c r="AH8" s="3760"/>
      <c r="AI8" s="3599"/>
      <c r="AJ8" s="1361"/>
      <c r="AK8" s="3806"/>
      <c r="AM8" s="434"/>
      <c r="AN8" s="434" t="str">
        <f t="shared" si="0"/>
        <v/>
      </c>
      <c r="AO8" s="434"/>
      <c r="AP8" s="434"/>
      <c r="AQ8" s="1077">
        <v>0</v>
      </c>
    </row>
    <row r="9" spans="1:43" ht="21" hidden="1" customHeight="1">
      <c r="A9" s="1285"/>
      <c r="B9" s="1285"/>
      <c r="C9" s="1285"/>
      <c r="D9" s="1285"/>
      <c r="E9" s="3738"/>
      <c r="F9" s="3738"/>
      <c r="G9" s="3738"/>
      <c r="H9" s="3738"/>
      <c r="I9" s="3758"/>
      <c r="J9" s="3735"/>
      <c r="K9" s="1285"/>
      <c r="L9" s="1286"/>
      <c r="P9" s="3736"/>
      <c r="Q9" s="3736"/>
      <c r="R9" s="290"/>
      <c r="S9" s="1200"/>
      <c r="T9" s="222" t="s">
        <v>529</v>
      </c>
      <c r="U9" s="301"/>
      <c r="V9" s="301"/>
      <c r="W9" s="301"/>
      <c r="X9" s="301"/>
      <c r="Y9" s="301"/>
      <c r="Z9" s="301"/>
      <c r="AA9" s="301"/>
      <c r="AB9" s="301"/>
      <c r="AC9" s="301"/>
      <c r="AD9" s="301"/>
      <c r="AE9" s="301"/>
      <c r="AF9" s="301"/>
      <c r="AG9" s="301"/>
      <c r="AH9" s="301"/>
      <c r="AI9" s="301"/>
      <c r="AJ9" s="301"/>
      <c r="AK9" s="1180" t="s">
        <v>530</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3738"/>
      <c r="F10" s="3738"/>
      <c r="G10" s="3738"/>
      <c r="H10" s="3738"/>
      <c r="I10" s="3735"/>
      <c r="J10" s="1285"/>
      <c r="K10" s="1285"/>
      <c r="L10" s="1286"/>
      <c r="P10" s="3736"/>
      <c r="Q10" s="1403"/>
      <c r="R10" s="290"/>
      <c r="S10" s="1200"/>
      <c r="T10" s="299" t="s">
        <v>457</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3738"/>
      <c r="F12" s="3737"/>
      <c r="G12" s="1236"/>
      <c r="H12" s="1236"/>
      <c r="I12" s="1236"/>
      <c r="J12" s="1236"/>
      <c r="K12" s="1236"/>
      <c r="L12" s="1416"/>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3742"/>
      <c r="AG15" s="3743" t="s">
        <v>50</v>
      </c>
      <c r="AH15" s="3742"/>
      <c r="AI15" s="3743" t="s">
        <v>50</v>
      </c>
      <c r="AQ15" s="1077">
        <v>0</v>
      </c>
    </row>
    <row r="16" spans="1:43" ht="14.25" hidden="1" customHeight="1">
      <c r="AC16" s="1282"/>
      <c r="AD16" s="1282"/>
      <c r="AE16" s="263" t="str">
        <f>AF15&amp;"-"&amp;AH15</f>
        <v>-</v>
      </c>
      <c r="AF16" s="3743"/>
      <c r="AG16" s="3743"/>
      <c r="AH16" s="3743"/>
      <c r="AI16" s="3743"/>
      <c r="AQ16" s="1077">
        <v>0</v>
      </c>
    </row>
    <row r="17" spans="1:43" ht="14.25" hidden="1" customHeight="1">
      <c r="AI17" s="262"/>
      <c r="AQ17" s="1077">
        <v>0</v>
      </c>
    </row>
    <row r="18" spans="1:43" s="1288" customFormat="1" ht="22.5" hidden="1" customHeight="1">
      <c r="L18" s="1400"/>
      <c r="M18" s="1284"/>
      <c r="N18" s="1284"/>
      <c r="O18" s="1289" t="s">
        <v>462</v>
      </c>
      <c r="P18" s="1284"/>
      <c r="Q18" s="1293"/>
      <c r="R18" s="1293"/>
      <c r="S18" s="663"/>
      <c r="Y18" s="1289"/>
      <c r="AA18" s="1289"/>
      <c r="AF18" s="1289"/>
      <c r="AH18" s="1289"/>
      <c r="AL18" s="445"/>
      <c r="AM18" s="445"/>
      <c r="AN18" s="445"/>
      <c r="AO18" s="445"/>
      <c r="AP18" s="445"/>
      <c r="AQ18" s="1082">
        <v>0</v>
      </c>
    </row>
    <row r="19" spans="1:43" s="1288" customFormat="1" ht="14.25" hidden="1" customHeight="1">
      <c r="L19" s="1400"/>
      <c r="M19" s="1284"/>
      <c r="N19" s="1284"/>
      <c r="O19" s="1284"/>
      <c r="P19" s="1284"/>
      <c r="Q19" s="1293"/>
      <c r="R19" s="1293"/>
      <c r="S19" s="663"/>
      <c r="AL19" s="445"/>
      <c r="AM19" s="445"/>
      <c r="AN19" s="445"/>
      <c r="AO19" s="445"/>
      <c r="AP19" s="445"/>
      <c r="AQ19" s="1082">
        <v>0</v>
      </c>
    </row>
    <row r="20" spans="1:43" s="1288" customFormat="1" ht="12" hidden="1" customHeight="1">
      <c r="L20" s="1400"/>
      <c r="M20" s="1284"/>
      <c r="N20" s="1284"/>
      <c r="O20" s="1286" t="s">
        <v>463</v>
      </c>
      <c r="P20" s="1284"/>
      <c r="Q20" s="1364"/>
      <c r="R20" s="1364"/>
      <c r="S20" s="663"/>
      <c r="T20" s="1082" t="s">
        <v>464</v>
      </c>
      <c r="Z20" s="121" t="s">
        <v>465</v>
      </c>
      <c r="AB20" s="121" t="s">
        <v>466</v>
      </c>
      <c r="AC20" s="1082" t="s">
        <v>464</v>
      </c>
      <c r="AG20" s="121" t="s">
        <v>467</v>
      </c>
      <c r="AI20" s="121" t="s">
        <v>466</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37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721"/>
      <c r="U24" s="3721"/>
      <c r="V24" s="3721"/>
      <c r="W24" s="3721"/>
      <c r="X24" s="3721"/>
      <c r="Y24" s="3721"/>
      <c r="Z24" s="3721"/>
      <c r="AA24" s="3721"/>
      <c r="AB24" s="3721"/>
      <c r="AC24" s="3721"/>
      <c r="AD24" s="3721"/>
      <c r="AE24" s="3721"/>
      <c r="AF24" s="3721"/>
      <c r="AG24" s="3721"/>
      <c r="AH24" s="3721"/>
      <c r="AI24" s="1165"/>
      <c r="AQ24" s="1077">
        <v>14</v>
      </c>
    </row>
    <row r="25" spans="1:43"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261"/>
      <c r="AC27" s="3730" t="str">
        <f>IF(TITLE_NAME_OR_PR_CHANGE="",IF(TITLE_NAME_OR_PR="","",TITLE_NAME_OR_PR),TITLE_NAME_OR_PR_CHANGE)</f>
        <v/>
      </c>
      <c r="AD27" s="3730"/>
      <c r="AE27" s="3730"/>
      <c r="AF27" s="3730"/>
      <c r="AG27" s="3730"/>
      <c r="AH27" s="3730"/>
      <c r="AI27" s="261"/>
      <c r="AJ27" s="261"/>
      <c r="AK27" s="215"/>
      <c r="AL27" s="302"/>
      <c r="AM27" s="302"/>
      <c r="AN27" s="302"/>
      <c r="AO27" s="302"/>
      <c r="AP27" s="302"/>
      <c r="AQ27" s="352">
        <v>0</v>
      </c>
    </row>
    <row r="28" spans="1:43"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261"/>
      <c r="AC28" s="3739" t="str">
        <f>IF(TITLE_DATE_PR_CHANGE="",IF(TITLE_DATE_PR="","",TITLE_DATE_PR),TITLE_DATE_PR_CHANGE)</f>
        <v/>
      </c>
      <c r="AD28" s="3739"/>
      <c r="AE28" s="3739"/>
      <c r="AF28" s="3739"/>
      <c r="AG28" s="3739"/>
      <c r="AH28" s="3739"/>
      <c r="AI28" s="261"/>
      <c r="AJ28" s="261"/>
      <c r="AK28" s="215"/>
      <c r="AL28" s="302"/>
      <c r="AM28" s="302"/>
      <c r="AN28" s="302"/>
      <c r="AO28" s="302"/>
      <c r="AP28" s="302"/>
      <c r="AQ28" s="352">
        <v>0</v>
      </c>
    </row>
    <row r="29" spans="1:43"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261"/>
      <c r="AC29" s="3730" t="str">
        <f>IF(TITLE_NUMBER_PR_CHANGE="",IF(TITLE_NUMBER_PR="","",TITLE_NUMBER_PR),TITLE_NUMBER_PR_CHANGE)</f>
        <v/>
      </c>
      <c r="AD29" s="3730"/>
      <c r="AE29" s="3730"/>
      <c r="AF29" s="3730"/>
      <c r="AG29" s="3730"/>
      <c r="AH29" s="3730"/>
      <c r="AI29" s="261"/>
      <c r="AJ29" s="261"/>
      <c r="AK29" s="215"/>
      <c r="AL29" s="302"/>
      <c r="AM29" s="302"/>
      <c r="AN29" s="302"/>
      <c r="AO29" s="302"/>
      <c r="AP29" s="302"/>
      <c r="AQ29" s="352">
        <v>0</v>
      </c>
    </row>
    <row r="30" spans="1:43"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261"/>
      <c r="AC30" s="3730" t="str">
        <f>IF(TITLE_IST_PUB_CHANGE="",IF(TITLE_IST_PUB="","",TITLE_IST_PUB),TITLE_IST_PUB_CHANGE)</f>
        <v/>
      </c>
      <c r="AD30" s="3730"/>
      <c r="AE30" s="3730"/>
      <c r="AF30" s="3730"/>
      <c r="AG30" s="3730"/>
      <c r="AH30" s="3730"/>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261"/>
      <c r="AC32" s="3739" t="str">
        <f>IF(TITLE_DATE_PR_CHANGE="",IF(TITLE_DATE_PR="","",TITLE_DATE_PR),TITLE_DATE_PR_CHANGE)</f>
        <v/>
      </c>
      <c r="AD32" s="3739"/>
      <c r="AE32" s="3739"/>
      <c r="AF32" s="3739"/>
      <c r="AG32" s="3739"/>
      <c r="AH32" s="3739"/>
      <c r="AI32" s="261"/>
      <c r="AJ32" s="261"/>
      <c r="AK32" s="215"/>
      <c r="AL32" s="302"/>
      <c r="AM32" s="302"/>
      <c r="AN32" s="302"/>
      <c r="AO32" s="302"/>
      <c r="AP32" s="302"/>
      <c r="AQ32" s="352">
        <v>0</v>
      </c>
    </row>
    <row r="33" spans="1:43"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261"/>
      <c r="AC33" s="3730" t="str">
        <f>IF(TITLE_NUMBER_PR_CHANGE="",IF(TITLE_NUMBER_PR="","",TITLE_NUMBER_PR),TITLE_NUMBER_PR_CHANGE)</f>
        <v/>
      </c>
      <c r="AD33" s="3730"/>
      <c r="AE33" s="3730"/>
      <c r="AF33" s="3730"/>
      <c r="AG33" s="3730"/>
      <c r="AH33" s="3730"/>
      <c r="AI33" s="261"/>
      <c r="AJ33" s="261"/>
      <c r="AK33" s="215"/>
      <c r="AL33" s="302"/>
      <c r="AM33" s="302"/>
      <c r="AN33" s="302"/>
      <c r="AO33" s="302"/>
      <c r="AP33" s="302"/>
      <c r="AQ33" s="352">
        <v>0</v>
      </c>
    </row>
    <row r="34" spans="1:43"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261"/>
      <c r="X34" s="261"/>
      <c r="Y34" s="261"/>
      <c r="Z34" s="261"/>
      <c r="AA34" s="261"/>
      <c r="AB34" s="213" t="s">
        <v>468</v>
      </c>
      <c r="AC34" s="261"/>
      <c r="AD34" s="261"/>
      <c r="AE34" s="261"/>
      <c r="AF34" s="261"/>
      <c r="AG34" s="261"/>
      <c r="AH34" s="261"/>
      <c r="AI34" s="213" t="s">
        <v>468</v>
      </c>
      <c r="AL34" s="302"/>
      <c r="AM34" s="302"/>
      <c r="AN34" s="302"/>
      <c r="AO34" s="302"/>
      <c r="AP34" s="302"/>
      <c r="AQ34" s="352">
        <v>1</v>
      </c>
    </row>
    <row r="35" spans="1:43" ht="14.65" customHeight="1">
      <c r="Q35" s="310"/>
      <c r="R35" s="310"/>
      <c r="S35" s="1197"/>
      <c r="T35" s="297"/>
      <c r="U35" s="1166"/>
      <c r="V35" s="3731"/>
      <c r="W35" s="3731"/>
      <c r="X35" s="3731"/>
      <c r="Y35" s="3731"/>
      <c r="Z35" s="3731"/>
      <c r="AA35" s="3731"/>
      <c r="AB35" s="3731"/>
      <c r="AC35" s="3731"/>
      <c r="AD35" s="3731"/>
      <c r="AE35" s="3731"/>
      <c r="AF35" s="3731"/>
      <c r="AG35" s="3731"/>
      <c r="AH35" s="3731"/>
      <c r="AI35" s="3731"/>
      <c r="AQ35" s="1077">
        <v>14</v>
      </c>
    </row>
    <row r="36" spans="1:43"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t="s">
        <v>346</v>
      </c>
      <c r="AQ36" s="1077">
        <v>14</v>
      </c>
    </row>
    <row r="37" spans="1:43" ht="14.65" customHeight="1">
      <c r="Q37" s="310"/>
      <c r="R37" s="310"/>
      <c r="S37" s="3745" t="s">
        <v>76</v>
      </c>
      <c r="T37" s="3697" t="s">
        <v>469</v>
      </c>
      <c r="U37" s="236"/>
      <c r="V37" s="3746" t="s">
        <v>470</v>
      </c>
      <c r="W37" s="3747"/>
      <c r="X37" s="3747"/>
      <c r="Y37" s="3747"/>
      <c r="Z37" s="3747"/>
      <c r="AA37" s="3748"/>
      <c r="AB37" s="3749" t="s">
        <v>471</v>
      </c>
      <c r="AC37" s="3746" t="s">
        <v>470</v>
      </c>
      <c r="AD37" s="3747"/>
      <c r="AE37" s="3747"/>
      <c r="AF37" s="3747"/>
      <c r="AG37" s="3747"/>
      <c r="AH37" s="3748"/>
      <c r="AI37" s="3749" t="s">
        <v>472</v>
      </c>
      <c r="AJ37" s="3752" t="s">
        <v>473</v>
      </c>
      <c r="AK37" s="3618"/>
      <c r="AQ37" s="1077">
        <v>14</v>
      </c>
    </row>
    <row r="38" spans="1:43" ht="35.65" customHeight="1">
      <c r="Q38" s="310"/>
      <c r="R38" s="310"/>
      <c r="S38" s="3745"/>
      <c r="T38" s="3697"/>
      <c r="U38" s="957"/>
      <c r="V38" s="1405" t="s">
        <v>532</v>
      </c>
      <c r="W38" s="3589" t="s">
        <v>476</v>
      </c>
      <c r="X38" s="3588"/>
      <c r="Y38" s="3589" t="s">
        <v>477</v>
      </c>
      <c r="Z38" s="3595"/>
      <c r="AA38" s="3588"/>
      <c r="AB38" s="3750"/>
      <c r="AC38" s="1405" t="s">
        <v>532</v>
      </c>
      <c r="AD38" s="3589" t="s">
        <v>476</v>
      </c>
      <c r="AE38" s="3588"/>
      <c r="AF38" s="3589" t="s">
        <v>477</v>
      </c>
      <c r="AG38" s="3595"/>
      <c r="AH38" s="3588"/>
      <c r="AI38" s="3750"/>
      <c r="AJ38" s="3753"/>
      <c r="AK38" s="3618"/>
      <c r="AQ38" s="1077">
        <v>34</v>
      </c>
    </row>
    <row r="39" spans="1:43" ht="90.4" customHeight="1">
      <c r="A39" s="1292"/>
      <c r="B39" s="1292" t="s">
        <v>188</v>
      </c>
      <c r="C39" s="1292" t="s">
        <v>189</v>
      </c>
      <c r="D39" s="1292" t="s">
        <v>190</v>
      </c>
      <c r="E39" s="1286" t="s">
        <v>478</v>
      </c>
      <c r="F39" s="1286" t="s">
        <v>479</v>
      </c>
      <c r="G39" s="1286" t="s">
        <v>480</v>
      </c>
      <c r="H39" s="1286"/>
      <c r="I39" s="1286" t="s">
        <v>533</v>
      </c>
      <c r="J39" s="1286" t="s">
        <v>483</v>
      </c>
      <c r="K39" s="1286" t="s">
        <v>534</v>
      </c>
      <c r="L39" s="1286" t="s">
        <v>463</v>
      </c>
      <c r="Q39" s="310"/>
      <c r="R39" s="310"/>
      <c r="S39" s="3745"/>
      <c r="T39" s="3697"/>
      <c r="U39" s="237"/>
      <c r="V39" s="1405" t="s">
        <v>561</v>
      </c>
      <c r="W39" s="1144" t="s">
        <v>562</v>
      </c>
      <c r="X39" s="1144" t="s">
        <v>537</v>
      </c>
      <c r="Y39" s="1411" t="s">
        <v>487</v>
      </c>
      <c r="Z39" s="3705" t="s">
        <v>488</v>
      </c>
      <c r="AA39" s="3707"/>
      <c r="AB39" s="3751"/>
      <c r="AC39" s="1405" t="s">
        <v>561</v>
      </c>
      <c r="AD39" s="1144" t="s">
        <v>562</v>
      </c>
      <c r="AE39" s="1144" t="s">
        <v>537</v>
      </c>
      <c r="AF39" s="1411" t="s">
        <v>487</v>
      </c>
      <c r="AG39" s="3705" t="s">
        <v>488</v>
      </c>
      <c r="AH39" s="3707"/>
      <c r="AI39" s="3751"/>
      <c r="AJ39" s="3754"/>
      <c r="AK39" s="3618"/>
      <c r="AQ39" s="1077">
        <v>86</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164</v>
      </c>
      <c r="T40" s="1177" t="s">
        <v>89</v>
      </c>
      <c r="U40" s="1167" t="str">
        <f ca="1">OFFSET(U40,0,-1)</f>
        <v>2</v>
      </c>
      <c r="V40" s="1404">
        <f ca="1">OFFSET(V40,0,-1)+1</f>
        <v>3</v>
      </c>
      <c r="W40" s="1404">
        <f ca="1">OFFSET(W40,0,-1)+1</f>
        <v>4</v>
      </c>
      <c r="X40" s="1404">
        <f ca="1">OFFSET(X40,0,-1)+1</f>
        <v>5</v>
      </c>
      <c r="Y40" s="1404">
        <f ca="1">OFFSET(Y40,0,-1)+1</f>
        <v>6</v>
      </c>
      <c r="Z40" s="3744">
        <f ca="1">OFFSET(Z40,0,-1)+1</f>
        <v>7</v>
      </c>
      <c r="AA40" s="3744"/>
      <c r="AB40" s="1404">
        <f ca="1">OFFSET(AB40,0,-2)+1</f>
        <v>8</v>
      </c>
      <c r="AC40" s="1404">
        <f ca="1">OFFSET(AC40,0,-1)+1</f>
        <v>9</v>
      </c>
      <c r="AD40" s="1404">
        <f ca="1">OFFSET(AD40,0,-1)+1</f>
        <v>10</v>
      </c>
      <c r="AE40" s="1404">
        <f ca="1">OFFSET(AE40,0,-1)+1</f>
        <v>11</v>
      </c>
      <c r="AF40" s="1404">
        <f ca="1">OFFSET(AF40,0,-1)+1</f>
        <v>12</v>
      </c>
      <c r="AG40" s="3744">
        <f ca="1">OFFSET(AG40,0,-1)+1</f>
        <v>13</v>
      </c>
      <c r="AH40" s="3744"/>
      <c r="AI40" s="1404">
        <f ca="1">OFFSET(AI40,0,-2)+1</f>
        <v>14</v>
      </c>
      <c r="AJ40" s="1167">
        <f ca="1">OFFSET(AJ40,0,-1)</f>
        <v>14</v>
      </c>
      <c r="AK40" s="1404">
        <f ca="1">OFFSET(AK40,0,-1)+1</f>
        <v>15</v>
      </c>
      <c r="AL40" s="445"/>
      <c r="AM40" s="445"/>
      <c r="AN40" s="445"/>
      <c r="AO40" s="445"/>
      <c r="AP40" s="445"/>
      <c r="AQ40" s="430">
        <v>0</v>
      </c>
    </row>
    <row r="41" spans="1:43" ht="24" customHeight="1">
      <c r="A41" s="1285" t="s">
        <v>316</v>
      </c>
      <c r="B41" s="1285"/>
      <c r="C41" s="1285"/>
      <c r="D41" s="1285"/>
      <c r="E41" s="3737">
        <v>1</v>
      </c>
      <c r="F41" s="1285"/>
      <c r="G41" s="1285"/>
      <c r="H41" s="1285"/>
      <c r="I41" s="1285"/>
      <c r="J41" s="1285"/>
      <c r="K41" s="1285"/>
      <c r="L41" s="1286"/>
      <c r="M41" s="1287"/>
      <c r="N41" s="1287"/>
      <c r="O41" s="1287"/>
      <c r="P41" s="295"/>
      <c r="Q41" s="294"/>
      <c r="R41" s="289"/>
      <c r="S41" s="1415">
        <f>INDEX(PT_DIFFERENTIATION_NUM_NTAR,MATCH(A41,PT_DIFFERENTIATION_NTAR_ID,0))</f>
        <v>0</v>
      </c>
      <c r="T41" s="233" t="s">
        <v>176</v>
      </c>
      <c r="U41" s="235"/>
      <c r="V41" s="3723"/>
      <c r="W41" s="3724"/>
      <c r="X41" s="3724"/>
      <c r="Y41" s="3724"/>
      <c r="Z41" s="3724"/>
      <c r="AA41" s="3724"/>
      <c r="AB41" s="3725"/>
      <c r="AC41" s="3723" t="str">
        <f>INDEX(PT_DIFFERENTIATION_NTAR,MATCH(A41,PT_DIFFERENTIATION_NTAR_ID,0))</f>
        <v/>
      </c>
      <c r="AD41" s="3724"/>
      <c r="AE41" s="3724"/>
      <c r="AF41" s="3724"/>
      <c r="AG41" s="3724"/>
      <c r="AH41" s="3724"/>
      <c r="AI41" s="3724"/>
      <c r="AJ41" s="3725"/>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316</v>
      </c>
      <c r="B42" s="1285" t="s">
        <v>317</v>
      </c>
      <c r="C42" s="1285"/>
      <c r="D42" s="1285"/>
      <c r="E42" s="3738"/>
      <c r="F42" s="3737">
        <v>1</v>
      </c>
      <c r="G42" s="1285"/>
      <c r="H42" s="1285"/>
      <c r="I42" s="1285"/>
      <c r="J42" s="1285"/>
      <c r="K42" s="1285"/>
      <c r="L42" s="1286"/>
      <c r="M42" s="1287"/>
      <c r="N42" s="1287"/>
      <c r="O42" s="1287"/>
      <c r="P42" s="1409"/>
      <c r="Q42" s="286"/>
      <c r="R42" s="287"/>
      <c r="S42" s="1415" t="str">
        <f>INDEX(PT_DIFFERENTIATION_NUM_TER,MATCH(B42,PT_DIFFERENTIATION_TER_ID,0))</f>
        <v>.</v>
      </c>
      <c r="T42" s="243" t="s">
        <v>442</v>
      </c>
      <c r="U42" s="235"/>
      <c r="V42" s="3723"/>
      <c r="W42" s="3724"/>
      <c r="X42" s="3724"/>
      <c r="Y42" s="3724"/>
      <c r="Z42" s="3724"/>
      <c r="AA42" s="3724"/>
      <c r="AB42" s="3725"/>
      <c r="AC42" s="3723" t="str">
        <f>INDEX(PT_DIFFERENTIATION_TER,MATCH(B42,PT_DIFFERENTIATION_TER_ID,0))</f>
        <v/>
      </c>
      <c r="AD42" s="3724"/>
      <c r="AE42" s="3724"/>
      <c r="AF42" s="3724"/>
      <c r="AG42" s="3724"/>
      <c r="AH42" s="3724"/>
      <c r="AI42" s="3724"/>
      <c r="AJ42" s="3725"/>
      <c r="AK42" s="1180" t="s">
        <v>443</v>
      </c>
      <c r="AM42" s="434"/>
      <c r="AN42" s="434" t="str">
        <f t="shared" si="1"/>
        <v>Территория действия тарифа</v>
      </c>
      <c r="AO42" s="434"/>
      <c r="AP42" s="434"/>
      <c r="AQ42" s="1077">
        <v>23</v>
      </c>
    </row>
    <row r="43" spans="1:43" ht="24" customHeight="1">
      <c r="A43" s="1285" t="s">
        <v>316</v>
      </c>
      <c r="B43" s="1285" t="s">
        <v>317</v>
      </c>
      <c r="C43" s="1285" t="s">
        <v>318</v>
      </c>
      <c r="D43" s="1285"/>
      <c r="E43" s="3738"/>
      <c r="F43" s="3738"/>
      <c r="G43" s="3737">
        <v>1</v>
      </c>
      <c r="H43" s="1285"/>
      <c r="I43" s="1285"/>
      <c r="J43" s="1285"/>
      <c r="K43" s="1285"/>
      <c r="L43" s="1286"/>
      <c r="M43" s="1287"/>
      <c r="N43" s="1287"/>
      <c r="O43" s="1287"/>
      <c r="P43" s="288"/>
      <c r="Q43" s="286"/>
      <c r="R43" s="287"/>
      <c r="S43" s="1415" t="str">
        <f>INDEX(PT_DIFFERENTIATION_NUM_CS,MATCH(C43,PT_DIFFERENTIATION_CS_ID,0))</f>
        <v>..</v>
      </c>
      <c r="T43" s="244" t="s">
        <v>559</v>
      </c>
      <c r="U43" s="235"/>
      <c r="V43" s="3723"/>
      <c r="W43" s="3724"/>
      <c r="X43" s="3724"/>
      <c r="Y43" s="3724"/>
      <c r="Z43" s="3724"/>
      <c r="AA43" s="3724"/>
      <c r="AB43" s="3725"/>
      <c r="AC43" s="3723" t="str">
        <f>INDEX(PT_DIFFERENTIATION_CS,MATCH(C43,PT_DIFFERENTIATION_CS_ID,0))</f>
        <v/>
      </c>
      <c r="AD43" s="3724"/>
      <c r="AE43" s="3724"/>
      <c r="AF43" s="3724"/>
      <c r="AG43" s="3724"/>
      <c r="AH43" s="3724"/>
      <c r="AI43" s="3724"/>
      <c r="AJ43" s="3725"/>
      <c r="AK43" s="1180" t="s">
        <v>560</v>
      </c>
      <c r="AM43" s="434"/>
      <c r="AN43" s="434" t="str">
        <f t="shared" si="1"/>
        <v>Наименование централизованной системы водоотведения</v>
      </c>
      <c r="AO43" s="434"/>
      <c r="AP43" s="434"/>
      <c r="AQ43" s="1077">
        <v>23</v>
      </c>
    </row>
    <row r="44" spans="1:43" ht="24" customHeight="1">
      <c r="A44" s="1285" t="s">
        <v>316</v>
      </c>
      <c r="B44" s="1285" t="s">
        <v>317</v>
      </c>
      <c r="C44" s="1285" t="s">
        <v>318</v>
      </c>
      <c r="D44" s="1285" t="s">
        <v>564</v>
      </c>
      <c r="E44" s="3738"/>
      <c r="F44" s="3738"/>
      <c r="G44" s="3738"/>
      <c r="H44" s="3738"/>
      <c r="I44" s="3735" t="str">
        <f>S43&amp;".1"</f>
        <v>...1</v>
      </c>
      <c r="J44" s="1285"/>
      <c r="K44" s="1285"/>
      <c r="L44" s="1286"/>
      <c r="P44" s="3736">
        <v>1</v>
      </c>
      <c r="Q44" s="1403"/>
      <c r="R44" s="290"/>
      <c r="S44" s="1415" t="str">
        <f>$I44</f>
        <v>...1</v>
      </c>
      <c r="T44" s="220" t="s">
        <v>526</v>
      </c>
      <c r="U44" s="235"/>
      <c r="V44" s="3807"/>
      <c r="W44" s="3808"/>
      <c r="X44" s="3808"/>
      <c r="Y44" s="3808"/>
      <c r="Z44" s="3808"/>
      <c r="AA44" s="3808"/>
      <c r="AB44" s="3809"/>
      <c r="AC44" s="3810"/>
      <c r="AD44" s="3811"/>
      <c r="AE44" s="3811"/>
      <c r="AF44" s="3811"/>
      <c r="AG44" s="3811"/>
      <c r="AH44" s="3811"/>
      <c r="AI44" s="3811"/>
      <c r="AJ44" s="3812"/>
      <c r="AK44" s="1180" t="s">
        <v>527</v>
      </c>
      <c r="AM44" s="434"/>
      <c r="AN44" s="434" t="str">
        <f t="shared" si="1"/>
        <v>Наименование признака дифференциации</v>
      </c>
      <c r="AO44" s="434"/>
      <c r="AP44" s="434"/>
      <c r="AQ44" s="1077">
        <v>23</v>
      </c>
    </row>
    <row r="45" spans="1:43" ht="24" customHeight="1">
      <c r="A45" s="1285" t="s">
        <v>316</v>
      </c>
      <c r="B45" s="1285" t="s">
        <v>317</v>
      </c>
      <c r="C45" s="1285" t="s">
        <v>318</v>
      </c>
      <c r="D45" s="1285" t="s">
        <v>564</v>
      </c>
      <c r="E45" s="3738"/>
      <c r="F45" s="3738"/>
      <c r="G45" s="3738"/>
      <c r="H45" s="3738"/>
      <c r="I45" s="3758"/>
      <c r="J45" s="3735" t="str">
        <f>I44&amp;".1"</f>
        <v>...1.1</v>
      </c>
      <c r="K45" s="1285"/>
      <c r="L45" s="1286" t="s">
        <v>451</v>
      </c>
      <c r="P45" s="3736"/>
      <c r="Q45" s="3736">
        <v>1</v>
      </c>
      <c r="R45" s="291"/>
      <c r="S45" s="1415" t="str">
        <f>$J45</f>
        <v>...1.1</v>
      </c>
      <c r="T45" s="221" t="s">
        <v>452</v>
      </c>
      <c r="U45" s="235"/>
      <c r="V45" s="3726"/>
      <c r="W45" s="3727"/>
      <c r="X45" s="3727"/>
      <c r="Y45" s="3727"/>
      <c r="Z45" s="3727"/>
      <c r="AA45" s="3727"/>
      <c r="AB45" s="3728"/>
      <c r="AC45" s="3726"/>
      <c r="AD45" s="3727"/>
      <c r="AE45" s="3727"/>
      <c r="AF45" s="3727"/>
      <c r="AG45" s="3727"/>
      <c r="AH45" s="3727"/>
      <c r="AI45" s="3727"/>
      <c r="AJ45" s="3728"/>
      <c r="AK45" s="1229" t="s">
        <v>528</v>
      </c>
      <c r="AM45" s="434"/>
      <c r="AN45" s="434" t="str">
        <f t="shared" si="1"/>
        <v>Группа потребителей</v>
      </c>
      <c r="AO45" s="434"/>
      <c r="AP45" s="434"/>
      <c r="AQ45" s="1077">
        <v>23</v>
      </c>
    </row>
    <row r="46" spans="1:43" ht="24" customHeight="1">
      <c r="A46" s="1285" t="s">
        <v>316</v>
      </c>
      <c r="B46" s="1285" t="s">
        <v>317</v>
      </c>
      <c r="C46" s="1285" t="s">
        <v>318</v>
      </c>
      <c r="D46" s="1285" t="s">
        <v>564</v>
      </c>
      <c r="E46" s="3738"/>
      <c r="F46" s="3738"/>
      <c r="G46" s="3738"/>
      <c r="H46" s="3738"/>
      <c r="I46" s="3758"/>
      <c r="J46" s="3758"/>
      <c r="K46" s="3735" t="str">
        <f>J45&amp;".1"</f>
        <v>...1.1.1</v>
      </c>
      <c r="L46" s="1286"/>
      <c r="P46" s="3736"/>
      <c r="Q46" s="3736"/>
      <c r="R46" s="291">
        <v>1</v>
      </c>
      <c r="S46" s="1415" t="str">
        <f>$K46</f>
        <v>...1.1.1</v>
      </c>
      <c r="T46" s="1359"/>
      <c r="U46" s="235"/>
      <c r="V46" s="1282"/>
      <c r="W46" s="1282"/>
      <c r="X46" s="1283"/>
      <c r="Y46" s="3742"/>
      <c r="Z46" s="3743" t="s">
        <v>50</v>
      </c>
      <c r="AA46" s="3742"/>
      <c r="AB46" s="3743" t="s">
        <v>50</v>
      </c>
      <c r="AC46" s="685"/>
      <c r="AD46" s="685"/>
      <c r="AE46" s="1179"/>
      <c r="AF46" s="3740"/>
      <c r="AG46" s="3599" t="s">
        <v>50</v>
      </c>
      <c r="AH46" s="3759"/>
      <c r="AI46" s="3599" t="s">
        <v>6</v>
      </c>
      <c r="AJ46" s="1360"/>
      <c r="AK46"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316</v>
      </c>
      <c r="B47" s="1285" t="s">
        <v>317</v>
      </c>
      <c r="C47" s="1285" t="s">
        <v>318</v>
      </c>
      <c r="D47" s="1285" t="s">
        <v>564</v>
      </c>
      <c r="E47" s="3738"/>
      <c r="F47" s="3738"/>
      <c r="G47" s="3738"/>
      <c r="H47" s="3738"/>
      <c r="I47" s="3758"/>
      <c r="J47" s="3758"/>
      <c r="K47" s="3735"/>
      <c r="L47" s="1286"/>
      <c r="P47" s="3736"/>
      <c r="Q47" s="3736"/>
      <c r="R47" s="291"/>
      <c r="S47" s="1412"/>
      <c r="T47" s="235"/>
      <c r="U47" s="235"/>
      <c r="V47" s="1282"/>
      <c r="W47" s="1282"/>
      <c r="X47" s="263" t="str">
        <f>Y46&amp;"-"&amp;AA46</f>
        <v>-</v>
      </c>
      <c r="Y47" s="3743"/>
      <c r="Z47" s="3743"/>
      <c r="AA47" s="3743"/>
      <c r="AB47" s="3743"/>
      <c r="AC47" s="260"/>
      <c r="AD47" s="260"/>
      <c r="AE47" s="263" t="str">
        <f>AF46&amp;"-"&amp;AH46</f>
        <v>-</v>
      </c>
      <c r="AF47" s="3741"/>
      <c r="AG47" s="3599"/>
      <c r="AH47" s="3760"/>
      <c r="AI47" s="3599"/>
      <c r="AJ47" s="1361"/>
      <c r="AK47" s="3806"/>
      <c r="AM47" s="434"/>
      <c r="AN47" s="434" t="str">
        <f t="shared" si="1"/>
        <v/>
      </c>
      <c r="AO47" s="434"/>
      <c r="AP47" s="434"/>
      <c r="AQ47" s="1077">
        <v>0</v>
      </c>
    </row>
    <row r="48" spans="1:43" ht="21" customHeight="1">
      <c r="A48" s="1285" t="s">
        <v>316</v>
      </c>
      <c r="B48" s="1285" t="s">
        <v>317</v>
      </c>
      <c r="C48" s="1285" t="s">
        <v>318</v>
      </c>
      <c r="D48" s="1285" t="s">
        <v>564</v>
      </c>
      <c r="E48" s="3738"/>
      <c r="F48" s="3738"/>
      <c r="G48" s="3738"/>
      <c r="H48" s="3738"/>
      <c r="I48" s="3758"/>
      <c r="J48" s="3735"/>
      <c r="K48" s="1285"/>
      <c r="L48" s="1286"/>
      <c r="P48" s="3736"/>
      <c r="Q48" s="3736"/>
      <c r="R48" s="290"/>
      <c r="S48" s="1200"/>
      <c r="T48" s="222" t="s">
        <v>529</v>
      </c>
      <c r="U48" s="301"/>
      <c r="V48" s="301"/>
      <c r="W48" s="301"/>
      <c r="X48" s="301"/>
      <c r="Y48" s="301"/>
      <c r="Z48" s="301"/>
      <c r="AA48" s="301"/>
      <c r="AB48" s="301"/>
      <c r="AC48" s="301"/>
      <c r="AD48" s="301"/>
      <c r="AE48" s="301"/>
      <c r="AF48" s="301"/>
      <c r="AG48" s="301"/>
      <c r="AH48" s="301"/>
      <c r="AI48" s="301"/>
      <c r="AJ48" s="301"/>
      <c r="AK48" s="1180" t="s">
        <v>530</v>
      </c>
      <c r="AM48" s="434"/>
      <c r="AN48" s="434" t="str">
        <f t="shared" si="1"/>
        <v>Добавить значение признака дифференциации</v>
      </c>
      <c r="AO48" s="434"/>
      <c r="AP48" s="434"/>
      <c r="AQ48" s="1077">
        <v>20</v>
      </c>
    </row>
    <row r="49" spans="1:43" ht="21.95" customHeight="1">
      <c r="A49" s="1285" t="s">
        <v>316</v>
      </c>
      <c r="B49" s="1285" t="s">
        <v>317</v>
      </c>
      <c r="C49" s="1285" t="s">
        <v>318</v>
      </c>
      <c r="D49" s="1285" t="s">
        <v>564</v>
      </c>
      <c r="E49" s="3738"/>
      <c r="F49" s="3738"/>
      <c r="G49" s="3738"/>
      <c r="H49" s="3738"/>
      <c r="I49" s="3735"/>
      <c r="J49" s="1285"/>
      <c r="K49" s="1285"/>
      <c r="L49" s="1286"/>
      <c r="P49" s="3736"/>
      <c r="Q49" s="1403"/>
      <c r="R49" s="290"/>
      <c r="S49" s="1200"/>
      <c r="T49" s="299" t="s">
        <v>457</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316</v>
      </c>
      <c r="B50" s="1285" t="s">
        <v>317</v>
      </c>
      <c r="C50" s="1285" t="s">
        <v>318</v>
      </c>
      <c r="D50" s="1285" t="s">
        <v>564</v>
      </c>
      <c r="E50" s="3738"/>
      <c r="F50" s="3738"/>
      <c r="G50" s="3738"/>
      <c r="H50" s="3737"/>
      <c r="I50" s="1285"/>
      <c r="J50" s="1285"/>
      <c r="K50" s="1285"/>
      <c r="L50" s="1286"/>
      <c r="M50" s="1287"/>
      <c r="N50" s="1287"/>
      <c r="O50" s="471"/>
      <c r="P50" s="294"/>
      <c r="Q50" s="309"/>
      <c r="R50" s="289"/>
      <c r="S50" s="1200"/>
      <c r="T50" s="306" t="s">
        <v>531</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316</v>
      </c>
      <c r="B51" s="1265" t="s">
        <v>317</v>
      </c>
      <c r="C51" s="1236"/>
      <c r="D51" s="1236"/>
      <c r="E51" s="3738"/>
      <c r="F51" s="3737"/>
      <c r="G51" s="1236"/>
      <c r="H51" s="1236"/>
      <c r="I51" s="1236"/>
      <c r="J51" s="1236"/>
      <c r="K51" s="1236"/>
      <c r="L51" s="1416"/>
      <c r="M51" s="1243"/>
      <c r="N51" s="1243"/>
      <c r="P51" s="1238"/>
      <c r="Q51" s="1239"/>
      <c r="R51" s="1238"/>
      <c r="S51" s="1244"/>
      <c r="T51" s="1247" t="s">
        <v>460</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316</v>
      </c>
      <c r="B52" s="1265"/>
      <c r="C52" s="1265"/>
      <c r="D52" s="1265"/>
      <c r="E52" s="3737"/>
      <c r="F52" s="1265"/>
      <c r="G52" s="1265"/>
      <c r="H52" s="1265"/>
      <c r="I52" s="1265"/>
      <c r="J52" s="1265"/>
      <c r="K52" s="1265"/>
      <c r="L52" s="1268"/>
      <c r="M52" s="1243"/>
      <c r="N52" s="1243"/>
      <c r="O52" s="452"/>
      <c r="P52" s="314"/>
      <c r="Q52" s="1266"/>
      <c r="R52" s="314"/>
      <c r="S52" s="1244"/>
      <c r="T52" s="1247" t="s">
        <v>461</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416"/>
      <c r="M53" s="1243"/>
      <c r="N53" s="1243"/>
      <c r="P53" s="1238"/>
      <c r="Q53" s="1239"/>
      <c r="R53" s="1238"/>
      <c r="S53" s="1244"/>
      <c r="T53" s="1247" t="s">
        <v>489</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3757"/>
      <c r="U55" s="3757"/>
      <c r="V55" s="3757"/>
      <c r="W55" s="3757"/>
      <c r="X55" s="3757"/>
      <c r="Y55" s="3757"/>
      <c r="Z55" s="3757"/>
      <c r="AA55" s="3757"/>
      <c r="AB55" s="3757"/>
      <c r="AC55" s="3757"/>
      <c r="AD55" s="3757"/>
      <c r="AE55" s="3757"/>
      <c r="AF55" s="3757"/>
      <c r="AG55" s="3757"/>
      <c r="AH55" s="3757"/>
      <c r="AI55" s="3757"/>
      <c r="AJ55" s="3757"/>
      <c r="AK55" s="3757"/>
      <c r="AQ55" s="1077">
        <v>14</v>
      </c>
    </row>
    <row r="56" spans="1:43" ht="14.65" customHeight="1">
      <c r="O56" s="471"/>
      <c r="AQ56" s="1077">
        <v>14</v>
      </c>
    </row>
    <row r="57" spans="1:43" ht="14.65" customHeight="1">
      <c r="O57" s="471"/>
      <c r="S57" s="1175"/>
      <c r="T57" s="3757"/>
      <c r="U57" s="3757"/>
      <c r="V57" s="3757"/>
      <c r="W57" s="3757"/>
      <c r="X57" s="3757"/>
      <c r="Y57" s="3757"/>
      <c r="Z57" s="3757"/>
      <c r="AA57" s="3757"/>
      <c r="AB57" s="3757"/>
      <c r="AC57" s="3757"/>
      <c r="AD57" s="3757"/>
      <c r="AE57" s="3757"/>
      <c r="AF57" s="3757"/>
      <c r="AG57" s="3757"/>
      <c r="AH57" s="3757"/>
      <c r="AI57" s="3757"/>
      <c r="AJ57" s="3757"/>
      <c r="AK57" s="3757"/>
      <c r="AQ57" s="1077">
        <v>14</v>
      </c>
    </row>
    <row r="58" spans="1:43" ht="22.5" hidden="1" customHeight="1">
      <c r="A58" s="1082" t="s">
        <v>70</v>
      </c>
      <c r="B58" s="1082">
        <v>0</v>
      </c>
      <c r="C58" s="1082">
        <v>0</v>
      </c>
      <c r="D58" s="1082">
        <v>0</v>
      </c>
      <c r="E58" s="1082">
        <v>0</v>
      </c>
      <c r="F58" s="1082">
        <v>0</v>
      </c>
      <c r="G58" s="1082">
        <v>0</v>
      </c>
      <c r="H58" s="1082">
        <v>0</v>
      </c>
      <c r="I58" s="1082">
        <v>0</v>
      </c>
      <c r="J58" s="1082">
        <v>0</v>
      </c>
      <c r="K58" s="1082">
        <v>0</v>
      </c>
      <c r="L58" s="1400">
        <v>0</v>
      </c>
      <c r="M58" s="1284">
        <v>0</v>
      </c>
      <c r="N58" s="1284">
        <v>0</v>
      </c>
      <c r="O58" s="1284">
        <v>0</v>
      </c>
      <c r="P58" s="1395">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7109375" style="1668" hidden="1" customWidth="1"/>
    <col min="17" max="17" width="3.7109375" style="1293" hidden="1" customWidth="1"/>
    <col min="18" max="18" width="3" style="279" customWidth="1"/>
    <col min="19" max="19" width="12" style="1992"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2"/>
      <c r="Y1" s="262"/>
      <c r="Z1" s="262"/>
      <c r="AW1" s="262"/>
      <c r="AX1" s="262"/>
      <c r="BI1" s="1077" t="s">
        <v>1</v>
      </c>
    </row>
    <row r="2" spans="1:61" ht="21" hidden="1" customHeight="1">
      <c r="A2" s="1285"/>
      <c r="B2" s="1285"/>
      <c r="C2" s="1285"/>
      <c r="D2" s="1285"/>
      <c r="E2" s="3737">
        <v>1</v>
      </c>
      <c r="F2" s="1285"/>
      <c r="G2" s="1285"/>
      <c r="H2" s="1285"/>
      <c r="I2" s="1285"/>
      <c r="J2" s="1285"/>
      <c r="K2" s="1285"/>
      <c r="L2" s="1286"/>
      <c r="M2" s="1287"/>
      <c r="N2" s="1287"/>
      <c r="O2" s="1287"/>
      <c r="P2" s="1331"/>
      <c r="Q2" s="801"/>
      <c r="R2" s="289"/>
      <c r="S2" s="1415" t="e">
        <f>INDEX(PT_DIFFERENTIATION_NUM_NTAR,MATCH(A2,PT_DIFFERENTIATION_NTAR_ID,0))</f>
        <v>#N/A</v>
      </c>
      <c r="T2" s="233" t="s">
        <v>176</v>
      </c>
      <c r="U2" s="235"/>
      <c r="V2" s="3724"/>
      <c r="W2" s="3724"/>
      <c r="X2" s="3724"/>
      <c r="Y2" s="3724"/>
      <c r="Z2" s="3724"/>
      <c r="AA2" s="3724"/>
      <c r="AB2" s="3724"/>
      <c r="AC2" s="3725"/>
      <c r="AD2" s="3723" t="e">
        <f>INDEX(PT_DIFFERENTIATION_NTAR,MATCH(A2,PT_DIFFERENTIATION_NTAR_ID,0))</f>
        <v>#N/A</v>
      </c>
      <c r="AE2" s="3724"/>
      <c r="AF2" s="3724"/>
      <c r="AG2" s="3724"/>
      <c r="AH2" s="3724"/>
      <c r="AI2" s="3724"/>
      <c r="AJ2" s="3724"/>
      <c r="AK2" s="3724"/>
      <c r="AL2" s="3724"/>
      <c r="AM2" s="3724"/>
      <c r="AN2" s="3724"/>
      <c r="AO2" s="3724"/>
      <c r="AP2" s="3724"/>
      <c r="AQ2" s="3724"/>
      <c r="AR2" s="3724"/>
      <c r="AS2" s="3724"/>
      <c r="AT2" s="3724"/>
      <c r="AU2" s="3724"/>
      <c r="AV2" s="3724"/>
      <c r="AW2" s="3724"/>
      <c r="AX2" s="3724"/>
      <c r="AY2" s="3724"/>
      <c r="AZ2" s="3724"/>
      <c r="BA2" s="3724"/>
      <c r="BB2" s="3725"/>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7">
        <v>0</v>
      </c>
    </row>
    <row r="3" spans="1:61" ht="21" hidden="1" customHeight="1">
      <c r="A3" s="1285"/>
      <c r="B3" s="1285"/>
      <c r="C3" s="1285"/>
      <c r="D3" s="1285"/>
      <c r="E3" s="3738"/>
      <c r="F3" s="3737">
        <v>1</v>
      </c>
      <c r="G3" s="1285"/>
      <c r="H3" s="1285"/>
      <c r="I3" s="1285"/>
      <c r="J3" s="1285"/>
      <c r="K3" s="1285"/>
      <c r="L3" s="1286"/>
      <c r="M3" s="1287"/>
      <c r="N3" s="1287"/>
      <c r="O3" s="1287"/>
      <c r="P3" s="1332"/>
      <c r="Q3" s="1333"/>
      <c r="R3" s="287"/>
      <c r="S3" s="1415" t="e">
        <f>INDEX(PT_DIFFERENTIATION_NUM_TER,MATCH(B3,PT_DIFFERENTIATION_TER_ID,0))</f>
        <v>#N/A</v>
      </c>
      <c r="T3" s="243" t="s">
        <v>442</v>
      </c>
      <c r="U3" s="235"/>
      <c r="V3" s="3724"/>
      <c r="W3" s="3724"/>
      <c r="X3" s="3724"/>
      <c r="Y3" s="3724"/>
      <c r="Z3" s="3724"/>
      <c r="AA3" s="3724"/>
      <c r="AB3" s="3724"/>
      <c r="AC3" s="3725"/>
      <c r="AD3" s="3723" t="e">
        <f>INDEX(PT_DIFFERENTIATION_TER,MATCH(B3,PT_DIFFERENTIATION_TER_ID,0))</f>
        <v>#N/A</v>
      </c>
      <c r="AE3" s="3724"/>
      <c r="AF3" s="3724"/>
      <c r="AG3" s="3724"/>
      <c r="AH3" s="3724"/>
      <c r="AI3" s="3724"/>
      <c r="AJ3" s="3724"/>
      <c r="AK3" s="3724"/>
      <c r="AL3" s="3724"/>
      <c r="AM3" s="3724"/>
      <c r="AN3" s="3724"/>
      <c r="AO3" s="3724"/>
      <c r="AP3" s="3724"/>
      <c r="AQ3" s="3724"/>
      <c r="AR3" s="3724"/>
      <c r="AS3" s="3724"/>
      <c r="AT3" s="3724"/>
      <c r="AU3" s="3724"/>
      <c r="AV3" s="3724"/>
      <c r="AW3" s="3724"/>
      <c r="AX3" s="3724"/>
      <c r="AY3" s="3724"/>
      <c r="AZ3" s="3724"/>
      <c r="BA3" s="3724"/>
      <c r="BB3" s="3725"/>
      <c r="BC3" s="1180" t="s">
        <v>443</v>
      </c>
      <c r="BE3" s="434"/>
      <c r="BF3" s="434" t="str">
        <f t="shared" si="0"/>
        <v>Территория действия тарифа</v>
      </c>
      <c r="BG3" s="434"/>
      <c r="BH3" s="434"/>
      <c r="BI3" s="1077">
        <v>0</v>
      </c>
    </row>
    <row r="4" spans="1:61" ht="33.75" hidden="1" customHeight="1">
      <c r="A4" s="1285"/>
      <c r="B4" s="1285"/>
      <c r="C4" s="1285"/>
      <c r="D4" s="1285"/>
      <c r="E4" s="3738"/>
      <c r="F4" s="3738"/>
      <c r="G4" s="3737">
        <v>1</v>
      </c>
      <c r="H4" s="1285"/>
      <c r="I4" s="1285"/>
      <c r="J4" s="1285"/>
      <c r="K4" s="1285"/>
      <c r="L4" s="1286"/>
      <c r="M4" s="1287"/>
      <c r="N4" s="1287"/>
      <c r="O4" s="1287"/>
      <c r="P4" s="1334"/>
      <c r="Q4" s="1333"/>
      <c r="R4" s="287"/>
      <c r="S4" s="1415" t="e">
        <f>INDEX(PT_DIFFERENTIATION_NUM_CS,MATCH(C4,PT_DIFFERENTIATION_CS_ID,0))</f>
        <v>#N/A</v>
      </c>
      <c r="T4" s="244" t="s">
        <v>559</v>
      </c>
      <c r="U4" s="235"/>
      <c r="V4" s="3724"/>
      <c r="W4" s="3724"/>
      <c r="X4" s="3724"/>
      <c r="Y4" s="3724"/>
      <c r="Z4" s="3724"/>
      <c r="AA4" s="3724"/>
      <c r="AB4" s="3724"/>
      <c r="AC4" s="3725"/>
      <c r="AD4" s="3723" t="e">
        <f>INDEX(PT_DIFFERENTIATION_CS,MATCH(C4,PT_DIFFERENTIATION_CS_ID,0))</f>
        <v>#N/A</v>
      </c>
      <c r="AE4" s="3724"/>
      <c r="AF4" s="3724"/>
      <c r="AG4" s="3724"/>
      <c r="AH4" s="3724"/>
      <c r="AI4" s="3724"/>
      <c r="AJ4" s="3724"/>
      <c r="AK4" s="3724"/>
      <c r="AL4" s="3724"/>
      <c r="AM4" s="3724"/>
      <c r="AN4" s="3724"/>
      <c r="AO4" s="3724"/>
      <c r="AP4" s="3724"/>
      <c r="AQ4" s="3724"/>
      <c r="AR4" s="3724"/>
      <c r="AS4" s="3724"/>
      <c r="AT4" s="3724"/>
      <c r="AU4" s="3724"/>
      <c r="AV4" s="3724"/>
      <c r="AW4" s="3724"/>
      <c r="AX4" s="3724"/>
      <c r="AY4" s="3724"/>
      <c r="AZ4" s="3724"/>
      <c r="BA4" s="3724"/>
      <c r="BB4" s="3725"/>
      <c r="BC4" s="1180" t="s">
        <v>560</v>
      </c>
      <c r="BE4" s="434"/>
      <c r="BF4" s="434" t="str">
        <f t="shared" si="0"/>
        <v>Наименование централизованной системы водоотведения</v>
      </c>
      <c r="BG4" s="434"/>
      <c r="BH4" s="434"/>
      <c r="BI4" s="1077">
        <v>0</v>
      </c>
    </row>
    <row r="5" spans="1:61" s="1564" customFormat="1" ht="14.25" hidden="1" customHeight="1">
      <c r="A5" s="1265"/>
      <c r="B5" s="1265"/>
      <c r="C5" s="1265"/>
      <c r="D5" s="1265"/>
      <c r="E5" s="3738"/>
      <c r="F5" s="3738"/>
      <c r="G5" s="3738"/>
      <c r="H5" s="3737">
        <v>1</v>
      </c>
      <c r="I5" s="1265"/>
      <c r="J5" s="1265"/>
      <c r="K5" s="1265"/>
      <c r="L5" s="1268"/>
      <c r="M5" s="1237"/>
      <c r="N5" s="1237"/>
      <c r="O5" s="1237"/>
      <c r="P5" s="1419"/>
      <c r="Q5" s="1420"/>
      <c r="R5" s="291"/>
      <c r="S5" s="968"/>
      <c r="T5" s="1421"/>
      <c r="U5" s="1306"/>
      <c r="V5" s="3767"/>
      <c r="W5" s="3767"/>
      <c r="X5" s="3767"/>
      <c r="Y5" s="3767"/>
      <c r="Z5" s="3767"/>
      <c r="AA5" s="3767"/>
      <c r="AB5" s="3767"/>
      <c r="AC5" s="3768"/>
      <c r="AD5" s="3766"/>
      <c r="AE5" s="3767"/>
      <c r="AF5" s="3767"/>
      <c r="AG5" s="3767"/>
      <c r="AH5" s="3767"/>
      <c r="AI5" s="3767"/>
      <c r="AJ5" s="3767"/>
      <c r="AK5" s="3767"/>
      <c r="AL5" s="3767"/>
      <c r="AM5" s="3767"/>
      <c r="AN5" s="3767"/>
      <c r="AO5" s="3767"/>
      <c r="AP5" s="3767"/>
      <c r="AQ5" s="3767"/>
      <c r="AR5" s="3767"/>
      <c r="AS5" s="3767"/>
      <c r="AT5" s="3767"/>
      <c r="AU5" s="3767"/>
      <c r="AV5" s="3767"/>
      <c r="AW5" s="3767"/>
      <c r="AX5" s="3767"/>
      <c r="AY5" s="3767"/>
      <c r="AZ5" s="3767"/>
      <c r="BA5" s="3767"/>
      <c r="BB5" s="3768"/>
      <c r="BC5" s="1307" t="s">
        <v>447</v>
      </c>
      <c r="BE5" s="434"/>
      <c r="BF5" s="434" t="str">
        <f t="shared" si="0"/>
        <v/>
      </c>
      <c r="BG5" s="434"/>
      <c r="BH5" s="434"/>
      <c r="BI5" s="445">
        <v>0</v>
      </c>
    </row>
    <row r="6" spans="1:61" s="1564" customFormat="1" ht="14.25" hidden="1" customHeight="1">
      <c r="A6" s="1265"/>
      <c r="B6" s="1265"/>
      <c r="C6" s="1265"/>
      <c r="D6" s="1265"/>
      <c r="E6" s="3738"/>
      <c r="F6" s="3738"/>
      <c r="G6" s="3738"/>
      <c r="H6" s="3738"/>
      <c r="I6" s="3735" t="str">
        <f>S5&amp;".1"</f>
        <v>.1</v>
      </c>
      <c r="J6" s="1265"/>
      <c r="K6" s="1265"/>
      <c r="L6" s="1268" t="s">
        <v>448</v>
      </c>
      <c r="M6" s="444"/>
      <c r="N6" s="444"/>
      <c r="O6" s="444"/>
      <c r="P6" s="3736">
        <v>1</v>
      </c>
      <c r="Q6" s="1403"/>
      <c r="R6" s="290"/>
      <c r="S6" s="968"/>
      <c r="T6" s="1305"/>
      <c r="U6" s="1306"/>
      <c r="V6" s="3767"/>
      <c r="W6" s="3767"/>
      <c r="X6" s="3767"/>
      <c r="Y6" s="3767"/>
      <c r="Z6" s="3767"/>
      <c r="AA6" s="3767"/>
      <c r="AB6" s="3767"/>
      <c r="AC6" s="3768"/>
      <c r="AD6" s="3766"/>
      <c r="AE6" s="3767"/>
      <c r="AF6" s="3767"/>
      <c r="AG6" s="3767"/>
      <c r="AH6" s="3767"/>
      <c r="AI6" s="3767"/>
      <c r="AJ6" s="3767"/>
      <c r="AK6" s="3767"/>
      <c r="AL6" s="3767"/>
      <c r="AM6" s="3767"/>
      <c r="AN6" s="3767"/>
      <c r="AO6" s="3767"/>
      <c r="AP6" s="3767"/>
      <c r="AQ6" s="3767"/>
      <c r="AR6" s="3767"/>
      <c r="AS6" s="3767"/>
      <c r="AT6" s="3767"/>
      <c r="AU6" s="3767"/>
      <c r="AV6" s="3767"/>
      <c r="AW6" s="3767"/>
      <c r="AX6" s="3767"/>
      <c r="AY6" s="3767"/>
      <c r="AZ6" s="3767"/>
      <c r="BA6" s="3767"/>
      <c r="BB6" s="3768"/>
      <c r="BC6" s="1307"/>
      <c r="BE6" s="434"/>
      <c r="BF6" s="434" t="str">
        <f t="shared" si="0"/>
        <v/>
      </c>
      <c r="BG6" s="434"/>
      <c r="BH6" s="434"/>
      <c r="BI6" s="445">
        <v>0</v>
      </c>
    </row>
    <row r="7" spans="1:61" s="1564" customFormat="1" ht="14.25" hidden="1" customHeight="1">
      <c r="A7" s="1265"/>
      <c r="B7" s="1265"/>
      <c r="C7" s="1265"/>
      <c r="D7" s="1265"/>
      <c r="E7" s="3738"/>
      <c r="F7" s="3738"/>
      <c r="G7" s="3738"/>
      <c r="H7" s="3738"/>
      <c r="I7" s="3758"/>
      <c r="J7" s="3735" t="str">
        <f>S5&amp;".1"</f>
        <v>.1</v>
      </c>
      <c r="K7" s="1265"/>
      <c r="L7" s="1268"/>
      <c r="M7" s="444"/>
      <c r="N7" s="444"/>
      <c r="O7" s="444"/>
      <c r="P7" s="3736"/>
      <c r="Q7" s="3736">
        <v>1</v>
      </c>
      <c r="R7" s="291"/>
      <c r="S7" s="968"/>
      <c r="T7" s="1321"/>
      <c r="U7" s="1306"/>
      <c r="V7" s="3767"/>
      <c r="W7" s="3767"/>
      <c r="X7" s="3767"/>
      <c r="Y7" s="3767"/>
      <c r="Z7" s="3767"/>
      <c r="AA7" s="3767"/>
      <c r="AB7" s="3767"/>
      <c r="AC7" s="3768"/>
      <c r="AD7" s="3766"/>
      <c r="AE7" s="3767"/>
      <c r="AF7" s="3767"/>
      <c r="AG7" s="3767"/>
      <c r="AH7" s="3767"/>
      <c r="AI7" s="3767"/>
      <c r="AJ7" s="3767"/>
      <c r="AK7" s="3767"/>
      <c r="AL7" s="3767"/>
      <c r="AM7" s="3767"/>
      <c r="AN7" s="3767"/>
      <c r="AO7" s="3767"/>
      <c r="AP7" s="3767"/>
      <c r="AQ7" s="3767"/>
      <c r="AR7" s="3767"/>
      <c r="AS7" s="3767"/>
      <c r="AT7" s="3767"/>
      <c r="AU7" s="3767"/>
      <c r="AV7" s="3767"/>
      <c r="AW7" s="3767"/>
      <c r="AX7" s="3767"/>
      <c r="AY7" s="3767"/>
      <c r="AZ7" s="3767"/>
      <c r="BA7" s="3767"/>
      <c r="BB7" s="3768"/>
      <c r="BC7" s="1307"/>
      <c r="BE7" s="434"/>
      <c r="BF7" s="434" t="str">
        <f t="shared" si="0"/>
        <v/>
      </c>
      <c r="BG7" s="434"/>
      <c r="BH7" s="434"/>
      <c r="BI7" s="445">
        <v>0</v>
      </c>
    </row>
    <row r="8" spans="1:61" ht="11.25" hidden="1" customHeight="1">
      <c r="A8" s="1285"/>
      <c r="B8" s="1285"/>
      <c r="C8" s="1285"/>
      <c r="D8" s="1285"/>
      <c r="E8" s="3738"/>
      <c r="F8" s="3738"/>
      <c r="G8" s="3738"/>
      <c r="H8" s="3738"/>
      <c r="I8" s="3758"/>
      <c r="J8" s="3758"/>
      <c r="K8" s="3735" t="e">
        <f>S4&amp;".1"</f>
        <v>#N/A</v>
      </c>
      <c r="L8" s="1286"/>
      <c r="P8" s="3736"/>
      <c r="Q8" s="3736"/>
      <c r="R8" s="3801">
        <v>1</v>
      </c>
      <c r="S8" s="3795" t="e">
        <f>$K8</f>
        <v>#N/A</v>
      </c>
      <c r="T8" s="3816"/>
      <c r="U8" s="235"/>
      <c r="V8" s="685"/>
      <c r="W8" s="1179"/>
      <c r="X8" s="685"/>
      <c r="Y8" s="1179"/>
      <c r="Z8" s="1627"/>
      <c r="AA8" s="1391" t="s">
        <v>50</v>
      </c>
      <c r="AB8" s="1627"/>
      <c r="AC8" s="1391" t="s">
        <v>50</v>
      </c>
      <c r="AD8" s="3676" t="s">
        <v>50</v>
      </c>
      <c r="AE8" s="3780"/>
      <c r="AF8" s="3693">
        <v>1</v>
      </c>
      <c r="AG8" s="3819"/>
      <c r="AH8" s="3599" t="s">
        <v>50</v>
      </c>
      <c r="AI8" s="3780"/>
      <c r="AJ8" s="3693">
        <v>1</v>
      </c>
      <c r="AK8" s="3781" t="s">
        <v>9</v>
      </c>
      <c r="AL8" s="3599" t="s">
        <v>50</v>
      </c>
      <c r="AM8" s="3683"/>
      <c r="AN8" s="3693">
        <v>1</v>
      </c>
      <c r="AO8" s="3813"/>
      <c r="AP8" s="3814" t="s">
        <v>50</v>
      </c>
      <c r="AQ8" s="246"/>
      <c r="AR8" s="1408">
        <v>1</v>
      </c>
      <c r="AS8" s="1414" t="s">
        <v>9</v>
      </c>
      <c r="AT8" s="685"/>
      <c r="AU8" s="1179"/>
      <c r="AV8" s="685"/>
      <c r="AW8" s="1179"/>
      <c r="AX8" s="1627"/>
      <c r="AY8" s="1391" t="s">
        <v>50</v>
      </c>
      <c r="AZ8" s="1627"/>
      <c r="BA8" s="1391" t="s">
        <v>50</v>
      </c>
      <c r="BB8" s="1270"/>
      <c r="BC8" s="3732" t="s">
        <v>542</v>
      </c>
      <c r="BE8" s="434"/>
      <c r="BF8" s="434" t="str">
        <f t="shared" si="0"/>
        <v/>
      </c>
      <c r="BG8" s="434"/>
      <c r="BH8" s="434"/>
      <c r="BI8" s="1077">
        <v>0</v>
      </c>
    </row>
    <row r="9" spans="1:61" ht="11.25" hidden="1" customHeight="1">
      <c r="A9" s="1285"/>
      <c r="B9" s="1285"/>
      <c r="C9" s="1285"/>
      <c r="D9" s="1285"/>
      <c r="E9" s="3738"/>
      <c r="F9" s="3738"/>
      <c r="G9" s="3738"/>
      <c r="H9" s="3738"/>
      <c r="I9" s="3758"/>
      <c r="J9" s="3758"/>
      <c r="K9" s="3735"/>
      <c r="L9" s="1286"/>
      <c r="P9" s="3736"/>
      <c r="Q9" s="3736"/>
      <c r="R9" s="3801"/>
      <c r="S9" s="3796"/>
      <c r="T9" s="3817"/>
      <c r="U9" s="235"/>
      <c r="V9" s="1315"/>
      <c r="W9" s="1418"/>
      <c r="X9" s="1315"/>
      <c r="Y9" s="1418"/>
      <c r="Z9" s="1315"/>
      <c r="AA9" s="1315"/>
      <c r="AB9" s="1315"/>
      <c r="AC9" s="1315"/>
      <c r="AD9" s="3677"/>
      <c r="AE9" s="3780"/>
      <c r="AF9" s="3693"/>
      <c r="AG9" s="3819"/>
      <c r="AH9" s="3599"/>
      <c r="AI9" s="3780"/>
      <c r="AJ9" s="3693"/>
      <c r="AK9" s="3781"/>
      <c r="AL9" s="3599"/>
      <c r="AM9" s="3688"/>
      <c r="AN9" s="3693"/>
      <c r="AO9" s="3813"/>
      <c r="AP9" s="3815"/>
      <c r="AQ9" s="251"/>
      <c r="AR9" s="350"/>
      <c r="AS9" s="350" t="s">
        <v>543</v>
      </c>
      <c r="AT9" s="1315"/>
      <c r="AU9" s="1418"/>
      <c r="AV9" s="1315"/>
      <c r="AW9" s="1418"/>
      <c r="AX9" s="1315"/>
      <c r="AY9" s="1315"/>
      <c r="AZ9" s="1315"/>
      <c r="BA9" s="1315"/>
      <c r="BB9" s="1319"/>
      <c r="BC9" s="3733"/>
      <c r="BE9" s="434"/>
      <c r="BF9" s="434"/>
      <c r="BG9" s="434"/>
      <c r="BH9" s="434"/>
      <c r="BI9" s="1077">
        <v>0</v>
      </c>
    </row>
    <row r="10" spans="1:61" ht="11.25" hidden="1" customHeight="1">
      <c r="A10" s="1285"/>
      <c r="B10" s="1285"/>
      <c r="C10" s="1285"/>
      <c r="D10" s="1285"/>
      <c r="E10" s="3738"/>
      <c r="F10" s="3738"/>
      <c r="G10" s="3738"/>
      <c r="H10" s="3738"/>
      <c r="I10" s="3758"/>
      <c r="J10" s="3758"/>
      <c r="K10" s="3735"/>
      <c r="L10" s="1286"/>
      <c r="P10" s="3736"/>
      <c r="Q10" s="3736"/>
      <c r="R10" s="3801"/>
      <c r="S10" s="3796"/>
      <c r="T10" s="3817"/>
      <c r="U10" s="235"/>
      <c r="V10" s="1315"/>
      <c r="W10" s="1418"/>
      <c r="X10" s="1315"/>
      <c r="Y10" s="1418"/>
      <c r="Z10" s="1315"/>
      <c r="AA10" s="1315"/>
      <c r="AB10" s="1315"/>
      <c r="AC10" s="1315"/>
      <c r="AD10" s="3677"/>
      <c r="AE10" s="3780"/>
      <c r="AF10" s="3693"/>
      <c r="AG10" s="3819"/>
      <c r="AH10" s="3599"/>
      <c r="AI10" s="3780"/>
      <c r="AJ10" s="3693"/>
      <c r="AK10" s="3781"/>
      <c r="AL10" s="3599"/>
      <c r="AM10" s="251"/>
      <c r="AN10" s="1422"/>
      <c r="AO10" s="1422" t="s">
        <v>565</v>
      </c>
      <c r="AP10" s="350"/>
      <c r="AQ10" s="350"/>
      <c r="AR10" s="350"/>
      <c r="AS10" s="1315"/>
      <c r="AT10" s="1315"/>
      <c r="AU10" s="1418"/>
      <c r="AV10" s="1315"/>
      <c r="AW10" s="1418"/>
      <c r="AX10" s="1315"/>
      <c r="AY10" s="1315"/>
      <c r="AZ10" s="1315"/>
      <c r="BA10" s="1315"/>
      <c r="BB10" s="1319"/>
      <c r="BC10" s="3733"/>
      <c r="BE10" s="434"/>
      <c r="BF10" s="434"/>
      <c r="BG10" s="434"/>
      <c r="BH10" s="434"/>
      <c r="BI10" s="1077">
        <v>0</v>
      </c>
    </row>
    <row r="11" spans="1:61" ht="11.25" hidden="1" customHeight="1">
      <c r="A11" s="1285"/>
      <c r="B11" s="1285"/>
      <c r="C11" s="1285"/>
      <c r="D11" s="1285"/>
      <c r="E11" s="3738"/>
      <c r="F11" s="3738"/>
      <c r="G11" s="3738"/>
      <c r="H11" s="3738"/>
      <c r="I11" s="3758"/>
      <c r="J11" s="3758"/>
      <c r="K11" s="3735"/>
      <c r="L11" s="1286"/>
      <c r="P11" s="3736"/>
      <c r="Q11" s="3736"/>
      <c r="R11" s="3801"/>
      <c r="S11" s="3796"/>
      <c r="T11" s="3817"/>
      <c r="U11" s="235"/>
      <c r="V11" s="1315"/>
      <c r="W11" s="1418"/>
      <c r="X11" s="1315"/>
      <c r="Y11" s="1418"/>
      <c r="Z11" s="1315"/>
      <c r="AA11" s="1315"/>
      <c r="AB11" s="1315"/>
      <c r="AC11" s="1315"/>
      <c r="AD11" s="3677"/>
      <c r="AE11" s="3780"/>
      <c r="AF11" s="3693"/>
      <c r="AG11" s="3819"/>
      <c r="AH11" s="3599"/>
      <c r="AI11" s="229"/>
      <c r="AJ11" s="349"/>
      <c r="AK11" s="248" t="s">
        <v>566</v>
      </c>
      <c r="AL11" s="1315"/>
      <c r="AM11" s="1315"/>
      <c r="AN11" s="1315"/>
      <c r="AO11" s="1315"/>
      <c r="AP11" s="1315"/>
      <c r="AQ11" s="1315"/>
      <c r="AR11" s="1315"/>
      <c r="AS11" s="1315"/>
      <c r="AT11" s="1315"/>
      <c r="AU11" s="1418"/>
      <c r="AV11" s="1315"/>
      <c r="AW11" s="1418"/>
      <c r="AX11" s="1315"/>
      <c r="AY11" s="1315"/>
      <c r="AZ11" s="1315"/>
      <c r="BA11" s="1315"/>
      <c r="BB11" s="1319"/>
      <c r="BC11" s="3733"/>
      <c r="BE11" s="434"/>
      <c r="BF11" s="434"/>
      <c r="BG11" s="434"/>
      <c r="BH11" s="434"/>
      <c r="BI11" s="1077">
        <v>0</v>
      </c>
    </row>
    <row r="12" spans="1:61" ht="11.25" hidden="1" customHeight="1">
      <c r="A12" s="1285"/>
      <c r="B12" s="1285"/>
      <c r="C12" s="1285"/>
      <c r="D12" s="1285"/>
      <c r="E12" s="3738"/>
      <c r="F12" s="3738"/>
      <c r="G12" s="3738"/>
      <c r="H12" s="3738"/>
      <c r="I12" s="3758"/>
      <c r="J12" s="3758"/>
      <c r="K12" s="3735"/>
      <c r="L12" s="1286"/>
      <c r="P12" s="3736"/>
      <c r="Q12" s="3736"/>
      <c r="R12" s="3801"/>
      <c r="S12" s="3797"/>
      <c r="T12" s="3818"/>
      <c r="U12" s="235"/>
      <c r="V12" s="1315"/>
      <c r="W12" s="1316" t="str">
        <f>Z8&amp;"-"&amp;AB8</f>
        <v>-</v>
      </c>
      <c r="X12" s="1315"/>
      <c r="Y12" s="1316" t="str">
        <f>AB8&amp;"-"&amp;AD8</f>
        <v>-да</v>
      </c>
      <c r="Z12" s="1315"/>
      <c r="AA12" s="1315"/>
      <c r="AB12" s="1315"/>
      <c r="AC12" s="1315"/>
      <c r="AD12" s="3604"/>
      <c r="AE12" s="247"/>
      <c r="AF12" s="249"/>
      <c r="AG12" s="350" t="s">
        <v>546</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3733"/>
      <c r="BE12" s="434"/>
      <c r="BF12" s="434" t="str">
        <f t="shared" ref="BF12:BF18" si="1">IF(T12="","",T12)</f>
        <v/>
      </c>
      <c r="BG12" s="434"/>
      <c r="BH12" s="434"/>
      <c r="BI12" s="1077">
        <v>0</v>
      </c>
    </row>
    <row r="13" spans="1:61" ht="11.25" hidden="1" customHeight="1">
      <c r="A13" s="1285"/>
      <c r="B13" s="1285"/>
      <c r="C13" s="1285"/>
      <c r="D13" s="1285"/>
      <c r="E13" s="3738"/>
      <c r="F13" s="3738"/>
      <c r="G13" s="3738"/>
      <c r="H13" s="3738"/>
      <c r="I13" s="3758"/>
      <c r="J13" s="3735"/>
      <c r="K13" s="1285"/>
      <c r="L13" s="1286"/>
      <c r="P13" s="3736"/>
      <c r="Q13" s="3736"/>
      <c r="R13" s="290"/>
      <c r="S13" s="1200"/>
      <c r="T13" s="222" t="s">
        <v>509</v>
      </c>
      <c r="U13" s="301"/>
      <c r="V13" s="301"/>
      <c r="W13" s="301"/>
      <c r="X13" s="301"/>
      <c r="Y13" s="301"/>
      <c r="Z13" s="301"/>
      <c r="AA13" s="301"/>
      <c r="AB13" s="301"/>
      <c r="AC13" s="301"/>
      <c r="AD13" s="1427"/>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734"/>
      <c r="BE13" s="434"/>
      <c r="BF13" s="434" t="str">
        <f t="shared" si="1"/>
        <v>Добавить строку</v>
      </c>
      <c r="BG13" s="434"/>
      <c r="BH13" s="434"/>
      <c r="BI13" s="1077">
        <v>0</v>
      </c>
    </row>
    <row r="14" spans="1:61" s="1564" customFormat="1" ht="14.25" hidden="1" customHeight="1">
      <c r="A14" s="1265"/>
      <c r="B14" s="1265"/>
      <c r="C14" s="1265"/>
      <c r="D14" s="1265"/>
      <c r="E14" s="3738"/>
      <c r="F14" s="3738"/>
      <c r="G14" s="3738"/>
      <c r="H14" s="3738"/>
      <c r="I14" s="3735"/>
      <c r="J14" s="1265"/>
      <c r="K14" s="1265"/>
      <c r="L14" s="1268"/>
      <c r="M14" s="444"/>
      <c r="N14" s="444"/>
      <c r="O14" s="444"/>
      <c r="P14" s="3736"/>
      <c r="Q14" s="1403"/>
      <c r="R14" s="290"/>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4"/>
      <c r="BF14" s="434" t="str">
        <f t="shared" si="1"/>
        <v/>
      </c>
      <c r="BG14" s="434"/>
      <c r="BH14" s="434"/>
      <c r="BI14" s="445">
        <v>0</v>
      </c>
    </row>
    <row r="15" spans="1:61" s="1564" customFormat="1" ht="14.25" hidden="1" customHeight="1">
      <c r="A15" s="1265"/>
      <c r="B15" s="1265"/>
      <c r="C15" s="1265"/>
      <c r="D15" s="1265"/>
      <c r="E15" s="3738"/>
      <c r="F15" s="3738"/>
      <c r="G15" s="3738"/>
      <c r="H15" s="3737"/>
      <c r="I15" s="1265"/>
      <c r="J15" s="1265"/>
      <c r="K15" s="1265"/>
      <c r="L15" s="1268"/>
      <c r="M15" s="1237"/>
      <c r="N15" s="1237"/>
      <c r="O15" s="452"/>
      <c r="P15" s="314"/>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4"/>
      <c r="BF15" s="434" t="str">
        <f t="shared" si="1"/>
        <v/>
      </c>
      <c r="BG15" s="434"/>
      <c r="BH15" s="434"/>
      <c r="BI15" s="445">
        <v>0</v>
      </c>
    </row>
    <row r="16" spans="1:61" s="1564" customFormat="1" ht="14.25" hidden="1" customHeight="1">
      <c r="A16" s="1265"/>
      <c r="B16" s="1265"/>
      <c r="C16" s="1265"/>
      <c r="D16" s="1236"/>
      <c r="E16" s="3738"/>
      <c r="F16" s="3738"/>
      <c r="G16" s="3737"/>
      <c r="H16" s="1236"/>
      <c r="I16" s="1236"/>
      <c r="J16" s="1236"/>
      <c r="K16" s="1236"/>
      <c r="L16" s="141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2">
        <v>0</v>
      </c>
    </row>
    <row r="17" spans="1:61" s="1564" customFormat="1" ht="14.25" hidden="1" customHeight="1">
      <c r="A17" s="1265"/>
      <c r="B17" s="1265"/>
      <c r="C17" s="1236"/>
      <c r="D17" s="1236"/>
      <c r="E17" s="3738"/>
      <c r="F17" s="3737"/>
      <c r="G17" s="1236"/>
      <c r="H17" s="1236"/>
      <c r="I17" s="1236"/>
      <c r="J17" s="1236"/>
      <c r="K17" s="1236"/>
      <c r="L17" s="1416"/>
      <c r="M17" s="1243"/>
      <c r="N17" s="1243"/>
      <c r="P17" s="1238"/>
      <c r="Q17" s="1239"/>
      <c r="R17" s="1238"/>
      <c r="S17" s="1244"/>
      <c r="T17" s="1247" t="s">
        <v>460</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2">
        <v>0</v>
      </c>
    </row>
    <row r="18" spans="1:61" s="1564" customFormat="1" ht="14.25" hidden="1" customHeight="1">
      <c r="A18" s="1265"/>
      <c r="B18" s="1265"/>
      <c r="C18" s="1265"/>
      <c r="D18" s="1265"/>
      <c r="E18" s="3737"/>
      <c r="F18" s="1265"/>
      <c r="G18" s="1265"/>
      <c r="H18" s="1265"/>
      <c r="I18" s="1265"/>
      <c r="J18" s="1265"/>
      <c r="K18" s="1265"/>
      <c r="L18" s="1268"/>
      <c r="M18" s="1243"/>
      <c r="N18" s="1243"/>
      <c r="O18" s="452"/>
      <c r="P18" s="314"/>
      <c r="Q18" s="1266"/>
      <c r="R18" s="314"/>
      <c r="S18" s="1244"/>
      <c r="T18" s="1247" t="s">
        <v>461</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4"/>
      <c r="BF18" s="434" t="str">
        <f t="shared" si="1"/>
        <v>Добавить территорию для дифференциации</v>
      </c>
      <c r="BG18" s="434"/>
      <c r="BH18" s="434"/>
      <c r="BI18" s="445">
        <v>0</v>
      </c>
    </row>
    <row r="19" spans="1:61" ht="14.25" hidden="1" customHeight="1">
      <c r="AC19" s="262"/>
      <c r="BA19" s="262"/>
      <c r="BI19" s="1077">
        <v>0</v>
      </c>
    </row>
    <row r="20" spans="1:61" ht="14.25" hidden="1" customHeight="1">
      <c r="AD20" s="1246" t="s">
        <v>6</v>
      </c>
      <c r="AE20" s="1423"/>
      <c r="AF20" s="482">
        <v>1</v>
      </c>
      <c r="AG20" s="1424"/>
      <c r="AH20" s="1246" t="s">
        <v>6</v>
      </c>
      <c r="AI20" s="1423"/>
      <c r="AJ20" s="482">
        <v>1</v>
      </c>
      <c r="AK20" s="1424"/>
      <c r="AL20" s="1246" t="s">
        <v>6</v>
      </c>
      <c r="AM20" s="1425"/>
      <c r="AN20" s="482">
        <v>1</v>
      </c>
      <c r="AO20" s="1426"/>
      <c r="AP20" s="1246" t="s">
        <v>6</v>
      </c>
      <c r="AQ20" s="1425"/>
      <c r="AR20" s="482">
        <v>1</v>
      </c>
      <c r="AS20" s="1426"/>
      <c r="AT20" s="260"/>
      <c r="AU20" s="318"/>
      <c r="AV20" s="260"/>
      <c r="AW20" s="318"/>
      <c r="AX20" s="1629"/>
      <c r="AY20" s="1407" t="s">
        <v>50</v>
      </c>
      <c r="AZ20" s="1629"/>
      <c r="BA20" s="1407" t="s">
        <v>50</v>
      </c>
      <c r="BI20" s="1077">
        <v>0</v>
      </c>
    </row>
    <row r="21" spans="1:61" ht="14.25" hidden="1" customHeight="1">
      <c r="BD21" s="430"/>
      <c r="BE21" s="430"/>
      <c r="BF21" s="430"/>
      <c r="BG21" s="430"/>
      <c r="BH21" s="430"/>
      <c r="BI21" s="1077">
        <v>0</v>
      </c>
    </row>
    <row r="22" spans="1:61" ht="14.25" hidden="1" customHeight="1">
      <c r="O22" s="1289" t="s">
        <v>462</v>
      </c>
      <c r="Z22" s="1267"/>
      <c r="AB22" s="1267"/>
      <c r="AC22" s="262"/>
      <c r="AX22" s="1267"/>
      <c r="AZ22" s="1267"/>
      <c r="BA22" s="262"/>
      <c r="BD22" s="430"/>
      <c r="BE22" s="430"/>
      <c r="BF22" s="430"/>
      <c r="BG22" s="430"/>
      <c r="BH22" s="430"/>
      <c r="BI22" s="1077">
        <v>0</v>
      </c>
    </row>
    <row r="23" spans="1:61" ht="14.25" hidden="1" customHeight="1">
      <c r="AC23" s="262"/>
      <c r="BA23" s="262"/>
      <c r="BD23" s="430"/>
      <c r="BE23" s="430"/>
      <c r="BF23" s="430"/>
      <c r="BG23" s="430"/>
      <c r="BH23" s="430"/>
      <c r="BI23" s="1077">
        <v>0</v>
      </c>
    </row>
    <row r="24" spans="1:61" s="1431" customFormat="1" ht="14.25" hidden="1" customHeight="1">
      <c r="M24" s="1430"/>
      <c r="N24" s="1430"/>
      <c r="O24" s="1431" t="s">
        <v>463</v>
      </c>
      <c r="P24" s="1430"/>
      <c r="Q24" s="1432"/>
      <c r="R24" s="1432"/>
      <c r="AA24" s="1429" t="s">
        <v>465</v>
      </c>
      <c r="AC24" s="1429" t="s">
        <v>466</v>
      </c>
      <c r="AD24" s="1429" t="s">
        <v>510</v>
      </c>
      <c r="AH24" s="1429" t="s">
        <v>510</v>
      </c>
      <c r="AK24" s="1429" t="s">
        <v>547</v>
      </c>
      <c r="AL24" s="1429" t="s">
        <v>510</v>
      </c>
      <c r="AP24" s="1429" t="s">
        <v>510</v>
      </c>
      <c r="AY24" s="1429" t="s">
        <v>465</v>
      </c>
      <c r="BA24" s="1429" t="s">
        <v>466</v>
      </c>
      <c r="BD24" s="1433"/>
      <c r="BE24" s="1433"/>
      <c r="BF24" s="1433"/>
      <c r="BG24" s="1433"/>
      <c r="BH24" s="1433"/>
      <c r="BI24" s="1429">
        <v>0</v>
      </c>
    </row>
    <row r="25" spans="1:61" ht="14.25" hidden="1" customHeight="1">
      <c r="O25" s="1286"/>
      <c r="BD25" s="430"/>
      <c r="BE25" s="430"/>
      <c r="BF25" s="430"/>
      <c r="BG25" s="430"/>
      <c r="BH25" s="430"/>
      <c r="BI25" s="1077">
        <v>0</v>
      </c>
    </row>
    <row r="26" spans="1:61" ht="14.25" hidden="1" customHeight="1">
      <c r="O26" s="1286"/>
      <c r="BD26" s="430"/>
      <c r="BE26" s="430"/>
      <c r="BF26" s="430"/>
      <c r="BG26" s="430"/>
      <c r="BH26" s="430"/>
      <c r="BI26" s="1077">
        <v>0</v>
      </c>
    </row>
    <row r="27" spans="1:61" ht="14.65" customHeight="1">
      <c r="Q27" s="226"/>
      <c r="R27" s="310"/>
      <c r="S27" s="1197"/>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7">
        <v>14</v>
      </c>
    </row>
    <row r="28" spans="1:61" ht="14.65" customHeight="1">
      <c r="Q28" s="226"/>
      <c r="R28" s="310"/>
      <c r="S28" s="372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721"/>
      <c r="U28" s="3721"/>
      <c r="V28" s="3721"/>
      <c r="W28" s="3721"/>
      <c r="X28" s="3721"/>
      <c r="Y28" s="3721"/>
      <c r="Z28" s="3721"/>
      <c r="AA28" s="3721"/>
      <c r="AB28" s="3721"/>
      <c r="AC28" s="3721"/>
      <c r="AD28" s="3721"/>
      <c r="AE28" s="3721"/>
      <c r="AF28" s="3721"/>
      <c r="AG28" s="3721"/>
      <c r="AH28" s="3721"/>
      <c r="AI28" s="3721"/>
      <c r="AJ28" s="3721"/>
      <c r="AK28" s="3721"/>
      <c r="AL28" s="3721"/>
      <c r="AM28" s="3721"/>
      <c r="AN28" s="3721"/>
      <c r="AO28" s="3721"/>
      <c r="AP28" s="3721"/>
      <c r="AQ28" s="3721"/>
      <c r="AR28" s="3721"/>
      <c r="AS28" s="3721"/>
      <c r="AT28" s="3721"/>
      <c r="AU28" s="3721"/>
      <c r="AV28" s="3721"/>
      <c r="AW28" s="3721"/>
      <c r="AX28" s="3721"/>
      <c r="AY28" s="3721"/>
      <c r="AZ28" s="3721"/>
      <c r="BA28" s="1165"/>
      <c r="BI28" s="1077">
        <v>14</v>
      </c>
    </row>
    <row r="29" spans="1:61" ht="14.65" customHeight="1">
      <c r="Q29" s="226"/>
      <c r="R29" s="310"/>
      <c r="S29" s="3667" t="str">
        <f>IF(org=0,"Не определено",org)</f>
        <v>ООО "Смоленскрегионтеплоэнерго"</v>
      </c>
      <c r="T29" s="3667"/>
      <c r="U29" s="3667"/>
      <c r="V29" s="3667"/>
      <c r="W29" s="3667"/>
      <c r="X29" s="3667"/>
      <c r="Y29" s="3667"/>
      <c r="Z29" s="3667"/>
      <c r="AA29" s="3667"/>
      <c r="AB29" s="3667"/>
      <c r="AC29" s="3667"/>
      <c r="AD29" s="3667"/>
      <c r="AE29" s="3667"/>
      <c r="AF29" s="3667"/>
      <c r="AG29" s="3667"/>
      <c r="AH29" s="3667"/>
      <c r="AI29" s="3667"/>
      <c r="AJ29" s="3667"/>
      <c r="AK29" s="3667"/>
      <c r="AL29" s="3667"/>
      <c r="AM29" s="3667"/>
      <c r="AN29" s="3667"/>
      <c r="AO29" s="3667"/>
      <c r="AP29" s="3667"/>
      <c r="AQ29" s="3667"/>
      <c r="AR29" s="3667"/>
      <c r="AS29" s="3667"/>
      <c r="AT29" s="3667"/>
      <c r="AU29" s="3667"/>
      <c r="AV29" s="3667"/>
      <c r="AW29" s="3667"/>
      <c r="AX29" s="3667"/>
      <c r="AY29" s="3667"/>
      <c r="AZ29" s="3667"/>
      <c r="BA29" s="1165"/>
      <c r="BI29" s="1077">
        <v>14</v>
      </c>
    </row>
    <row r="30" spans="1:61" ht="14.25" hidden="1" customHeight="1">
      <c r="Q30" s="226"/>
      <c r="R30" s="310"/>
      <c r="S30" s="1197"/>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7">
        <v>0</v>
      </c>
    </row>
    <row r="31" spans="1:61" s="1742" customFormat="1" ht="25.5" hidden="1" customHeight="1">
      <c r="A31" s="1290"/>
      <c r="B31" s="1290"/>
      <c r="C31" s="1290"/>
      <c r="D31" s="1290"/>
      <c r="E31" s="1290"/>
      <c r="F31" s="1290"/>
      <c r="G31" s="1290"/>
      <c r="H31" s="1290"/>
      <c r="I31" s="1290"/>
      <c r="J31" s="1290"/>
      <c r="K31" s="1290"/>
      <c r="L31" s="1291"/>
      <c r="M31" s="1290"/>
      <c r="N31" s="1290"/>
      <c r="O31" s="1290"/>
      <c r="P31" s="1290"/>
      <c r="Q31" s="1290"/>
      <c r="S31"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3729"/>
      <c r="U31" s="1294"/>
      <c r="V31" s="3730" t="str">
        <f>IF(TITLE_NAME_OR_PR_CHANGE="",IF(TITLE_NAME_OR_PR="","",TITLE_NAME_OR_PR),TITLE_NAME_OR_PR_CHANGE)</f>
        <v/>
      </c>
      <c r="W31" s="3730"/>
      <c r="X31" s="3730"/>
      <c r="Y31" s="3730"/>
      <c r="Z31" s="3730"/>
      <c r="AA31" s="3730"/>
      <c r="AB31" s="3730"/>
      <c r="AC31" s="261"/>
      <c r="AD31" s="3730" t="str">
        <f>IF(TITLE_NAME_OR_PR_CHANGE="",IF(TITLE_NAME_OR_PR="","",TITLE_NAME_OR_PR),TITLE_NAME_OR_PR_CHANGE)</f>
        <v/>
      </c>
      <c r="AE31" s="3730"/>
      <c r="AF31" s="3730"/>
      <c r="AG31" s="3730"/>
      <c r="AH31" s="3730"/>
      <c r="AI31" s="3730"/>
      <c r="AJ31" s="3730"/>
      <c r="AK31" s="3730"/>
      <c r="AL31" s="3730"/>
      <c r="AM31" s="3730"/>
      <c r="AN31" s="3730"/>
      <c r="AO31" s="3730"/>
      <c r="AP31" s="3730"/>
      <c r="AQ31" s="3730"/>
      <c r="AR31" s="3730"/>
      <c r="AS31" s="3730"/>
      <c r="AT31" s="3730"/>
      <c r="AU31" s="3730"/>
      <c r="AV31" s="3730"/>
      <c r="AW31" s="3730"/>
      <c r="AX31" s="3730"/>
      <c r="AY31" s="3730"/>
      <c r="AZ31" s="3730"/>
      <c r="BA31" s="261"/>
      <c r="BB31" s="261"/>
      <c r="BC31" s="215"/>
      <c r="BD31" s="302"/>
      <c r="BE31" s="302"/>
      <c r="BF31" s="302"/>
      <c r="BG31" s="302"/>
      <c r="BH31" s="302"/>
      <c r="BI31" s="352">
        <v>0</v>
      </c>
    </row>
    <row r="32" spans="1:61" s="1742" customFormat="1" ht="18.75" hidden="1" customHeight="1">
      <c r="A32" s="1290"/>
      <c r="B32" s="1290"/>
      <c r="C32" s="1290"/>
      <c r="D32" s="1290"/>
      <c r="E32" s="1290"/>
      <c r="F32" s="1290"/>
      <c r="G32" s="1290"/>
      <c r="H32" s="1290"/>
      <c r="I32" s="1290"/>
      <c r="J32" s="1290"/>
      <c r="K32" s="1290"/>
      <c r="L32" s="1291"/>
      <c r="M32" s="1290"/>
      <c r="N32" s="1290"/>
      <c r="O32" s="1290"/>
      <c r="P32" s="1290"/>
      <c r="Q32" s="1290"/>
      <c r="S32" s="3729" t="str">
        <f>"Дата документа об "&amp;IF(TITLE_DATE_PR_CHANGE="","утверждении","изменении")&amp;" тарифов"</f>
        <v>Дата документа об утверждении тарифов</v>
      </c>
      <c r="T32" s="3729"/>
      <c r="U32" s="1294"/>
      <c r="V32" s="3739" t="str">
        <f>IF(TITLE_DATE_PR_CHANGE="",IF(TITLE_DATE_PR="","",TITLE_DATE_PR),TITLE_DATE_PR_CHANGE)</f>
        <v/>
      </c>
      <c r="W32" s="3739"/>
      <c r="X32" s="3739"/>
      <c r="Y32" s="3739"/>
      <c r="Z32" s="3739"/>
      <c r="AA32" s="3739"/>
      <c r="AB32" s="3739"/>
      <c r="AC32" s="261"/>
      <c r="AD32" s="3739" t="str">
        <f>IF(TITLE_DATE_PR_CHANGE="",IF(TITLE_DATE_PR="","",TITLE_DATE_PR),TITLE_DATE_PR_CHANGE)</f>
        <v/>
      </c>
      <c r="AE32" s="3739"/>
      <c r="AF32" s="3739"/>
      <c r="AG32" s="3739"/>
      <c r="AH32" s="3739"/>
      <c r="AI32" s="3739"/>
      <c r="AJ32" s="3739"/>
      <c r="AK32" s="3739"/>
      <c r="AL32" s="3739"/>
      <c r="AM32" s="3739"/>
      <c r="AN32" s="3739"/>
      <c r="AO32" s="3739"/>
      <c r="AP32" s="3739"/>
      <c r="AQ32" s="3739"/>
      <c r="AR32" s="3739"/>
      <c r="AS32" s="3739"/>
      <c r="AT32" s="3739"/>
      <c r="AU32" s="3739"/>
      <c r="AV32" s="3739"/>
      <c r="AW32" s="3739"/>
      <c r="AX32" s="3739"/>
      <c r="AY32" s="3739"/>
      <c r="AZ32" s="3739"/>
      <c r="BA32" s="261"/>
      <c r="BB32" s="261"/>
      <c r="BC32" s="215"/>
      <c r="BD32" s="302"/>
      <c r="BE32" s="302"/>
      <c r="BF32" s="302"/>
      <c r="BG32" s="302"/>
      <c r="BH32" s="302"/>
      <c r="BI32" s="352">
        <v>0</v>
      </c>
    </row>
    <row r="33" spans="1:61" s="1742" customFormat="1" ht="18.75" hidden="1" customHeight="1">
      <c r="A33" s="1290"/>
      <c r="B33" s="1290"/>
      <c r="C33" s="1290"/>
      <c r="D33" s="1290"/>
      <c r="E33" s="1290"/>
      <c r="F33" s="1290"/>
      <c r="G33" s="1290"/>
      <c r="H33" s="1290"/>
      <c r="I33" s="1290"/>
      <c r="J33" s="1290"/>
      <c r="K33" s="1290"/>
      <c r="L33" s="1291"/>
      <c r="M33" s="1290"/>
      <c r="N33" s="1290"/>
      <c r="O33" s="1290"/>
      <c r="P33" s="1290"/>
      <c r="Q33" s="1290"/>
      <c r="S33" s="3729" t="str">
        <f>"Номер документа об "&amp;IF(TITLE_DATE_PR_CHANGE="","утверждении","изменении")&amp;" тарифов"</f>
        <v>Номер документа об утверждении тарифов</v>
      </c>
      <c r="T33" s="3729"/>
      <c r="U33" s="1294"/>
      <c r="V33" s="3730" t="str">
        <f>IF(TITLE_NUMBER_PR_CHANGE="",IF(TITLE_NUMBER_PR="","",TITLE_NUMBER_PR),TITLE_NUMBER_PR_CHANGE)</f>
        <v/>
      </c>
      <c r="W33" s="3730"/>
      <c r="X33" s="3730"/>
      <c r="Y33" s="3730"/>
      <c r="Z33" s="3730"/>
      <c r="AA33" s="3730"/>
      <c r="AB33" s="3730"/>
      <c r="AC33" s="261"/>
      <c r="AD33" s="3730" t="str">
        <f>IF(TITLE_NUMBER_PR_CHANGE="",IF(TITLE_NUMBER_PR="","",TITLE_NUMBER_PR),TITLE_NUMBER_PR_CHANGE)</f>
        <v/>
      </c>
      <c r="AE33" s="3730"/>
      <c r="AF33" s="3730"/>
      <c r="AG33" s="3730"/>
      <c r="AH33" s="3730"/>
      <c r="AI33" s="3730"/>
      <c r="AJ33" s="3730"/>
      <c r="AK33" s="3730"/>
      <c r="AL33" s="3730"/>
      <c r="AM33" s="3730"/>
      <c r="AN33" s="3730"/>
      <c r="AO33" s="3730"/>
      <c r="AP33" s="3730"/>
      <c r="AQ33" s="3730"/>
      <c r="AR33" s="3730"/>
      <c r="AS33" s="3730"/>
      <c r="AT33" s="3730"/>
      <c r="AU33" s="3730"/>
      <c r="AV33" s="3730"/>
      <c r="AW33" s="3730"/>
      <c r="AX33" s="3730"/>
      <c r="AY33" s="3730"/>
      <c r="AZ33" s="3730"/>
      <c r="BA33" s="261"/>
      <c r="BB33" s="261"/>
      <c r="BC33" s="215"/>
      <c r="BD33" s="302"/>
      <c r="BE33" s="302"/>
      <c r="BF33" s="302"/>
      <c r="BG33" s="302"/>
      <c r="BH33" s="302"/>
      <c r="BI33" s="352">
        <v>0</v>
      </c>
    </row>
    <row r="34" spans="1:61" s="1742" customFormat="1" ht="18.75" hidden="1" customHeight="1">
      <c r="A34" s="1290"/>
      <c r="B34" s="1290"/>
      <c r="C34" s="1290"/>
      <c r="D34" s="1290"/>
      <c r="E34" s="1290"/>
      <c r="F34" s="1290"/>
      <c r="G34" s="1290"/>
      <c r="H34" s="1290"/>
      <c r="I34" s="1290"/>
      <c r="J34" s="1290"/>
      <c r="K34" s="1290"/>
      <c r="L34" s="1291"/>
      <c r="M34" s="1290"/>
      <c r="N34" s="1290"/>
      <c r="O34" s="1290"/>
      <c r="P34" s="1290"/>
      <c r="Q34" s="1290"/>
      <c r="S34" s="3729" t="s">
        <v>30</v>
      </c>
      <c r="T34" s="3729"/>
      <c r="U34" s="1294"/>
      <c r="V34" s="3730" t="str">
        <f>IF(TITLE_IST_PUB_CHANGE="",IF(TITLE_IST_PUB="","",TITLE_IST_PUB),TITLE_IST_PUB_CHANGE)</f>
        <v/>
      </c>
      <c r="W34" s="3730"/>
      <c r="X34" s="3730"/>
      <c r="Y34" s="3730"/>
      <c r="Z34" s="3730"/>
      <c r="AA34" s="3730"/>
      <c r="AB34" s="3730"/>
      <c r="AC34" s="261"/>
      <c r="AD34" s="3730" t="str">
        <f>IF(TITLE_IST_PUB_CHANGE="",IF(TITLE_IST_PUB="","",TITLE_IST_PUB),TITLE_IST_PUB_CHANGE)</f>
        <v/>
      </c>
      <c r="AE34" s="3730"/>
      <c r="AF34" s="3730"/>
      <c r="AG34" s="3730"/>
      <c r="AH34" s="3730"/>
      <c r="AI34" s="3730"/>
      <c r="AJ34" s="3730"/>
      <c r="AK34" s="3730"/>
      <c r="AL34" s="3730"/>
      <c r="AM34" s="3730"/>
      <c r="AN34" s="3730"/>
      <c r="AO34" s="3730"/>
      <c r="AP34" s="3730"/>
      <c r="AQ34" s="3730"/>
      <c r="AR34" s="3730"/>
      <c r="AS34" s="3730"/>
      <c r="AT34" s="3730"/>
      <c r="AU34" s="3730"/>
      <c r="AV34" s="3730"/>
      <c r="AW34" s="3730"/>
      <c r="AX34" s="3730"/>
      <c r="AY34" s="3730"/>
      <c r="AZ34" s="3730"/>
      <c r="BA34" s="261"/>
      <c r="BB34" s="261"/>
      <c r="BC34" s="215"/>
      <c r="BD34" s="302"/>
      <c r="BE34" s="302"/>
      <c r="BF34" s="302"/>
      <c r="BG34" s="302"/>
      <c r="BH34" s="302"/>
      <c r="BI34" s="352">
        <v>0</v>
      </c>
    </row>
    <row r="35" spans="1:61" ht="14.25" hidden="1" customHeight="1">
      <c r="Q35" s="226"/>
      <c r="R35" s="310"/>
      <c r="S35" s="1197"/>
      <c r="T35" s="391"/>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7">
        <v>0</v>
      </c>
    </row>
    <row r="36" spans="1:61" s="1742" customFormat="1" ht="18.75" hidden="1" customHeight="1">
      <c r="A36" s="1290"/>
      <c r="B36" s="1290"/>
      <c r="C36" s="1290"/>
      <c r="D36" s="1290"/>
      <c r="E36" s="1290"/>
      <c r="F36" s="1290"/>
      <c r="G36" s="1290"/>
      <c r="H36" s="1290"/>
      <c r="I36" s="1290"/>
      <c r="J36" s="1290"/>
      <c r="K36" s="1290"/>
      <c r="L36" s="1291"/>
      <c r="M36" s="1290"/>
      <c r="N36" s="1290"/>
      <c r="O36" s="1290"/>
      <c r="P36" s="1290"/>
      <c r="Q36" s="1290"/>
      <c r="S36" s="3729" t="str">
        <f>"Дата подачи заявления об "&amp;IF(TITLE_DATE_PR_CHANGE="","утверждении","изменении")&amp;" тарифов"</f>
        <v>Дата подачи заявления об утверждении тарифов</v>
      </c>
      <c r="T36" s="3729"/>
      <c r="U36" s="1294"/>
      <c r="V36" s="3739" t="str">
        <f>IF(TITLE_DATE_PR_CHANGE="",IF(TITLE_DATE_PR="","",TITLE_DATE_PR),TITLE_DATE_PR_CHANGE)</f>
        <v/>
      </c>
      <c r="W36" s="3739"/>
      <c r="X36" s="3739"/>
      <c r="Y36" s="3739"/>
      <c r="Z36" s="3739"/>
      <c r="AA36" s="3739"/>
      <c r="AB36" s="3739"/>
      <c r="AC36" s="261"/>
      <c r="AD36" s="3739" t="str">
        <f>IF(TITLE_DATE_PR_CHANGE="",IF(TITLE_DATE_PR="","",TITLE_DATE_PR),TITLE_DATE_PR_CHANGE)</f>
        <v/>
      </c>
      <c r="AE36" s="3739"/>
      <c r="AF36" s="3739"/>
      <c r="AG36" s="3739"/>
      <c r="AH36" s="3739"/>
      <c r="AI36" s="3739"/>
      <c r="AJ36" s="3739"/>
      <c r="AK36" s="3739"/>
      <c r="AL36" s="3739"/>
      <c r="AM36" s="3739"/>
      <c r="AN36" s="3739"/>
      <c r="AO36" s="3739"/>
      <c r="AP36" s="3739"/>
      <c r="AQ36" s="3739"/>
      <c r="AR36" s="3739"/>
      <c r="AS36" s="3739"/>
      <c r="AT36" s="3739"/>
      <c r="AU36" s="3739"/>
      <c r="AV36" s="3739"/>
      <c r="AW36" s="3739"/>
      <c r="AX36" s="3739"/>
      <c r="AY36" s="3739"/>
      <c r="AZ36" s="3739"/>
      <c r="BA36" s="261"/>
      <c r="BB36" s="261"/>
      <c r="BC36" s="215"/>
      <c r="BD36" s="302"/>
      <c r="BE36" s="302"/>
      <c r="BF36" s="302"/>
      <c r="BG36" s="302"/>
      <c r="BH36" s="302"/>
      <c r="BI36" s="352">
        <v>0</v>
      </c>
    </row>
    <row r="37" spans="1:61" s="1742" customFormat="1" ht="18.75" hidden="1" customHeight="1">
      <c r="A37" s="1290"/>
      <c r="B37" s="1290"/>
      <c r="C37" s="1290"/>
      <c r="D37" s="1290"/>
      <c r="E37" s="1290"/>
      <c r="F37" s="1290"/>
      <c r="G37" s="1290"/>
      <c r="H37" s="1290"/>
      <c r="I37" s="1290"/>
      <c r="J37" s="1290"/>
      <c r="K37" s="1290"/>
      <c r="L37" s="1291"/>
      <c r="M37" s="1290"/>
      <c r="N37" s="1290"/>
      <c r="O37" s="1290"/>
      <c r="P37" s="1290"/>
      <c r="Q37" s="1290"/>
      <c r="S37" s="3729" t="str">
        <f>"Номер подачи заявления об "&amp;IF(TITLE_DATE_PR_CHANGE="","утверждении","изменении")&amp;" тарифов"</f>
        <v>Номер подачи заявления об утверждении тарифов</v>
      </c>
      <c r="T37" s="3729"/>
      <c r="U37" s="1294"/>
      <c r="V37" s="3730" t="str">
        <f>IF(TITLE_NUMBER_PR_CHANGE="",IF(TITLE_NUMBER_PR="","",TITLE_NUMBER_PR),TITLE_NUMBER_PR_CHANGE)</f>
        <v/>
      </c>
      <c r="W37" s="3730"/>
      <c r="X37" s="3730"/>
      <c r="Y37" s="3730"/>
      <c r="Z37" s="3730"/>
      <c r="AA37" s="3730"/>
      <c r="AB37" s="3730"/>
      <c r="AC37" s="261"/>
      <c r="AD37" s="3730" t="str">
        <f>IF(TITLE_NUMBER_PR_CHANGE="",IF(TITLE_NUMBER_PR="","",TITLE_NUMBER_PR),TITLE_NUMBER_PR_CHANGE)</f>
        <v/>
      </c>
      <c r="AE37" s="3730"/>
      <c r="AF37" s="3730"/>
      <c r="AG37" s="3730"/>
      <c r="AH37" s="3730"/>
      <c r="AI37" s="3730"/>
      <c r="AJ37" s="3730"/>
      <c r="AK37" s="3730"/>
      <c r="AL37" s="3730"/>
      <c r="AM37" s="3730"/>
      <c r="AN37" s="3730"/>
      <c r="AO37" s="3730"/>
      <c r="AP37" s="3730"/>
      <c r="AQ37" s="3730"/>
      <c r="AR37" s="3730"/>
      <c r="AS37" s="3730"/>
      <c r="AT37" s="3730"/>
      <c r="AU37" s="3730"/>
      <c r="AV37" s="3730"/>
      <c r="AW37" s="3730"/>
      <c r="AX37" s="3730"/>
      <c r="AY37" s="3730"/>
      <c r="AZ37" s="3730"/>
      <c r="BA37" s="261"/>
      <c r="BB37" s="261"/>
      <c r="BC37" s="215"/>
      <c r="BD37" s="302"/>
      <c r="BE37" s="302"/>
      <c r="BF37" s="302"/>
      <c r="BG37" s="302"/>
      <c r="BH37" s="302"/>
      <c r="BI37" s="352">
        <v>0</v>
      </c>
    </row>
    <row r="38" spans="1:61" s="1742" customFormat="1" ht="0" hidden="1" customHeight="1">
      <c r="A38" s="1290"/>
      <c r="B38" s="1290"/>
      <c r="C38" s="1290"/>
      <c r="D38" s="1290"/>
      <c r="E38" s="1290"/>
      <c r="F38" s="1290"/>
      <c r="G38" s="1290"/>
      <c r="H38" s="1290"/>
      <c r="I38" s="1290"/>
      <c r="J38" s="1290"/>
      <c r="K38" s="1290"/>
      <c r="L38" s="1291"/>
      <c r="M38" s="1290"/>
      <c r="N38" s="1290"/>
      <c r="O38" s="1290"/>
      <c r="P38" s="1290"/>
      <c r="Q38" s="1290"/>
      <c r="S38" s="258"/>
      <c r="T38" s="258"/>
      <c r="U38" s="1410"/>
      <c r="V38" s="261"/>
      <c r="W38" s="261"/>
      <c r="X38" s="261"/>
      <c r="Y38" s="261"/>
      <c r="Z38" s="261"/>
      <c r="AA38" s="261"/>
      <c r="AB38" s="261"/>
      <c r="AC38" s="213" t="s">
        <v>468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468</v>
      </c>
      <c r="BD38" s="302"/>
      <c r="BE38" s="302"/>
      <c r="BF38" s="302"/>
      <c r="BG38" s="302"/>
      <c r="BH38" s="302"/>
      <c r="BI38" s="352">
        <v>0</v>
      </c>
    </row>
    <row r="39" spans="1:61" ht="14.65" customHeight="1">
      <c r="Q39" s="226"/>
      <c r="R39" s="310"/>
      <c r="S39" s="1197"/>
      <c r="T39" s="297"/>
      <c r="U39" s="1166"/>
      <c r="V39" s="3731"/>
      <c r="W39" s="3731"/>
      <c r="X39" s="3731"/>
      <c r="Y39" s="3731"/>
      <c r="Z39" s="3731"/>
      <c r="AA39" s="3731"/>
      <c r="AB39" s="3731"/>
      <c r="AC39" s="3731"/>
      <c r="AD39" s="3731"/>
      <c r="AE39" s="3731"/>
      <c r="AF39" s="3731"/>
      <c r="AG39" s="3731"/>
      <c r="AH39" s="3731"/>
      <c r="AI39" s="3731"/>
      <c r="AJ39" s="3731"/>
      <c r="AK39" s="3731"/>
      <c r="AL39" s="3731"/>
      <c r="AM39" s="3731"/>
      <c r="AN39" s="3731"/>
      <c r="AO39" s="3731"/>
      <c r="AP39" s="3731"/>
      <c r="AQ39" s="3731"/>
      <c r="AR39" s="3731"/>
      <c r="AS39" s="3731"/>
      <c r="AT39" s="3731"/>
      <c r="AU39" s="3731"/>
      <c r="AV39" s="3731"/>
      <c r="AW39" s="3731"/>
      <c r="AX39" s="3731"/>
      <c r="AY39" s="3731"/>
      <c r="AZ39" s="3731"/>
      <c r="BA39" s="3731"/>
      <c r="BI39" s="1077">
        <v>14</v>
      </c>
    </row>
    <row r="40" spans="1:61" ht="14.65" customHeight="1">
      <c r="Q40" s="226"/>
      <c r="R40" s="310"/>
      <c r="S40" s="3618" t="s">
        <v>345</v>
      </c>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c r="AS40" s="3618"/>
      <c r="AT40" s="3618"/>
      <c r="AU40" s="3618"/>
      <c r="AV40" s="3618"/>
      <c r="AW40" s="3618"/>
      <c r="AX40" s="3618"/>
      <c r="AY40" s="3618"/>
      <c r="AZ40" s="3618"/>
      <c r="BA40" s="3618"/>
      <c r="BB40" s="3618"/>
      <c r="BC40" s="3618" t="s">
        <v>346</v>
      </c>
      <c r="BI40" s="1077">
        <v>14</v>
      </c>
    </row>
    <row r="41" spans="1:61" ht="14.65" customHeight="1">
      <c r="Q41" s="226"/>
      <c r="R41" s="310"/>
      <c r="S41" s="3745" t="s">
        <v>76</v>
      </c>
      <c r="T41" s="3697" t="s">
        <v>550</v>
      </c>
      <c r="U41" s="236"/>
      <c r="V41" s="3746" t="s">
        <v>470</v>
      </c>
      <c r="W41" s="3747"/>
      <c r="X41" s="3747"/>
      <c r="Y41" s="3747"/>
      <c r="Z41" s="3747"/>
      <c r="AA41" s="3747"/>
      <c r="AB41" s="3748"/>
      <c r="AC41" s="3749" t="s">
        <v>471</v>
      </c>
      <c r="AD41" s="3782" t="s">
        <v>567</v>
      </c>
      <c r="AE41" s="3763"/>
      <c r="AF41" s="3763"/>
      <c r="AG41" s="3783"/>
      <c r="AH41" s="3782" t="s">
        <v>568</v>
      </c>
      <c r="AI41" s="3763"/>
      <c r="AJ41" s="3763"/>
      <c r="AK41" s="3783"/>
      <c r="AL41" s="3782" t="s">
        <v>569</v>
      </c>
      <c r="AM41" s="3763"/>
      <c r="AN41" s="3763"/>
      <c r="AO41" s="3783"/>
      <c r="AP41" s="3782" t="s">
        <v>554</v>
      </c>
      <c r="AQ41" s="3763"/>
      <c r="AR41" s="3763"/>
      <c r="AS41" s="3783"/>
      <c r="AT41" s="3746" t="s">
        <v>470</v>
      </c>
      <c r="AU41" s="3747"/>
      <c r="AV41" s="3747"/>
      <c r="AW41" s="3747"/>
      <c r="AX41" s="3747"/>
      <c r="AY41" s="3747"/>
      <c r="AZ41" s="3748"/>
      <c r="BA41" s="3749" t="s">
        <v>471</v>
      </c>
      <c r="BB41" s="3752" t="s">
        <v>473</v>
      </c>
      <c r="BC41" s="3618"/>
      <c r="BI41" s="1077">
        <v>14</v>
      </c>
    </row>
    <row r="42" spans="1:61" ht="35.65" customHeight="1">
      <c r="Q42" s="226"/>
      <c r="R42" s="310"/>
      <c r="S42" s="3745"/>
      <c r="T42" s="3697"/>
      <c r="U42" s="957"/>
      <c r="V42" s="3683" t="s">
        <v>555</v>
      </c>
      <c r="W42" s="3684"/>
      <c r="X42" s="3683" t="s">
        <v>556</v>
      </c>
      <c r="Y42" s="3684"/>
      <c r="Z42" s="3683" t="s">
        <v>557</v>
      </c>
      <c r="AA42" s="3777"/>
      <c r="AB42" s="3684"/>
      <c r="AC42" s="3750"/>
      <c r="AD42" s="3784"/>
      <c r="AE42" s="3785"/>
      <c r="AF42" s="3785"/>
      <c r="AG42" s="3786"/>
      <c r="AH42" s="3784"/>
      <c r="AI42" s="3785"/>
      <c r="AJ42" s="3785"/>
      <c r="AK42" s="3786"/>
      <c r="AL42" s="3784"/>
      <c r="AM42" s="3785"/>
      <c r="AN42" s="3785"/>
      <c r="AO42" s="3786"/>
      <c r="AP42" s="3784"/>
      <c r="AQ42" s="3785"/>
      <c r="AR42" s="3785"/>
      <c r="AS42" s="3786"/>
      <c r="AT42" s="3683" t="s">
        <v>570</v>
      </c>
      <c r="AU42" s="3684"/>
      <c r="AV42" s="3683" t="s">
        <v>571</v>
      </c>
      <c r="AW42" s="3684"/>
      <c r="AX42" s="3683" t="s">
        <v>557</v>
      </c>
      <c r="AY42" s="3777"/>
      <c r="AZ42" s="3684"/>
      <c r="BA42" s="3750"/>
      <c r="BB42" s="3753"/>
      <c r="BC42" s="3618"/>
      <c r="BI42" s="1077">
        <v>34</v>
      </c>
    </row>
    <row r="43" spans="1:61" ht="14.65" customHeight="1">
      <c r="Q43" s="226"/>
      <c r="R43" s="310"/>
      <c r="S43" s="3745"/>
      <c r="T43" s="3697"/>
      <c r="U43" s="957"/>
      <c r="V43" s="3688"/>
      <c r="W43" s="3689"/>
      <c r="X43" s="3688"/>
      <c r="Y43" s="3689"/>
      <c r="Z43" s="3688"/>
      <c r="AA43" s="3778"/>
      <c r="AB43" s="3689"/>
      <c r="AC43" s="3750"/>
      <c r="AD43" s="3784"/>
      <c r="AE43" s="3785"/>
      <c r="AF43" s="3785"/>
      <c r="AG43" s="3786"/>
      <c r="AH43" s="3784"/>
      <c r="AI43" s="3785"/>
      <c r="AJ43" s="3785"/>
      <c r="AK43" s="3786"/>
      <c r="AL43" s="3784"/>
      <c r="AM43" s="3785"/>
      <c r="AN43" s="3785"/>
      <c r="AO43" s="3786"/>
      <c r="AP43" s="3784"/>
      <c r="AQ43" s="3785"/>
      <c r="AR43" s="3785"/>
      <c r="AS43" s="3786"/>
      <c r="AT43" s="3688"/>
      <c r="AU43" s="3689"/>
      <c r="AV43" s="3688"/>
      <c r="AW43" s="3689"/>
      <c r="AX43" s="3688"/>
      <c r="AY43" s="3778"/>
      <c r="AZ43" s="3689"/>
      <c r="BA43" s="3750"/>
      <c r="BB43" s="3753"/>
      <c r="BC43" s="3618"/>
      <c r="BI43" s="1077">
        <v>14</v>
      </c>
    </row>
    <row r="44" spans="1:61" ht="14.65" customHeight="1">
      <c r="A44" s="1292"/>
      <c r="B44" s="1292" t="s">
        <v>188</v>
      </c>
      <c r="C44" s="1292" t="s">
        <v>189</v>
      </c>
      <c r="D44" s="1292" t="s">
        <v>190</v>
      </c>
      <c r="E44" s="1286" t="s">
        <v>478</v>
      </c>
      <c r="F44" s="1286" t="s">
        <v>479</v>
      </c>
      <c r="G44" s="1286" t="s">
        <v>480</v>
      </c>
      <c r="H44" s="1286" t="s">
        <v>481</v>
      </c>
      <c r="I44" s="1286" t="s">
        <v>482</v>
      </c>
      <c r="J44" s="1286" t="s">
        <v>483</v>
      </c>
      <c r="K44" s="1286" t="s">
        <v>484</v>
      </c>
      <c r="L44" s="1286" t="s">
        <v>463</v>
      </c>
      <c r="Q44" s="226"/>
      <c r="R44" s="310"/>
      <c r="S44" s="3745"/>
      <c r="T44" s="3697"/>
      <c r="U44" s="237"/>
      <c r="V44" s="1401" t="s">
        <v>519</v>
      </c>
      <c r="W44" s="1401" t="s">
        <v>520</v>
      </c>
      <c r="X44" s="1401" t="s">
        <v>519</v>
      </c>
      <c r="Y44" s="1401" t="s">
        <v>520</v>
      </c>
      <c r="Z44" s="1411" t="s">
        <v>487</v>
      </c>
      <c r="AA44" s="3705" t="s">
        <v>488</v>
      </c>
      <c r="AB44" s="3707"/>
      <c r="AC44" s="3751"/>
      <c r="AD44" s="3787"/>
      <c r="AE44" s="3788"/>
      <c r="AF44" s="3788"/>
      <c r="AG44" s="3789"/>
      <c r="AH44" s="3787"/>
      <c r="AI44" s="3788"/>
      <c r="AJ44" s="3788"/>
      <c r="AK44" s="3789"/>
      <c r="AL44" s="3787"/>
      <c r="AM44" s="3788"/>
      <c r="AN44" s="3788"/>
      <c r="AO44" s="3789"/>
      <c r="AP44" s="3787"/>
      <c r="AQ44" s="3788"/>
      <c r="AR44" s="3788"/>
      <c r="AS44" s="3789"/>
      <c r="AT44" s="1401" t="s">
        <v>519</v>
      </c>
      <c r="AU44" s="1401" t="s">
        <v>520</v>
      </c>
      <c r="AV44" s="1401" t="s">
        <v>519</v>
      </c>
      <c r="AW44" s="1401" t="s">
        <v>520</v>
      </c>
      <c r="AX44" s="1411" t="s">
        <v>487</v>
      </c>
      <c r="AY44" s="3705" t="s">
        <v>488</v>
      </c>
      <c r="AZ44" s="3707"/>
      <c r="BA44" s="3751"/>
      <c r="BB44" s="3754"/>
      <c r="BC44" s="3618"/>
      <c r="BI44" s="1077">
        <v>14</v>
      </c>
    </row>
    <row r="45" spans="1:61" s="1563" customFormat="1" ht="11.25" hidden="1" customHeight="1">
      <c r="A45" s="1292"/>
      <c r="B45" s="1292"/>
      <c r="C45" s="1292"/>
      <c r="D45" s="1292"/>
      <c r="E45" s="1292"/>
      <c r="F45" s="1292"/>
      <c r="G45" s="1292"/>
      <c r="H45" s="1292"/>
      <c r="I45" s="1292"/>
      <c r="J45" s="1292"/>
      <c r="K45" s="1292"/>
      <c r="L45" s="1286"/>
      <c r="M45" s="1284"/>
      <c r="N45" s="1284"/>
      <c r="O45" s="1284"/>
      <c r="P45" s="444"/>
      <c r="Q45" s="1176"/>
      <c r="R45" s="1176">
        <v>1</v>
      </c>
      <c r="S45" s="1199" t="s">
        <v>164</v>
      </c>
      <c r="T45" s="1177" t="s">
        <v>89</v>
      </c>
      <c r="U45" s="1167" t="str">
        <f ca="1">OFFSET(U45,0,-1)</f>
        <v>2</v>
      </c>
      <c r="V45" s="1404">
        <f t="shared" ref="V45:AA45" ca="1" si="2">OFFSET(V45,0,-1)+1</f>
        <v>3</v>
      </c>
      <c r="W45" s="1404">
        <f t="shared" ca="1" si="2"/>
        <v>4</v>
      </c>
      <c r="X45" s="1404">
        <f t="shared" ca="1" si="2"/>
        <v>5</v>
      </c>
      <c r="Y45" s="1404">
        <f t="shared" ca="1" si="2"/>
        <v>6</v>
      </c>
      <c r="Z45" s="1404">
        <f t="shared" ca="1" si="2"/>
        <v>7</v>
      </c>
      <c r="AA45" s="3744">
        <f t="shared" ca="1" si="2"/>
        <v>8</v>
      </c>
      <c r="AB45" s="3744"/>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3744">
        <f ca="1">OFFSET(AY45,0,-1)+1</f>
        <v>3</v>
      </c>
      <c r="AZ45" s="3744"/>
      <c r="BA45" s="1404">
        <f ca="1">OFFSET(BA45,0,-2)+1</f>
        <v>4</v>
      </c>
      <c r="BB45" s="1167">
        <f ca="1">OFFSET(BB45,0,-1)</f>
        <v>4</v>
      </c>
      <c r="BC45" s="1404">
        <f ca="1">OFFSET(BC45,0,-1)+1</f>
        <v>5</v>
      </c>
      <c r="BD45" s="445"/>
      <c r="BE45" s="445"/>
      <c r="BF45" s="445"/>
      <c r="BG45" s="445"/>
      <c r="BH45" s="445"/>
      <c r="BI45" s="430">
        <v>0</v>
      </c>
    </row>
    <row r="46" spans="1:61" ht="21.95" customHeight="1">
      <c r="A46" s="1285" t="s">
        <v>321</v>
      </c>
      <c r="B46" s="1285"/>
      <c r="C46" s="1285"/>
      <c r="D46" s="1285"/>
      <c r="E46" s="3737">
        <v>1</v>
      </c>
      <c r="F46" s="1285"/>
      <c r="G46" s="1285"/>
      <c r="H46" s="1285"/>
      <c r="I46" s="1285"/>
      <c r="J46" s="1285"/>
      <c r="K46" s="1285"/>
      <c r="L46" s="1286"/>
      <c r="M46" s="1287"/>
      <c r="N46" s="1287"/>
      <c r="O46" s="1287"/>
      <c r="P46" s="1331"/>
      <c r="Q46" s="801"/>
      <c r="R46" s="289"/>
      <c r="S46" s="1415">
        <f>INDEX(PT_DIFFERENTIATION_NUM_NTAR,MATCH(A46,PT_DIFFERENTIATION_NTAR_ID,0))</f>
        <v>0</v>
      </c>
      <c r="T46" s="233" t="s">
        <v>176</v>
      </c>
      <c r="U46" s="235"/>
      <c r="V46" s="3724"/>
      <c r="W46" s="3724"/>
      <c r="X46" s="3724"/>
      <c r="Y46" s="3724"/>
      <c r="Z46" s="3724"/>
      <c r="AA46" s="3724"/>
      <c r="AB46" s="3724"/>
      <c r="AC46" s="3725"/>
      <c r="AD46" s="3723" t="str">
        <f>INDEX(PT_DIFFERENTIATION_NTAR,MATCH(A46,PT_DIFFERENTIATION_NTAR_ID,0))</f>
        <v/>
      </c>
      <c r="AE46" s="3724"/>
      <c r="AF46" s="3724"/>
      <c r="AG46" s="3724"/>
      <c r="AH46" s="3724"/>
      <c r="AI46" s="3724"/>
      <c r="AJ46" s="3724"/>
      <c r="AK46" s="3724"/>
      <c r="AL46" s="3724"/>
      <c r="AM46" s="3724"/>
      <c r="AN46" s="3724"/>
      <c r="AO46" s="3724"/>
      <c r="AP46" s="3724"/>
      <c r="AQ46" s="3724"/>
      <c r="AR46" s="3724"/>
      <c r="AS46" s="3724"/>
      <c r="AT46" s="3724"/>
      <c r="AU46" s="3724"/>
      <c r="AV46" s="3724"/>
      <c r="AW46" s="3724"/>
      <c r="AX46" s="3724"/>
      <c r="AY46" s="3724"/>
      <c r="AZ46" s="3724"/>
      <c r="BA46" s="3724"/>
      <c r="BB46" s="3725"/>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7">
        <v>21</v>
      </c>
    </row>
    <row r="47" spans="1:61" ht="21.95" customHeight="1">
      <c r="A47" s="1285" t="s">
        <v>321</v>
      </c>
      <c r="B47" s="1285" t="s">
        <v>322</v>
      </c>
      <c r="C47" s="1285"/>
      <c r="D47" s="1285"/>
      <c r="E47" s="3738"/>
      <c r="F47" s="3737">
        <v>1</v>
      </c>
      <c r="G47" s="1285"/>
      <c r="H47" s="1285"/>
      <c r="I47" s="1285"/>
      <c r="J47" s="1285"/>
      <c r="K47" s="1285"/>
      <c r="L47" s="1286"/>
      <c r="M47" s="1287"/>
      <c r="N47" s="1287"/>
      <c r="O47" s="1287"/>
      <c r="P47" s="1332"/>
      <c r="Q47" s="1333"/>
      <c r="R47" s="287"/>
      <c r="S47" s="1415" t="str">
        <f>INDEX(PT_DIFFERENTIATION_NUM_TER,MATCH(B47,PT_DIFFERENTIATION_TER_ID,0))</f>
        <v>.</v>
      </c>
      <c r="T47" s="243" t="s">
        <v>442</v>
      </c>
      <c r="U47" s="235"/>
      <c r="V47" s="3724"/>
      <c r="W47" s="3724"/>
      <c r="X47" s="3724"/>
      <c r="Y47" s="3724"/>
      <c r="Z47" s="3724"/>
      <c r="AA47" s="3724"/>
      <c r="AB47" s="3724"/>
      <c r="AC47" s="3725"/>
      <c r="AD47" s="3723" t="str">
        <f>INDEX(PT_DIFFERENTIATION_TER,MATCH(B47,PT_DIFFERENTIATION_TER_ID,0))</f>
        <v/>
      </c>
      <c r="AE47" s="3724"/>
      <c r="AF47" s="3724"/>
      <c r="AG47" s="3724"/>
      <c r="AH47" s="3724"/>
      <c r="AI47" s="3724"/>
      <c r="AJ47" s="3724"/>
      <c r="AK47" s="3724"/>
      <c r="AL47" s="3724"/>
      <c r="AM47" s="3724"/>
      <c r="AN47" s="3724"/>
      <c r="AO47" s="3724"/>
      <c r="AP47" s="3724"/>
      <c r="AQ47" s="3724"/>
      <c r="AR47" s="3724"/>
      <c r="AS47" s="3724"/>
      <c r="AT47" s="3724"/>
      <c r="AU47" s="3724"/>
      <c r="AV47" s="3724"/>
      <c r="AW47" s="3724"/>
      <c r="AX47" s="3724"/>
      <c r="AY47" s="3724"/>
      <c r="AZ47" s="3724"/>
      <c r="BA47" s="3724"/>
      <c r="BB47" s="3725"/>
      <c r="BC47" s="1180" t="s">
        <v>443</v>
      </c>
      <c r="BE47" s="434"/>
      <c r="BF47" s="434" t="str">
        <f t="shared" si="3"/>
        <v>Территория действия тарифа</v>
      </c>
      <c r="BG47" s="434"/>
      <c r="BH47" s="434"/>
      <c r="BI47" s="1077">
        <v>21</v>
      </c>
    </row>
    <row r="48" spans="1:61" ht="35.65" customHeight="1">
      <c r="A48" s="1285" t="s">
        <v>321</v>
      </c>
      <c r="B48" s="1285" t="s">
        <v>322</v>
      </c>
      <c r="C48" s="1285" t="s">
        <v>323</v>
      </c>
      <c r="D48" s="1285"/>
      <c r="E48" s="3738"/>
      <c r="F48" s="3738"/>
      <c r="G48" s="3737">
        <v>1</v>
      </c>
      <c r="H48" s="1285"/>
      <c r="I48" s="1285"/>
      <c r="J48" s="1285"/>
      <c r="K48" s="1285"/>
      <c r="L48" s="1286"/>
      <c r="M48" s="1287"/>
      <c r="N48" s="1287"/>
      <c r="O48" s="1287"/>
      <c r="P48" s="1334"/>
      <c r="Q48" s="1333"/>
      <c r="R48" s="287"/>
      <c r="S48" s="1415" t="str">
        <f>INDEX(PT_DIFFERENTIATION_NUM_CS,MATCH(C48,PT_DIFFERENTIATION_CS_ID,0))</f>
        <v>..</v>
      </c>
      <c r="T48" s="244" t="s">
        <v>559</v>
      </c>
      <c r="U48" s="235"/>
      <c r="V48" s="3724"/>
      <c r="W48" s="3724"/>
      <c r="X48" s="3724"/>
      <c r="Y48" s="3724"/>
      <c r="Z48" s="3724"/>
      <c r="AA48" s="3724"/>
      <c r="AB48" s="3724"/>
      <c r="AC48" s="3725"/>
      <c r="AD48" s="3723" t="str">
        <f>INDEX(PT_DIFFERENTIATION_CS,MATCH(C48,PT_DIFFERENTIATION_CS_ID,0))</f>
        <v/>
      </c>
      <c r="AE48" s="3724"/>
      <c r="AF48" s="3724"/>
      <c r="AG48" s="3724"/>
      <c r="AH48" s="3724"/>
      <c r="AI48" s="3724"/>
      <c r="AJ48" s="3724"/>
      <c r="AK48" s="3724"/>
      <c r="AL48" s="3724"/>
      <c r="AM48" s="3724"/>
      <c r="AN48" s="3724"/>
      <c r="AO48" s="3724"/>
      <c r="AP48" s="3724"/>
      <c r="AQ48" s="3724"/>
      <c r="AR48" s="3724"/>
      <c r="AS48" s="3724"/>
      <c r="AT48" s="3724"/>
      <c r="AU48" s="3724"/>
      <c r="AV48" s="3724"/>
      <c r="AW48" s="3724"/>
      <c r="AX48" s="3724"/>
      <c r="AY48" s="3724"/>
      <c r="AZ48" s="3724"/>
      <c r="BA48" s="3724"/>
      <c r="BB48" s="3725"/>
      <c r="BC48" s="1180" t="s">
        <v>560</v>
      </c>
      <c r="BE48" s="434"/>
      <c r="BF48" s="434" t="str">
        <f t="shared" si="3"/>
        <v>Наименование централизованной системы водоотведения</v>
      </c>
      <c r="BG48" s="434"/>
      <c r="BH48" s="434"/>
      <c r="BI48" s="1077">
        <v>34</v>
      </c>
    </row>
    <row r="49" spans="1:61" s="1564" customFormat="1" ht="0" hidden="1" customHeight="1">
      <c r="A49" s="1265" t="s">
        <v>321</v>
      </c>
      <c r="B49" s="1265" t="s">
        <v>322</v>
      </c>
      <c r="C49" s="1265" t="s">
        <v>323</v>
      </c>
      <c r="D49" s="1265" t="s">
        <v>572</v>
      </c>
      <c r="E49" s="3738"/>
      <c r="F49" s="3738"/>
      <c r="G49" s="3738"/>
      <c r="H49" s="3737">
        <v>1</v>
      </c>
      <c r="I49" s="1265"/>
      <c r="J49" s="1265"/>
      <c r="K49" s="1265"/>
      <c r="L49" s="1268"/>
      <c r="M49" s="1237"/>
      <c r="N49" s="1237"/>
      <c r="O49" s="1237"/>
      <c r="P49" s="1419"/>
      <c r="Q49" s="1420"/>
      <c r="R49" s="291"/>
      <c r="S49" s="968"/>
      <c r="T49" s="1421"/>
      <c r="U49" s="1306"/>
      <c r="V49" s="3767"/>
      <c r="W49" s="3767"/>
      <c r="X49" s="3767"/>
      <c r="Y49" s="3767"/>
      <c r="Z49" s="3767"/>
      <c r="AA49" s="3767"/>
      <c r="AB49" s="3767"/>
      <c r="AC49" s="3768"/>
      <c r="AD49" s="3766"/>
      <c r="AE49" s="3767"/>
      <c r="AF49" s="3767"/>
      <c r="AG49" s="3767"/>
      <c r="AH49" s="3767"/>
      <c r="AI49" s="3767"/>
      <c r="AJ49" s="3767"/>
      <c r="AK49" s="3767"/>
      <c r="AL49" s="3767"/>
      <c r="AM49" s="3767"/>
      <c r="AN49" s="3767"/>
      <c r="AO49" s="3767"/>
      <c r="AP49" s="3767"/>
      <c r="AQ49" s="3767"/>
      <c r="AR49" s="3767"/>
      <c r="AS49" s="3767"/>
      <c r="AT49" s="3767"/>
      <c r="AU49" s="3767"/>
      <c r="AV49" s="3767"/>
      <c r="AW49" s="3767"/>
      <c r="AX49" s="3767"/>
      <c r="AY49" s="3767"/>
      <c r="AZ49" s="3767"/>
      <c r="BA49" s="3767"/>
      <c r="BB49" s="3768"/>
      <c r="BC49" s="1307" t="s">
        <v>447</v>
      </c>
      <c r="BE49" s="434"/>
      <c r="BF49" s="434" t="str">
        <f t="shared" si="3"/>
        <v/>
      </c>
      <c r="BG49" s="434"/>
      <c r="BH49" s="434"/>
      <c r="BI49" s="445">
        <v>0</v>
      </c>
    </row>
    <row r="50" spans="1:61" s="1564" customFormat="1" ht="0" hidden="1" customHeight="1">
      <c r="A50" s="1265" t="s">
        <v>321</v>
      </c>
      <c r="B50" s="1265" t="s">
        <v>322</v>
      </c>
      <c r="C50" s="1265" t="s">
        <v>323</v>
      </c>
      <c r="D50" s="1265" t="s">
        <v>572</v>
      </c>
      <c r="E50" s="3738"/>
      <c r="F50" s="3738"/>
      <c r="G50" s="3738"/>
      <c r="H50" s="3738"/>
      <c r="I50" s="3735" t="str">
        <f>S49&amp;".1"</f>
        <v>.1</v>
      </c>
      <c r="J50" s="1265"/>
      <c r="K50" s="1265"/>
      <c r="L50" s="1268" t="s">
        <v>448</v>
      </c>
      <c r="M50" s="444"/>
      <c r="N50" s="444"/>
      <c r="O50" s="444"/>
      <c r="P50" s="3736">
        <v>1</v>
      </c>
      <c r="Q50" s="1403"/>
      <c r="R50" s="290"/>
      <c r="S50" s="968"/>
      <c r="T50" s="1305"/>
      <c r="U50" s="1306"/>
      <c r="V50" s="3767"/>
      <c r="W50" s="3767"/>
      <c r="X50" s="3767"/>
      <c r="Y50" s="3767"/>
      <c r="Z50" s="3767"/>
      <c r="AA50" s="3767"/>
      <c r="AB50" s="3767"/>
      <c r="AC50" s="3768"/>
      <c r="AD50" s="3766"/>
      <c r="AE50" s="3767"/>
      <c r="AF50" s="3767"/>
      <c r="AG50" s="3767"/>
      <c r="AH50" s="3767"/>
      <c r="AI50" s="3767"/>
      <c r="AJ50" s="3767"/>
      <c r="AK50" s="3767"/>
      <c r="AL50" s="3767"/>
      <c r="AM50" s="3767"/>
      <c r="AN50" s="3767"/>
      <c r="AO50" s="3767"/>
      <c r="AP50" s="3767"/>
      <c r="AQ50" s="3767"/>
      <c r="AR50" s="3767"/>
      <c r="AS50" s="3767"/>
      <c r="AT50" s="3767"/>
      <c r="AU50" s="3767"/>
      <c r="AV50" s="3767"/>
      <c r="AW50" s="3767"/>
      <c r="AX50" s="3767"/>
      <c r="AY50" s="3767"/>
      <c r="AZ50" s="3767"/>
      <c r="BA50" s="3767"/>
      <c r="BB50" s="3768"/>
      <c r="BC50" s="1307"/>
      <c r="BE50" s="434"/>
      <c r="BF50" s="434" t="str">
        <f t="shared" si="3"/>
        <v/>
      </c>
      <c r="BG50" s="434"/>
      <c r="BH50" s="434"/>
      <c r="BI50" s="445">
        <v>0</v>
      </c>
    </row>
    <row r="51" spans="1:61" s="1564" customFormat="1" ht="0" hidden="1" customHeight="1">
      <c r="A51" s="1265" t="s">
        <v>321</v>
      </c>
      <c r="B51" s="1265" t="s">
        <v>322</v>
      </c>
      <c r="C51" s="1265" t="s">
        <v>323</v>
      </c>
      <c r="D51" s="1265" t="s">
        <v>572</v>
      </c>
      <c r="E51" s="3738"/>
      <c r="F51" s="3738"/>
      <c r="G51" s="3738"/>
      <c r="H51" s="3738"/>
      <c r="I51" s="3758"/>
      <c r="J51" s="3735" t="str">
        <f>S49&amp;".1"</f>
        <v>.1</v>
      </c>
      <c r="K51" s="1265"/>
      <c r="L51" s="1268"/>
      <c r="M51" s="444"/>
      <c r="N51" s="444"/>
      <c r="O51" s="444"/>
      <c r="P51" s="3736"/>
      <c r="Q51" s="3736">
        <v>1</v>
      </c>
      <c r="R51" s="291"/>
      <c r="S51" s="968"/>
      <c r="T51" s="1321"/>
      <c r="U51" s="1306"/>
      <c r="V51" s="3767"/>
      <c r="W51" s="3767"/>
      <c r="X51" s="3767"/>
      <c r="Y51" s="3767"/>
      <c r="Z51" s="3767"/>
      <c r="AA51" s="3767"/>
      <c r="AB51" s="3767"/>
      <c r="AC51" s="3768"/>
      <c r="AD51" s="3766"/>
      <c r="AE51" s="3767"/>
      <c r="AF51" s="3767"/>
      <c r="AG51" s="3767"/>
      <c r="AH51" s="3767"/>
      <c r="AI51" s="3767"/>
      <c r="AJ51" s="3767"/>
      <c r="AK51" s="3767"/>
      <c r="AL51" s="3767"/>
      <c r="AM51" s="3767"/>
      <c r="AN51" s="3820"/>
      <c r="AO51" s="3820"/>
      <c r="AP51" s="3767"/>
      <c r="AQ51" s="3767"/>
      <c r="AR51" s="3767"/>
      <c r="AS51" s="3767"/>
      <c r="AT51" s="3767"/>
      <c r="AU51" s="3767"/>
      <c r="AV51" s="3767"/>
      <c r="AW51" s="3767"/>
      <c r="AX51" s="3767"/>
      <c r="AY51" s="3767"/>
      <c r="AZ51" s="3767"/>
      <c r="BA51" s="3767"/>
      <c r="BB51" s="3768"/>
      <c r="BC51" s="1307"/>
      <c r="BE51" s="434"/>
      <c r="BF51" s="434" t="str">
        <f t="shared" si="3"/>
        <v/>
      </c>
      <c r="BG51" s="434"/>
      <c r="BH51" s="434"/>
      <c r="BI51" s="445">
        <v>0</v>
      </c>
    </row>
    <row r="52" spans="1:61" ht="11.45" customHeight="1">
      <c r="A52" s="1285" t="s">
        <v>321</v>
      </c>
      <c r="B52" s="1285" t="s">
        <v>322</v>
      </c>
      <c r="C52" s="1285" t="s">
        <v>323</v>
      </c>
      <c r="D52" s="1285" t="s">
        <v>572</v>
      </c>
      <c r="E52" s="3738"/>
      <c r="F52" s="3738"/>
      <c r="G52" s="3738"/>
      <c r="H52" s="3738"/>
      <c r="I52" s="3758"/>
      <c r="J52" s="3758"/>
      <c r="K52" s="3735" t="str">
        <f>S48&amp;".1"</f>
        <v>...1</v>
      </c>
      <c r="L52" s="1286"/>
      <c r="P52" s="3736"/>
      <c r="Q52" s="3736"/>
      <c r="R52" s="291">
        <v>1</v>
      </c>
      <c r="S52" s="3795" t="str">
        <f>$K52</f>
        <v>...1</v>
      </c>
      <c r="T52" s="3816"/>
      <c r="U52" s="235"/>
      <c r="V52" s="685"/>
      <c r="W52" s="1179"/>
      <c r="X52" s="685"/>
      <c r="Y52" s="1179"/>
      <c r="Z52" s="1627"/>
      <c r="AA52" s="1391" t="s">
        <v>50</v>
      </c>
      <c r="AB52" s="1627"/>
      <c r="AC52" s="1391" t="s">
        <v>50</v>
      </c>
      <c r="AD52" s="3676" t="s">
        <v>50</v>
      </c>
      <c r="AE52" s="3780"/>
      <c r="AF52" s="3693">
        <v>1</v>
      </c>
      <c r="AG52" s="3819"/>
      <c r="AH52" s="3599" t="s">
        <v>50</v>
      </c>
      <c r="AI52" s="3780"/>
      <c r="AJ52" s="3693">
        <v>1</v>
      </c>
      <c r="AK52" s="3781" t="s">
        <v>9</v>
      </c>
      <c r="AL52" s="3599" t="s">
        <v>50</v>
      </c>
      <c r="AM52" s="3683"/>
      <c r="AN52" s="3693">
        <v>1</v>
      </c>
      <c r="AO52" s="3813"/>
      <c r="AP52" s="3814" t="s">
        <v>50</v>
      </c>
      <c r="AQ52" s="246"/>
      <c r="AR52" s="1408">
        <v>1</v>
      </c>
      <c r="AS52" s="1414" t="s">
        <v>9</v>
      </c>
      <c r="AT52" s="685"/>
      <c r="AU52" s="1179"/>
      <c r="AV52" s="685"/>
      <c r="AW52" s="1179"/>
      <c r="AX52" s="1627"/>
      <c r="AY52" s="1391" t="s">
        <v>50</v>
      </c>
      <c r="AZ52" s="1627"/>
      <c r="BA52" s="1391" t="s">
        <v>50</v>
      </c>
      <c r="BB52" s="1270"/>
      <c r="BC52" s="3732" t="s">
        <v>542</v>
      </c>
      <c r="BE52" s="434"/>
      <c r="BF52" s="434" t="str">
        <f t="shared" si="3"/>
        <v/>
      </c>
      <c r="BG52" s="434"/>
      <c r="BH52" s="434"/>
      <c r="BI52" s="1077">
        <v>11</v>
      </c>
    </row>
    <row r="53" spans="1:61" ht="11.45" customHeight="1">
      <c r="A53" s="1285"/>
      <c r="B53" s="1285"/>
      <c r="C53" s="1285"/>
      <c r="D53" s="1285"/>
      <c r="E53" s="3738"/>
      <c r="F53" s="3738"/>
      <c r="G53" s="3738"/>
      <c r="H53" s="3738"/>
      <c r="I53" s="3758"/>
      <c r="J53" s="3758"/>
      <c r="K53" s="3735"/>
      <c r="L53" s="1286"/>
      <c r="P53" s="3736"/>
      <c r="Q53" s="3736"/>
      <c r="R53" s="291"/>
      <c r="S53" s="3796"/>
      <c r="T53" s="3817"/>
      <c r="U53" s="235"/>
      <c r="V53" s="1315"/>
      <c r="W53" s="1418"/>
      <c r="X53" s="1315"/>
      <c r="Y53" s="1418"/>
      <c r="Z53" s="1315"/>
      <c r="AA53" s="1315"/>
      <c r="AB53" s="1315"/>
      <c r="AC53" s="1315"/>
      <c r="AD53" s="3677"/>
      <c r="AE53" s="3780"/>
      <c r="AF53" s="3693"/>
      <c r="AG53" s="3819"/>
      <c r="AH53" s="3599"/>
      <c r="AI53" s="3780"/>
      <c r="AJ53" s="3693"/>
      <c r="AK53" s="3781"/>
      <c r="AL53" s="3599"/>
      <c r="AM53" s="3688"/>
      <c r="AN53" s="3693"/>
      <c r="AO53" s="3813"/>
      <c r="AP53" s="3815"/>
      <c r="AQ53" s="251"/>
      <c r="AR53" s="350"/>
      <c r="AS53" s="350" t="s">
        <v>543</v>
      </c>
      <c r="AT53" s="1315"/>
      <c r="AU53" s="1418"/>
      <c r="AV53" s="1315"/>
      <c r="AW53" s="1418"/>
      <c r="AX53" s="1315"/>
      <c r="AY53" s="1315"/>
      <c r="AZ53" s="1315"/>
      <c r="BA53" s="1315"/>
      <c r="BB53" s="1319"/>
      <c r="BC53" s="3733"/>
      <c r="BE53" s="434"/>
      <c r="BF53" s="434"/>
      <c r="BG53" s="434"/>
      <c r="BH53" s="434"/>
      <c r="BI53" s="1077">
        <v>11</v>
      </c>
    </row>
    <row r="54" spans="1:61" ht="11.45" customHeight="1">
      <c r="A54" s="1285" t="s">
        <v>321</v>
      </c>
      <c r="B54" s="1285"/>
      <c r="C54" s="1285"/>
      <c r="D54" s="1285"/>
      <c r="E54" s="3738"/>
      <c r="F54" s="3738"/>
      <c r="G54" s="3738"/>
      <c r="H54" s="3738"/>
      <c r="I54" s="3758"/>
      <c r="J54" s="3758"/>
      <c r="K54" s="3735"/>
      <c r="L54" s="1286"/>
      <c r="P54" s="3736"/>
      <c r="Q54" s="3736"/>
      <c r="R54" s="291"/>
      <c r="S54" s="3796"/>
      <c r="T54" s="3817"/>
      <c r="U54" s="235"/>
      <c r="V54" s="1315"/>
      <c r="W54" s="1418"/>
      <c r="X54" s="1315"/>
      <c r="Y54" s="1418"/>
      <c r="Z54" s="1315"/>
      <c r="AA54" s="1315"/>
      <c r="AB54" s="1315"/>
      <c r="AC54" s="1315"/>
      <c r="AD54" s="3677"/>
      <c r="AE54" s="3780"/>
      <c r="AF54" s="3693"/>
      <c r="AG54" s="3819"/>
      <c r="AH54" s="3599"/>
      <c r="AI54" s="3780"/>
      <c r="AJ54" s="3693"/>
      <c r="AK54" s="3781"/>
      <c r="AL54" s="3599"/>
      <c r="AM54" s="251"/>
      <c r="AN54" s="1422"/>
      <c r="AO54" s="1422" t="s">
        <v>565</v>
      </c>
      <c r="AP54" s="350"/>
      <c r="AQ54" s="350"/>
      <c r="AR54" s="350"/>
      <c r="AS54" s="1315"/>
      <c r="AT54" s="1315"/>
      <c r="AU54" s="1418"/>
      <c r="AV54" s="1315"/>
      <c r="AW54" s="1418"/>
      <c r="AX54" s="1315"/>
      <c r="AY54" s="1315"/>
      <c r="AZ54" s="1315"/>
      <c r="BA54" s="1315"/>
      <c r="BB54" s="1319"/>
      <c r="BC54" s="3733"/>
      <c r="BE54" s="434"/>
      <c r="BF54" s="434"/>
      <c r="BG54" s="434"/>
      <c r="BH54" s="434"/>
      <c r="BI54" s="1077">
        <v>11</v>
      </c>
    </row>
    <row r="55" spans="1:61" ht="11.45" customHeight="1">
      <c r="A55" s="1285" t="s">
        <v>321</v>
      </c>
      <c r="B55" s="1285"/>
      <c r="C55" s="1285"/>
      <c r="D55" s="1285"/>
      <c r="E55" s="3738"/>
      <c r="F55" s="3738"/>
      <c r="G55" s="3738"/>
      <c r="H55" s="3738"/>
      <c r="I55" s="3758"/>
      <c r="J55" s="3758"/>
      <c r="K55" s="3735"/>
      <c r="L55" s="1286"/>
      <c r="P55" s="3736"/>
      <c r="Q55" s="3736"/>
      <c r="R55" s="291"/>
      <c r="S55" s="3796"/>
      <c r="T55" s="3817"/>
      <c r="U55" s="235"/>
      <c r="V55" s="1315"/>
      <c r="W55" s="1418"/>
      <c r="X55" s="1315"/>
      <c r="Y55" s="1418"/>
      <c r="Z55" s="1315"/>
      <c r="AA55" s="1315"/>
      <c r="AB55" s="1315"/>
      <c r="AC55" s="1315"/>
      <c r="AD55" s="3677"/>
      <c r="AE55" s="3780"/>
      <c r="AF55" s="3693"/>
      <c r="AG55" s="3819"/>
      <c r="AH55" s="3599"/>
      <c r="AI55" s="229"/>
      <c r="AJ55" s="349"/>
      <c r="AK55" s="248" t="s">
        <v>566</v>
      </c>
      <c r="AL55" s="1315"/>
      <c r="AM55" s="1315"/>
      <c r="AN55" s="1315"/>
      <c r="AO55" s="1315"/>
      <c r="AP55" s="1315"/>
      <c r="AQ55" s="1315"/>
      <c r="AR55" s="1315"/>
      <c r="AS55" s="1315"/>
      <c r="AT55" s="1315"/>
      <c r="AU55" s="1418"/>
      <c r="AV55" s="1315"/>
      <c r="AW55" s="1418"/>
      <c r="AX55" s="1315"/>
      <c r="AY55" s="1315"/>
      <c r="AZ55" s="1315"/>
      <c r="BA55" s="1315"/>
      <c r="BB55" s="1319"/>
      <c r="BC55" s="3733"/>
      <c r="BE55" s="434"/>
      <c r="BF55" s="434"/>
      <c r="BG55" s="434"/>
      <c r="BH55" s="434"/>
      <c r="BI55" s="1077">
        <v>11</v>
      </c>
    </row>
    <row r="56" spans="1:61" ht="11.45" customHeight="1">
      <c r="A56" s="1285" t="s">
        <v>321</v>
      </c>
      <c r="B56" s="1285" t="s">
        <v>322</v>
      </c>
      <c r="C56" s="1285" t="s">
        <v>323</v>
      </c>
      <c r="D56" s="1285" t="s">
        <v>572</v>
      </c>
      <c r="E56" s="3738"/>
      <c r="F56" s="3738"/>
      <c r="G56" s="3738"/>
      <c r="H56" s="3738"/>
      <c r="I56" s="3758"/>
      <c r="J56" s="3758"/>
      <c r="K56" s="3735"/>
      <c r="L56" s="1286"/>
      <c r="P56" s="3736"/>
      <c r="Q56" s="3736"/>
      <c r="R56" s="291"/>
      <c r="S56" s="3797"/>
      <c r="T56" s="3818"/>
      <c r="U56" s="235"/>
      <c r="V56" s="1315"/>
      <c r="W56" s="1316" t="str">
        <f>Z52&amp;"-"&amp;AB52</f>
        <v>-</v>
      </c>
      <c r="X56" s="1315"/>
      <c r="Y56" s="1316" t="str">
        <f>AB52&amp;"-"&amp;AD52</f>
        <v>-да</v>
      </c>
      <c r="Z56" s="1315"/>
      <c r="AA56" s="1315"/>
      <c r="AB56" s="1315"/>
      <c r="AC56" s="1315"/>
      <c r="AD56" s="3604"/>
      <c r="AE56" s="247"/>
      <c r="AF56" s="249"/>
      <c r="AG56" s="350" t="s">
        <v>546</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3733"/>
      <c r="BE56" s="434"/>
      <c r="BF56" s="434" t="str">
        <f t="shared" ref="BF56:BF63" si="4">IF(T56="","",T56)</f>
        <v/>
      </c>
      <c r="BG56" s="434"/>
      <c r="BH56" s="434"/>
      <c r="BI56" s="1077">
        <v>11</v>
      </c>
    </row>
    <row r="57" spans="1:61" ht="11.45" customHeight="1">
      <c r="A57" s="1285" t="s">
        <v>321</v>
      </c>
      <c r="B57" s="1285" t="s">
        <v>322</v>
      </c>
      <c r="C57" s="1285" t="s">
        <v>323</v>
      </c>
      <c r="D57" s="1285" t="s">
        <v>572</v>
      </c>
      <c r="E57" s="3738"/>
      <c r="F57" s="3738"/>
      <c r="G57" s="3738"/>
      <c r="H57" s="3738"/>
      <c r="I57" s="3758"/>
      <c r="J57" s="3735"/>
      <c r="K57" s="1285"/>
      <c r="L57" s="1286"/>
      <c r="P57" s="3736"/>
      <c r="Q57" s="3736"/>
      <c r="R57" s="290"/>
      <c r="S57" s="1200"/>
      <c r="T57" s="222" t="s">
        <v>509</v>
      </c>
      <c r="U57" s="301"/>
      <c r="V57" s="301"/>
      <c r="W57" s="301"/>
      <c r="X57" s="301"/>
      <c r="Y57" s="301"/>
      <c r="Z57" s="301"/>
      <c r="AA57" s="301"/>
      <c r="AB57" s="301"/>
      <c r="AC57" s="259"/>
      <c r="AD57" s="1427"/>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734"/>
      <c r="BE57" s="434"/>
      <c r="BF57" s="434" t="str">
        <f t="shared" si="4"/>
        <v>Добавить строку</v>
      </c>
      <c r="BG57" s="434"/>
      <c r="BH57" s="434"/>
      <c r="BI57" s="1077">
        <v>11</v>
      </c>
    </row>
    <row r="58" spans="1:61" s="1564" customFormat="1" ht="0" hidden="1" customHeight="1">
      <c r="A58" s="1265" t="s">
        <v>321</v>
      </c>
      <c r="B58" s="1265" t="s">
        <v>322</v>
      </c>
      <c r="C58" s="1265" t="s">
        <v>323</v>
      </c>
      <c r="D58" s="1265" t="s">
        <v>572</v>
      </c>
      <c r="E58" s="3738"/>
      <c r="F58" s="3738"/>
      <c r="G58" s="3738"/>
      <c r="H58" s="3738"/>
      <c r="I58" s="3735"/>
      <c r="J58" s="1265"/>
      <c r="K58" s="1265"/>
      <c r="L58" s="1268"/>
      <c r="M58" s="444"/>
      <c r="N58" s="444"/>
      <c r="O58" s="444"/>
      <c r="P58" s="3736"/>
      <c r="Q58" s="1403"/>
      <c r="R58" s="290"/>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4"/>
      <c r="BF58" s="434" t="str">
        <f t="shared" si="4"/>
        <v/>
      </c>
      <c r="BG58" s="434"/>
      <c r="BH58" s="434"/>
      <c r="BI58" s="445">
        <v>0</v>
      </c>
    </row>
    <row r="59" spans="1:61" s="1564" customFormat="1" ht="0" hidden="1" customHeight="1">
      <c r="A59" s="1265" t="s">
        <v>321</v>
      </c>
      <c r="B59" s="1265" t="s">
        <v>322</v>
      </c>
      <c r="C59" s="1265" t="s">
        <v>323</v>
      </c>
      <c r="D59" s="1265" t="s">
        <v>572</v>
      </c>
      <c r="E59" s="3738"/>
      <c r="F59" s="3738"/>
      <c r="G59" s="3738"/>
      <c r="H59" s="3737"/>
      <c r="I59" s="1265"/>
      <c r="J59" s="1265"/>
      <c r="K59" s="1265"/>
      <c r="L59" s="1268"/>
      <c r="M59" s="1237"/>
      <c r="N59" s="1237"/>
      <c r="O59" s="452"/>
      <c r="P59" s="314"/>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4"/>
      <c r="BF59" s="434" t="str">
        <f t="shared" si="4"/>
        <v/>
      </c>
      <c r="BG59" s="434"/>
      <c r="BH59" s="434"/>
      <c r="BI59" s="445">
        <v>0</v>
      </c>
    </row>
    <row r="60" spans="1:61" s="1564" customFormat="1" ht="0" hidden="1" customHeight="1">
      <c r="A60" s="1265" t="s">
        <v>321</v>
      </c>
      <c r="B60" s="1265" t="s">
        <v>322</v>
      </c>
      <c r="C60" s="1265" t="s">
        <v>323</v>
      </c>
      <c r="D60" s="1236"/>
      <c r="E60" s="3738"/>
      <c r="F60" s="3738"/>
      <c r="G60" s="3737"/>
      <c r="H60" s="1236"/>
      <c r="I60" s="1236"/>
      <c r="J60" s="1236"/>
      <c r="K60" s="1236"/>
      <c r="L60" s="141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2">
        <v>0</v>
      </c>
    </row>
    <row r="61" spans="1:61" s="1564" customFormat="1" ht="0" hidden="1" customHeight="1">
      <c r="A61" s="1265" t="s">
        <v>321</v>
      </c>
      <c r="B61" s="1265" t="s">
        <v>322</v>
      </c>
      <c r="C61" s="1236"/>
      <c r="D61" s="1236"/>
      <c r="E61" s="3738"/>
      <c r="F61" s="3737"/>
      <c r="G61" s="1236"/>
      <c r="H61" s="1236"/>
      <c r="I61" s="1236"/>
      <c r="J61" s="1236"/>
      <c r="K61" s="1236"/>
      <c r="L61" s="1416"/>
      <c r="M61" s="1243"/>
      <c r="N61" s="1243"/>
      <c r="P61" s="1238"/>
      <c r="Q61" s="1239"/>
      <c r="R61" s="1238"/>
      <c r="S61" s="1244"/>
      <c r="T61" s="1247" t="s">
        <v>460</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2">
        <v>0</v>
      </c>
    </row>
    <row r="62" spans="1:61" s="1564" customFormat="1" ht="0" hidden="1" customHeight="1">
      <c r="A62" s="1265" t="s">
        <v>321</v>
      </c>
      <c r="B62" s="1265"/>
      <c r="C62" s="1265"/>
      <c r="D62" s="1265"/>
      <c r="E62" s="3737"/>
      <c r="F62" s="1265"/>
      <c r="G62" s="1265"/>
      <c r="H62" s="1265"/>
      <c r="I62" s="1265"/>
      <c r="J62" s="1265"/>
      <c r="K62" s="1265"/>
      <c r="L62" s="1268"/>
      <c r="M62" s="1243"/>
      <c r="N62" s="1243"/>
      <c r="O62" s="452"/>
      <c r="P62" s="314"/>
      <c r="Q62" s="1266"/>
      <c r="R62" s="314"/>
      <c r="S62" s="1244"/>
      <c r="T62" s="1247" t="s">
        <v>461</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4"/>
      <c r="BF62" s="434" t="str">
        <f t="shared" si="4"/>
        <v>Добавить территорию для дифференциации</v>
      </c>
      <c r="BG62" s="434"/>
      <c r="BH62" s="434"/>
      <c r="BI62" s="445">
        <v>0</v>
      </c>
    </row>
    <row r="63" spans="1:61" s="1564" customFormat="1" ht="0" hidden="1" customHeight="1">
      <c r="A63" s="1236"/>
      <c r="B63" s="1236"/>
      <c r="C63" s="1236"/>
      <c r="D63" s="1236"/>
      <c r="E63" s="1265"/>
      <c r="F63" s="1236"/>
      <c r="G63" s="1236"/>
      <c r="H63" s="1236"/>
      <c r="I63" s="1236"/>
      <c r="J63" s="1236"/>
      <c r="K63" s="1236"/>
      <c r="L63" s="1416"/>
      <c r="M63" s="1243"/>
      <c r="N63" s="1243"/>
      <c r="P63" s="1238"/>
      <c r="Q63" s="1239"/>
      <c r="R63" s="1238"/>
      <c r="S63" s="1244"/>
      <c r="T63" s="1247" t="s">
        <v>489</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2">
        <v>0</v>
      </c>
    </row>
    <row r="64" spans="1:61" ht="11.45" customHeight="1">
      <c r="M64" s="1082"/>
      <c r="N64" s="1082"/>
      <c r="O64" s="471"/>
      <c r="P64" s="1082"/>
      <c r="Q64" s="1082"/>
      <c r="R64" s="1077"/>
      <c r="S64" s="1077"/>
      <c r="BD64" s="1077"/>
      <c r="BE64" s="1077"/>
      <c r="BF64" s="1077"/>
      <c r="BG64" s="1077"/>
      <c r="BH64" s="1077"/>
      <c r="BI64" s="1077">
        <v>11</v>
      </c>
    </row>
    <row r="65" spans="1:61" ht="14.65" customHeight="1">
      <c r="O65" s="471"/>
      <c r="S65" s="1175"/>
      <c r="T65" s="3757"/>
      <c r="U65" s="3757"/>
      <c r="V65" s="3757"/>
      <c r="W65" s="3757"/>
      <c r="X65" s="3757"/>
      <c r="Y65" s="3757"/>
      <c r="Z65" s="3757"/>
      <c r="AA65" s="3757"/>
      <c r="AB65" s="3757"/>
      <c r="AC65" s="3757"/>
      <c r="AD65" s="3757"/>
      <c r="AE65" s="3757"/>
      <c r="AF65" s="3757"/>
      <c r="AG65" s="3757"/>
      <c r="AH65" s="3757"/>
      <c r="AI65" s="3757"/>
      <c r="AJ65" s="3757"/>
      <c r="AK65" s="3757"/>
      <c r="AL65" s="3757"/>
      <c r="AM65" s="3757"/>
      <c r="AN65" s="3757"/>
      <c r="AO65" s="3757"/>
      <c r="AP65" s="3757"/>
      <c r="AQ65" s="3757"/>
      <c r="AR65" s="3757"/>
      <c r="AS65" s="3757"/>
      <c r="AT65" s="3757"/>
      <c r="AU65" s="3757"/>
      <c r="AV65" s="3757"/>
      <c r="AW65" s="3757"/>
      <c r="AX65" s="3757"/>
      <c r="AY65" s="3757"/>
      <c r="AZ65" s="3757"/>
      <c r="BA65" s="3757"/>
      <c r="BB65" s="3757"/>
      <c r="BC65" s="3757"/>
      <c r="BI65" s="1077">
        <v>14</v>
      </c>
    </row>
    <row r="66" spans="1:61" ht="14.65" customHeight="1">
      <c r="O66" s="471"/>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c r="BI66" s="1077">
        <v>14</v>
      </c>
    </row>
    <row r="67" spans="1:61" ht="14.65" customHeight="1">
      <c r="O67" s="471"/>
      <c r="S67" s="1175"/>
      <c r="T67" s="3757"/>
      <c r="U67" s="3757"/>
      <c r="V67" s="3757"/>
      <c r="W67" s="3757"/>
      <c r="X67" s="3757"/>
      <c r="Y67" s="3757"/>
      <c r="Z67" s="3757"/>
      <c r="AA67" s="3757"/>
      <c r="AB67" s="3757"/>
      <c r="AC67" s="3757"/>
      <c r="AD67" s="3757"/>
      <c r="AE67" s="3757"/>
      <c r="AF67" s="3757"/>
      <c r="AG67" s="3757"/>
      <c r="AH67" s="3757"/>
      <c r="AI67" s="3757"/>
      <c r="AJ67" s="3757"/>
      <c r="AK67" s="3757"/>
      <c r="AL67" s="3757"/>
      <c r="AM67" s="3757"/>
      <c r="AN67" s="3757"/>
      <c r="AO67" s="3757"/>
      <c r="AP67" s="3757"/>
      <c r="AQ67" s="3757"/>
      <c r="AR67" s="3757"/>
      <c r="AS67" s="3757"/>
      <c r="AT67" s="3757"/>
      <c r="AU67" s="3757"/>
      <c r="AV67" s="3757"/>
      <c r="AW67" s="3757"/>
      <c r="AX67" s="3757"/>
      <c r="AY67" s="3757"/>
      <c r="AZ67" s="3757"/>
      <c r="BA67" s="3757"/>
      <c r="BB67" s="3757"/>
      <c r="BC67" s="3757"/>
      <c r="BI67" s="1077">
        <v>14</v>
      </c>
    </row>
    <row r="68" spans="1:61" ht="14.65" customHeight="1">
      <c r="O68" s="471"/>
      <c r="BI68" s="1077">
        <v>14</v>
      </c>
    </row>
    <row r="69" spans="1:61" ht="14.25" hidden="1" customHeight="1">
      <c r="A69" s="1082" t="s">
        <v>70</v>
      </c>
      <c r="B69" s="1082">
        <v>0</v>
      </c>
      <c r="C69" s="1082">
        <v>0</v>
      </c>
      <c r="D69" s="1082">
        <v>0</v>
      </c>
      <c r="E69" s="1082">
        <v>0</v>
      </c>
      <c r="F69" s="1082">
        <v>0</v>
      </c>
      <c r="G69" s="1082">
        <v>0</v>
      </c>
      <c r="H69" s="1082">
        <v>0</v>
      </c>
      <c r="I69" s="1082">
        <v>0</v>
      </c>
      <c r="J69" s="1082">
        <v>0</v>
      </c>
      <c r="K69" s="1082">
        <v>0</v>
      </c>
      <c r="L69" s="1400">
        <v>0</v>
      </c>
      <c r="M69" s="1284">
        <v>0</v>
      </c>
      <c r="N69" s="1284">
        <v>0</v>
      </c>
      <c r="O69" s="1284">
        <v>0</v>
      </c>
      <c r="P69" s="1284">
        <v>0</v>
      </c>
      <c r="Q69" s="1293">
        <v>0</v>
      </c>
      <c r="R69" s="279">
        <v>3</v>
      </c>
      <c r="S69" s="515">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5">
        <v>10</v>
      </c>
      <c r="BE69" s="445">
        <v>10</v>
      </c>
      <c r="BF69" s="445">
        <v>10</v>
      </c>
      <c r="BG69" s="445">
        <v>10</v>
      </c>
      <c r="BH69" s="445">
        <v>10</v>
      </c>
      <c r="BI69" s="1077">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8" width="19.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19.7109375" style="1557" customWidth="1"/>
    <col min="34" max="39" width="19" style="1557" customWidth="1"/>
    <col min="40" max="40" width="11" style="1557" customWidth="1"/>
    <col min="41" max="41" width="3.7109375" style="1557" customWidth="1"/>
    <col min="42" max="42" width="11" style="1557" customWidth="1"/>
    <col min="43" max="43" width="8.5703125" style="1557" hidden="1" customWidth="1"/>
    <col min="44" max="44" width="4" style="1557" customWidth="1"/>
    <col min="45" max="45" width="115" style="1557" customWidth="1"/>
    <col min="46" max="50" width="10" style="1564" customWidth="1"/>
    <col min="51" max="51" width="10.5703125" style="1557" hidden="1"/>
  </cols>
  <sheetData>
    <row r="1" spans="1:51" ht="22.5" hidden="1" customHeight="1">
      <c r="AC1" s="262"/>
      <c r="AN1" s="262"/>
      <c r="AY1" s="1077" t="s">
        <v>1</v>
      </c>
    </row>
    <row r="2" spans="1:51" ht="23.25" hidden="1" customHeight="1">
      <c r="A2" s="1285"/>
      <c r="B2" s="1285"/>
      <c r="C2" s="1285"/>
      <c r="D2" s="1285"/>
      <c r="E2" s="3737">
        <v>1</v>
      </c>
      <c r="F2" s="1285"/>
      <c r="G2" s="1285"/>
      <c r="H2" s="1285"/>
      <c r="I2" s="1285"/>
      <c r="J2" s="1285"/>
      <c r="K2" s="1285"/>
      <c r="L2" s="1286"/>
      <c r="M2" s="1287"/>
      <c r="N2" s="1287"/>
      <c r="O2" s="1287"/>
      <c r="P2" s="295"/>
      <c r="Q2" s="294"/>
      <c r="R2" s="289"/>
      <c r="S2" s="1415" t="e">
        <f>INDEX(PT_DIFFERENTIATION_NUM_NTAR,MATCH(A2,PT_DIFFERENTIATION_NTAR_ID,0))</f>
        <v>#N/A</v>
      </c>
      <c r="T2" s="233" t="s">
        <v>176</v>
      </c>
      <c r="U2" s="235"/>
      <c r="V2" s="3723"/>
      <c r="W2" s="3724"/>
      <c r="X2" s="3724"/>
      <c r="Y2" s="3724"/>
      <c r="Z2" s="3724"/>
      <c r="AA2" s="3724"/>
      <c r="AB2" s="3724"/>
      <c r="AC2" s="3724"/>
      <c r="AD2" s="3724"/>
      <c r="AE2" s="3724"/>
      <c r="AF2" s="3725"/>
      <c r="AG2" s="3723" t="e">
        <f>INDEX(PT_DIFFERENTIATION_NTAR,MATCH(A2,PT_DIFFERENTIATION_NTAR_ID,0))</f>
        <v>#N/A</v>
      </c>
      <c r="AH2" s="3724"/>
      <c r="AI2" s="3724"/>
      <c r="AJ2" s="3724"/>
      <c r="AK2" s="3724"/>
      <c r="AL2" s="3724"/>
      <c r="AM2" s="3724"/>
      <c r="AN2" s="3724"/>
      <c r="AO2" s="3724"/>
      <c r="AP2" s="3724"/>
      <c r="AQ2" s="3724"/>
      <c r="AR2" s="3725"/>
      <c r="AS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7">
        <v>0</v>
      </c>
    </row>
    <row r="3" spans="1:51" ht="23.25" hidden="1" customHeight="1">
      <c r="A3" s="1285"/>
      <c r="B3" s="1285"/>
      <c r="C3" s="1285"/>
      <c r="D3" s="1285"/>
      <c r="E3" s="3738"/>
      <c r="F3" s="3737">
        <v>1</v>
      </c>
      <c r="G3" s="1285"/>
      <c r="H3" s="1285"/>
      <c r="I3" s="1285"/>
      <c r="J3" s="1285"/>
      <c r="K3" s="1285"/>
      <c r="L3" s="1286"/>
      <c r="M3" s="1287"/>
      <c r="N3" s="1287"/>
      <c r="O3" s="1287"/>
      <c r="P3" s="1409"/>
      <c r="Q3" s="286"/>
      <c r="R3" s="287"/>
      <c r="S3" s="1415" t="e">
        <f>INDEX(PT_DIFFERENTIATION_NUM_TER,MATCH(B3,PT_DIFFERENTIATION_TER_ID,0))</f>
        <v>#N/A</v>
      </c>
      <c r="T3" s="243" t="s">
        <v>442</v>
      </c>
      <c r="U3" s="235"/>
      <c r="V3" s="3723"/>
      <c r="W3" s="3724"/>
      <c r="X3" s="3724"/>
      <c r="Y3" s="3724"/>
      <c r="Z3" s="3724"/>
      <c r="AA3" s="3724"/>
      <c r="AB3" s="3724"/>
      <c r="AC3" s="3724"/>
      <c r="AD3" s="3724"/>
      <c r="AE3" s="3724"/>
      <c r="AF3" s="3725"/>
      <c r="AG3" s="3723" t="e">
        <f>INDEX(PT_DIFFERENTIATION_TER,MATCH(B3,PT_DIFFERENTIATION_TER_ID,0))</f>
        <v>#N/A</v>
      </c>
      <c r="AH3" s="3724"/>
      <c r="AI3" s="3724"/>
      <c r="AJ3" s="3724"/>
      <c r="AK3" s="3724"/>
      <c r="AL3" s="3724"/>
      <c r="AM3" s="3724"/>
      <c r="AN3" s="3724"/>
      <c r="AO3" s="3724"/>
      <c r="AP3" s="3724"/>
      <c r="AQ3" s="3724"/>
      <c r="AR3" s="3725"/>
      <c r="AS3" s="1180" t="s">
        <v>443</v>
      </c>
      <c r="AU3" s="434"/>
      <c r="AV3" s="434" t="str">
        <f t="shared" si="0"/>
        <v>Территория действия тарифа</v>
      </c>
      <c r="AW3" s="434"/>
      <c r="AX3" s="434"/>
      <c r="AY3" s="1077">
        <v>0</v>
      </c>
    </row>
    <row r="4" spans="1:51" ht="23.25" hidden="1" customHeight="1">
      <c r="A4" s="1285"/>
      <c r="B4" s="1285"/>
      <c r="C4" s="1285"/>
      <c r="D4" s="1285"/>
      <c r="E4" s="3738"/>
      <c r="F4" s="3738"/>
      <c r="G4" s="3737">
        <v>1</v>
      </c>
      <c r="H4" s="1285"/>
      <c r="I4" s="1285"/>
      <c r="J4" s="1285"/>
      <c r="K4" s="1285"/>
      <c r="L4" s="1286"/>
      <c r="M4" s="1287"/>
      <c r="N4" s="1287"/>
      <c r="O4" s="1287"/>
      <c r="P4" s="288"/>
      <c r="Q4" s="286"/>
      <c r="R4" s="287"/>
      <c r="S4" s="1415" t="e">
        <f>INDEX(PT_DIFFERENTIATION_NUM_CS,MATCH(C4,PT_DIFFERENTIATION_CS_ID,0))</f>
        <v>#N/A</v>
      </c>
      <c r="T4" s="244" t="s">
        <v>573</v>
      </c>
      <c r="U4" s="235"/>
      <c r="V4" s="3723"/>
      <c r="W4" s="3724"/>
      <c r="X4" s="3724"/>
      <c r="Y4" s="3724"/>
      <c r="Z4" s="3724"/>
      <c r="AA4" s="3724"/>
      <c r="AB4" s="3724"/>
      <c r="AC4" s="3724"/>
      <c r="AD4" s="3724"/>
      <c r="AE4" s="3724"/>
      <c r="AF4" s="3725"/>
      <c r="AG4" s="3723" t="e">
        <f>INDEX(PT_DIFFERENTIATION_CS,MATCH(C4,PT_DIFFERENTIATION_CS_ID,0))</f>
        <v>#N/A</v>
      </c>
      <c r="AH4" s="3724"/>
      <c r="AI4" s="3724"/>
      <c r="AJ4" s="3724"/>
      <c r="AK4" s="3724"/>
      <c r="AL4" s="3724"/>
      <c r="AM4" s="3724"/>
      <c r="AN4" s="3724"/>
      <c r="AO4" s="3724"/>
      <c r="AP4" s="3724"/>
      <c r="AQ4" s="3724"/>
      <c r="AR4" s="3725"/>
      <c r="AS4" s="1180" t="s">
        <v>574</v>
      </c>
      <c r="AU4" s="434"/>
      <c r="AV4" s="434" t="str">
        <f t="shared" si="0"/>
        <v>Наименование централизованной системы горячего водоснабжения</v>
      </c>
      <c r="AW4" s="434"/>
      <c r="AX4" s="434"/>
      <c r="AY4" s="1077">
        <v>0</v>
      </c>
    </row>
    <row r="5" spans="1:51" ht="23.25" hidden="1" customHeight="1">
      <c r="A5" s="1285"/>
      <c r="B5" s="1285"/>
      <c r="C5" s="1285"/>
      <c r="D5" s="1285"/>
      <c r="E5" s="3738"/>
      <c r="F5" s="3738"/>
      <c r="G5" s="3738"/>
      <c r="H5" s="3738"/>
      <c r="I5" s="3735" t="e">
        <f>S4&amp;".1"</f>
        <v>#N/A</v>
      </c>
      <c r="J5" s="1285"/>
      <c r="K5" s="1285"/>
      <c r="L5" s="1286"/>
      <c r="P5" s="3736">
        <v>1</v>
      </c>
      <c r="Q5" s="1403"/>
      <c r="R5" s="290"/>
      <c r="S5" s="1415" t="e">
        <f>$I5</f>
        <v>#N/A</v>
      </c>
      <c r="T5" s="220" t="s">
        <v>526</v>
      </c>
      <c r="U5" s="235"/>
      <c r="V5" s="3807"/>
      <c r="W5" s="3808"/>
      <c r="X5" s="3808"/>
      <c r="Y5" s="3808"/>
      <c r="Z5" s="3808"/>
      <c r="AA5" s="3808"/>
      <c r="AB5" s="3808"/>
      <c r="AC5" s="3808"/>
      <c r="AD5" s="3808"/>
      <c r="AE5" s="3808"/>
      <c r="AF5" s="3809"/>
      <c r="AG5" s="3810"/>
      <c r="AH5" s="3811"/>
      <c r="AI5" s="3811"/>
      <c r="AJ5" s="3811"/>
      <c r="AK5" s="3811"/>
      <c r="AL5" s="3811"/>
      <c r="AM5" s="3811"/>
      <c r="AN5" s="3811"/>
      <c r="AO5" s="3811"/>
      <c r="AP5" s="3811"/>
      <c r="AQ5" s="3811"/>
      <c r="AR5" s="3812"/>
      <c r="AS5" s="1180" t="s">
        <v>527</v>
      </c>
      <c r="AU5" s="434"/>
      <c r="AV5" s="434" t="str">
        <f t="shared" si="0"/>
        <v>Наименование признака дифференциации</v>
      </c>
      <c r="AW5" s="434"/>
      <c r="AX5" s="434"/>
      <c r="AY5" s="1077">
        <v>0</v>
      </c>
    </row>
    <row r="6" spans="1:51" ht="23.25" hidden="1" customHeight="1">
      <c r="A6" s="1285"/>
      <c r="B6" s="1285"/>
      <c r="C6" s="1285"/>
      <c r="D6" s="1285"/>
      <c r="E6" s="3738"/>
      <c r="F6" s="3738"/>
      <c r="G6" s="3738"/>
      <c r="H6" s="3738"/>
      <c r="I6" s="3758"/>
      <c r="J6" s="3735" t="e">
        <f>I5&amp;".1"</f>
        <v>#N/A</v>
      </c>
      <c r="K6" s="1285"/>
      <c r="L6" s="1286" t="s">
        <v>451</v>
      </c>
      <c r="P6" s="3736"/>
      <c r="Q6" s="3736">
        <v>1</v>
      </c>
      <c r="R6" s="291"/>
      <c r="S6" s="1415" t="e">
        <f>$J6</f>
        <v>#N/A</v>
      </c>
      <c r="T6" s="221" t="s">
        <v>452</v>
      </c>
      <c r="U6" s="235"/>
      <c r="V6" s="3726"/>
      <c r="W6" s="3727"/>
      <c r="X6" s="3727"/>
      <c r="Y6" s="3727"/>
      <c r="Z6" s="3727"/>
      <c r="AA6" s="3727"/>
      <c r="AB6" s="3727"/>
      <c r="AC6" s="3727"/>
      <c r="AD6" s="3727"/>
      <c r="AE6" s="3727"/>
      <c r="AF6" s="3728"/>
      <c r="AG6" s="3726"/>
      <c r="AH6" s="3727"/>
      <c r="AI6" s="3727"/>
      <c r="AJ6" s="3727"/>
      <c r="AK6" s="3727"/>
      <c r="AL6" s="3727"/>
      <c r="AM6" s="3727"/>
      <c r="AN6" s="3727"/>
      <c r="AO6" s="3727"/>
      <c r="AP6" s="3727"/>
      <c r="AQ6" s="3727"/>
      <c r="AR6" s="3728"/>
      <c r="AS6" s="1229" t="s">
        <v>528</v>
      </c>
      <c r="AU6" s="434"/>
      <c r="AV6" s="434" t="str">
        <f t="shared" si="0"/>
        <v>Группа потребителей</v>
      </c>
      <c r="AW6" s="434"/>
      <c r="AX6" s="434"/>
      <c r="AY6" s="1077">
        <v>0</v>
      </c>
    </row>
    <row r="7" spans="1:51" ht="23.25" hidden="1" customHeight="1">
      <c r="A7" s="1285"/>
      <c r="B7" s="1285"/>
      <c r="C7" s="1285"/>
      <c r="D7" s="1285"/>
      <c r="E7" s="3738"/>
      <c r="F7" s="3738"/>
      <c r="G7" s="3738"/>
      <c r="H7" s="3738"/>
      <c r="I7" s="3758"/>
      <c r="J7" s="3758"/>
      <c r="K7" s="3735" t="e">
        <f>J6&amp;".1"</f>
        <v>#N/A</v>
      </c>
      <c r="L7" s="1286"/>
      <c r="P7" s="3736"/>
      <c r="Q7" s="3736"/>
      <c r="R7" s="291">
        <v>1</v>
      </c>
      <c r="S7" s="1415" t="e">
        <f>$K7</f>
        <v>#N/A</v>
      </c>
      <c r="T7" s="1359"/>
      <c r="U7" s="235"/>
      <c r="V7" s="685"/>
      <c r="W7" s="685"/>
      <c r="X7" s="685"/>
      <c r="Y7" s="685"/>
      <c r="Z7" s="685"/>
      <c r="AA7" s="685"/>
      <c r="AB7" s="685"/>
      <c r="AC7" s="3740"/>
      <c r="AD7" s="3599" t="s">
        <v>50</v>
      </c>
      <c r="AE7" s="3740"/>
      <c r="AF7" s="3599" t="s">
        <v>50</v>
      </c>
      <c r="AG7" s="685"/>
      <c r="AH7" s="685"/>
      <c r="AI7" s="685"/>
      <c r="AJ7" s="685"/>
      <c r="AK7" s="685"/>
      <c r="AL7" s="685"/>
      <c r="AM7" s="685"/>
      <c r="AN7" s="3740"/>
      <c r="AO7" s="3599" t="s">
        <v>50</v>
      </c>
      <c r="AP7" s="3759"/>
      <c r="AQ7" s="3599" t="s">
        <v>50</v>
      </c>
      <c r="AR7" s="1360"/>
      <c r="AS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7">
        <v>0</v>
      </c>
    </row>
    <row r="8" spans="1:51" ht="14.25" hidden="1" customHeight="1">
      <c r="A8" s="1285"/>
      <c r="B8" s="1285"/>
      <c r="C8" s="1285"/>
      <c r="D8" s="1285"/>
      <c r="E8" s="3738"/>
      <c r="F8" s="3738"/>
      <c r="G8" s="3738"/>
      <c r="H8" s="3738"/>
      <c r="I8" s="3758"/>
      <c r="J8" s="3758"/>
      <c r="K8" s="3735"/>
      <c r="L8" s="1286"/>
      <c r="P8" s="3736"/>
      <c r="Q8" s="3736"/>
      <c r="R8" s="291"/>
      <c r="S8" s="1412"/>
      <c r="T8" s="235"/>
      <c r="U8" s="235"/>
      <c r="V8" s="260"/>
      <c r="W8" s="260"/>
      <c r="X8" s="260"/>
      <c r="Y8" s="260"/>
      <c r="Z8" s="260"/>
      <c r="AA8" s="260"/>
      <c r="AB8" s="260"/>
      <c r="AC8" s="3741"/>
      <c r="AD8" s="3599"/>
      <c r="AE8" s="3741"/>
      <c r="AF8" s="3599"/>
      <c r="AG8" s="260"/>
      <c r="AH8" s="260"/>
      <c r="AI8" s="260"/>
      <c r="AJ8" s="260"/>
      <c r="AK8" s="260"/>
      <c r="AL8" s="260"/>
      <c r="AM8" s="260"/>
      <c r="AN8" s="3741"/>
      <c r="AO8" s="3599"/>
      <c r="AP8" s="3760"/>
      <c r="AQ8" s="3599"/>
      <c r="AR8" s="1361"/>
      <c r="AS8" s="3806"/>
      <c r="AU8" s="434"/>
      <c r="AV8" s="434" t="str">
        <f t="shared" si="0"/>
        <v/>
      </c>
      <c r="AW8" s="434"/>
      <c r="AX8" s="434"/>
      <c r="AY8" s="1077">
        <v>0</v>
      </c>
    </row>
    <row r="9" spans="1:51" ht="21" hidden="1" customHeight="1">
      <c r="A9" s="1285"/>
      <c r="B9" s="1285"/>
      <c r="C9" s="1285"/>
      <c r="D9" s="1285"/>
      <c r="E9" s="3738"/>
      <c r="F9" s="3738"/>
      <c r="G9" s="3738"/>
      <c r="H9" s="3738"/>
      <c r="I9" s="3758"/>
      <c r="J9" s="3735"/>
      <c r="K9" s="1285"/>
      <c r="L9" s="1286"/>
      <c r="P9" s="3736"/>
      <c r="Q9" s="3736"/>
      <c r="R9" s="290"/>
      <c r="S9" s="1200"/>
      <c r="T9" s="222" t="s">
        <v>529</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80" t="s">
        <v>530</v>
      </c>
      <c r="AU9" s="434"/>
      <c r="AV9" s="434" t="str">
        <f t="shared" si="0"/>
        <v>Добавить значение признака дифференциации</v>
      </c>
      <c r="AW9" s="434"/>
      <c r="AX9" s="434"/>
      <c r="AY9" s="1077">
        <v>0</v>
      </c>
    </row>
    <row r="10" spans="1:51" ht="21" hidden="1" customHeight="1">
      <c r="A10" s="1285"/>
      <c r="B10" s="1285"/>
      <c r="C10" s="1285"/>
      <c r="D10" s="1285"/>
      <c r="E10" s="3738"/>
      <c r="F10" s="3738"/>
      <c r="G10" s="3738"/>
      <c r="H10" s="3738"/>
      <c r="I10" s="3735"/>
      <c r="J10" s="1285"/>
      <c r="K10" s="1285"/>
      <c r="L10" s="1286"/>
      <c r="P10" s="3736"/>
      <c r="Q10" s="1403"/>
      <c r="R10" s="290"/>
      <c r="S10" s="1200"/>
      <c r="T10" s="299" t="s">
        <v>457</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62"/>
      <c r="AU10" s="434"/>
      <c r="AV10" s="434" t="str">
        <f t="shared" si="0"/>
        <v>Добавить группу потребителей</v>
      </c>
      <c r="AW10" s="434"/>
      <c r="AX10" s="434"/>
      <c r="AY10" s="1077">
        <v>0</v>
      </c>
    </row>
    <row r="11" spans="1:51" ht="21"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7">
        <v>0</v>
      </c>
    </row>
    <row r="12" spans="1:51" s="1564" customFormat="1" ht="14.25" hidden="1" customHeight="1">
      <c r="A12" s="1265"/>
      <c r="B12" s="1265"/>
      <c r="C12" s="1236"/>
      <c r="D12" s="1236"/>
      <c r="E12" s="3738"/>
      <c r="F12" s="3737"/>
      <c r="G12" s="1236"/>
      <c r="H12" s="1236"/>
      <c r="I12" s="1236"/>
      <c r="J12" s="1236"/>
      <c r="K12" s="1236"/>
      <c r="L12" s="1416"/>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U12" s="717"/>
      <c r="AV12" s="717" t="str">
        <f t="shared" si="0"/>
        <v>Добавить централизованную систему для дифференциации</v>
      </c>
      <c r="AW12" s="717"/>
      <c r="AX12" s="717"/>
      <c r="AY12" s="452">
        <v>0</v>
      </c>
    </row>
    <row r="13" spans="1:51"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U13" s="434"/>
      <c r="AV13" s="434" t="str">
        <f t="shared" si="0"/>
        <v>Добавить территорию для дифференциации</v>
      </c>
      <c r="AW13" s="434"/>
      <c r="AX13" s="434"/>
      <c r="AY13" s="445">
        <v>0</v>
      </c>
    </row>
    <row r="14" spans="1:51" ht="14.25" hidden="1" customHeight="1">
      <c r="AF14" s="262"/>
      <c r="AQ14" s="262"/>
      <c r="AY14" s="1077">
        <v>0</v>
      </c>
    </row>
    <row r="15" spans="1:51" ht="14.25" hidden="1" customHeight="1">
      <c r="AG15" s="1282"/>
      <c r="AH15" s="1282"/>
      <c r="AI15" s="1282"/>
      <c r="AJ15" s="1282"/>
      <c r="AK15" s="1282"/>
      <c r="AL15" s="1282"/>
      <c r="AM15" s="1282"/>
      <c r="AN15" s="3742"/>
      <c r="AO15" s="3743" t="s">
        <v>50</v>
      </c>
      <c r="AP15" s="3742"/>
      <c r="AQ15" s="3743" t="s">
        <v>50</v>
      </c>
      <c r="AY15" s="1077">
        <v>0</v>
      </c>
    </row>
    <row r="16" spans="1:51" ht="14.25" hidden="1" customHeight="1">
      <c r="AG16" s="1282"/>
      <c r="AH16" s="1282"/>
      <c r="AI16" s="1282"/>
      <c r="AJ16" s="1282"/>
      <c r="AK16" s="1282"/>
      <c r="AL16" s="1282"/>
      <c r="AM16" s="1282"/>
      <c r="AN16" s="3743"/>
      <c r="AO16" s="3743"/>
      <c r="AP16" s="3743"/>
      <c r="AQ16" s="3743"/>
      <c r="AY16" s="1077">
        <v>0</v>
      </c>
    </row>
    <row r="17" spans="1:51" ht="14.25" hidden="1" customHeight="1">
      <c r="AQ17" s="262"/>
      <c r="AY17" s="1077">
        <v>0</v>
      </c>
    </row>
    <row r="18" spans="1:51" s="1288" customFormat="1" ht="22.5" hidden="1" customHeight="1">
      <c r="L18" s="1400"/>
      <c r="M18" s="1284"/>
      <c r="N18" s="1284"/>
      <c r="O18" s="1289" t="s">
        <v>462</v>
      </c>
      <c r="P18" s="1284"/>
      <c r="Q18" s="1293"/>
      <c r="R18" s="1293"/>
      <c r="S18" s="663"/>
      <c r="AC18" s="1289"/>
      <c r="AE18" s="1289"/>
      <c r="AN18" s="1289"/>
      <c r="AP18" s="1289"/>
      <c r="AT18" s="445"/>
      <c r="AU18" s="445"/>
      <c r="AV18" s="445"/>
      <c r="AW18" s="445"/>
      <c r="AX18" s="445"/>
      <c r="AY18" s="1082">
        <v>0</v>
      </c>
    </row>
    <row r="19" spans="1:51" s="1288" customFormat="1" ht="14.25" hidden="1" customHeight="1">
      <c r="L19" s="1400"/>
      <c r="M19" s="1284"/>
      <c r="N19" s="1284"/>
      <c r="O19" s="1284"/>
      <c r="P19" s="1284"/>
      <c r="Q19" s="1293"/>
      <c r="R19" s="1293"/>
      <c r="S19" s="663"/>
      <c r="AT19" s="445"/>
      <c r="AU19" s="445"/>
      <c r="AV19" s="445"/>
      <c r="AW19" s="445"/>
      <c r="AX19" s="445"/>
      <c r="AY19" s="1082">
        <v>0</v>
      </c>
    </row>
    <row r="20" spans="1:51" s="1288" customFormat="1" ht="12" hidden="1" customHeight="1">
      <c r="L20" s="1400"/>
      <c r="M20" s="1284"/>
      <c r="N20" s="1284"/>
      <c r="O20" s="1286" t="s">
        <v>463</v>
      </c>
      <c r="P20" s="1284"/>
      <c r="Q20" s="1364"/>
      <c r="R20" s="1364"/>
      <c r="S20" s="663"/>
      <c r="T20" s="1082" t="s">
        <v>464</v>
      </c>
      <c r="AD20" s="121" t="s">
        <v>465</v>
      </c>
      <c r="AF20" s="121" t="s">
        <v>466</v>
      </c>
      <c r="AG20" s="1082" t="s">
        <v>464</v>
      </c>
      <c r="AO20" s="121" t="s">
        <v>467</v>
      </c>
      <c r="AQ20" s="121" t="s">
        <v>466</v>
      </c>
      <c r="AY20" s="1082">
        <v>0</v>
      </c>
    </row>
    <row r="21" spans="1:51" ht="14.25" hidden="1" customHeight="1">
      <c r="O21" s="1286"/>
      <c r="AY21" s="1077">
        <v>0</v>
      </c>
    </row>
    <row r="22" spans="1:51" ht="14.25" hidden="1" customHeight="1">
      <c r="O22" s="1286"/>
      <c r="AY22" s="1077">
        <v>0</v>
      </c>
    </row>
    <row r="23" spans="1:51" ht="14.65" customHeight="1">
      <c r="Q23" s="310"/>
      <c r="R23" s="310"/>
      <c r="S23" s="1197"/>
      <c r="T23" s="297"/>
      <c r="U23" s="297"/>
      <c r="V23" s="443"/>
      <c r="AC23" s="443"/>
      <c r="AD23" s="443"/>
      <c r="AE23" s="443"/>
      <c r="AF23" s="443"/>
      <c r="AG23" s="443"/>
      <c r="AM23" s="443"/>
      <c r="AN23" s="443"/>
      <c r="AO23" s="443"/>
      <c r="AP23" s="443"/>
      <c r="AQ23" s="443"/>
      <c r="AY23" s="1077">
        <v>14</v>
      </c>
    </row>
    <row r="24" spans="1:51" ht="26.25" customHeight="1">
      <c r="Q24" s="310"/>
      <c r="R24" s="310"/>
      <c r="S24" s="37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721"/>
      <c r="U24" s="3721"/>
      <c r="V24" s="3721"/>
      <c r="W24" s="3721"/>
      <c r="X24" s="3721"/>
      <c r="Y24" s="3721"/>
      <c r="Z24" s="3721"/>
      <c r="AA24" s="3721"/>
      <c r="AB24" s="3721"/>
      <c r="AC24" s="3721"/>
      <c r="AD24" s="3721"/>
      <c r="AE24" s="3721"/>
      <c r="AF24" s="3721"/>
      <c r="AG24" s="3721"/>
      <c r="AH24" s="3721"/>
      <c r="AI24" s="3721"/>
      <c r="AJ24" s="3721"/>
      <c r="AK24" s="3721"/>
      <c r="AL24" s="3721"/>
      <c r="AM24" s="3721"/>
      <c r="AN24" s="3721"/>
      <c r="AO24" s="3721"/>
      <c r="AP24" s="3721"/>
      <c r="AQ24" s="1165"/>
      <c r="AY24" s="1077">
        <v>25</v>
      </c>
    </row>
    <row r="25" spans="1:51"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3667"/>
      <c r="AJ25" s="3667"/>
      <c r="AK25" s="3667"/>
      <c r="AL25" s="3667"/>
      <c r="AM25" s="3667"/>
      <c r="AN25" s="3667"/>
      <c r="AO25" s="3667"/>
      <c r="AP25" s="3667"/>
      <c r="AQ25" s="1165"/>
      <c r="AY25" s="1077">
        <v>14</v>
      </c>
    </row>
    <row r="26" spans="1:51" ht="14.25" hidden="1" customHeight="1">
      <c r="Q26" s="310"/>
      <c r="R26" s="310"/>
      <c r="S26" s="1197"/>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7">
        <v>0</v>
      </c>
    </row>
    <row r="27" spans="1:51"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3730"/>
      <c r="AC27" s="3730"/>
      <c r="AD27" s="3730"/>
      <c r="AE27" s="3730"/>
      <c r="AF27" s="261"/>
      <c r="AG27" s="3730" t="str">
        <f>IF(TITLE_NAME_OR_PR_CHANGE="",IF(TITLE_NAME_OR_PR="","",TITLE_NAME_OR_PR),TITLE_NAME_OR_PR_CHANGE)</f>
        <v/>
      </c>
      <c r="AH27" s="3730"/>
      <c r="AI27" s="3730"/>
      <c r="AJ27" s="3730"/>
      <c r="AK27" s="3730"/>
      <c r="AL27" s="3730"/>
      <c r="AM27" s="3730"/>
      <c r="AN27" s="3730"/>
      <c r="AO27" s="3730"/>
      <c r="AP27" s="3730"/>
      <c r="AQ27" s="261"/>
      <c r="AR27" s="261"/>
      <c r="AS27" s="215"/>
      <c r="AT27" s="302"/>
      <c r="AU27" s="302"/>
      <c r="AV27" s="302"/>
      <c r="AW27" s="302"/>
      <c r="AX27" s="302"/>
      <c r="AY27" s="352">
        <v>0</v>
      </c>
    </row>
    <row r="28" spans="1:51"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3739"/>
      <c r="AC28" s="3739"/>
      <c r="AD28" s="3739"/>
      <c r="AE28" s="3739"/>
      <c r="AF28" s="261"/>
      <c r="AG28" s="3739" t="str">
        <f>IF(TITLE_DATE_PR_CHANGE="",IF(TITLE_DATE_PR="","",TITLE_DATE_PR),TITLE_DATE_PR_CHANGE)</f>
        <v/>
      </c>
      <c r="AH28" s="3739"/>
      <c r="AI28" s="3739"/>
      <c r="AJ28" s="3739"/>
      <c r="AK28" s="3739"/>
      <c r="AL28" s="3739"/>
      <c r="AM28" s="3739"/>
      <c r="AN28" s="3739"/>
      <c r="AO28" s="3739"/>
      <c r="AP28" s="3739"/>
      <c r="AQ28" s="261"/>
      <c r="AR28" s="261"/>
      <c r="AS28" s="215"/>
      <c r="AT28" s="302"/>
      <c r="AU28" s="302"/>
      <c r="AV28" s="302"/>
      <c r="AW28" s="302"/>
      <c r="AX28" s="302"/>
      <c r="AY28" s="352">
        <v>0</v>
      </c>
    </row>
    <row r="29" spans="1:51"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3730"/>
      <c r="AC29" s="3730"/>
      <c r="AD29" s="3730"/>
      <c r="AE29" s="3730"/>
      <c r="AF29" s="261"/>
      <c r="AG29" s="3730" t="str">
        <f>IF(TITLE_NUMBER_PR_CHANGE="",IF(TITLE_NUMBER_PR="","",TITLE_NUMBER_PR),TITLE_NUMBER_PR_CHANGE)</f>
        <v/>
      </c>
      <c r="AH29" s="3730"/>
      <c r="AI29" s="3730"/>
      <c r="AJ29" s="3730"/>
      <c r="AK29" s="3730"/>
      <c r="AL29" s="3730"/>
      <c r="AM29" s="3730"/>
      <c r="AN29" s="3730"/>
      <c r="AO29" s="3730"/>
      <c r="AP29" s="3730"/>
      <c r="AQ29" s="261"/>
      <c r="AR29" s="261"/>
      <c r="AS29" s="215"/>
      <c r="AT29" s="302"/>
      <c r="AU29" s="302"/>
      <c r="AV29" s="302"/>
      <c r="AW29" s="302"/>
      <c r="AX29" s="302"/>
      <c r="AY29" s="352">
        <v>0</v>
      </c>
    </row>
    <row r="30" spans="1:51"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3730"/>
      <c r="AC30" s="3730"/>
      <c r="AD30" s="3730"/>
      <c r="AE30" s="3730"/>
      <c r="AF30" s="261"/>
      <c r="AG30" s="3730" t="str">
        <f>IF(TITLE_IST_PUB_CHANGE="",IF(TITLE_IST_PUB="","",TITLE_IST_PUB),TITLE_IST_PUB_CHANGE)</f>
        <v/>
      </c>
      <c r="AH30" s="3730"/>
      <c r="AI30" s="3730"/>
      <c r="AJ30" s="3730"/>
      <c r="AK30" s="3730"/>
      <c r="AL30" s="3730"/>
      <c r="AM30" s="3730"/>
      <c r="AN30" s="3730"/>
      <c r="AO30" s="3730"/>
      <c r="AP30" s="3730"/>
      <c r="AQ30" s="261"/>
      <c r="AR30" s="261"/>
      <c r="AS30" s="215"/>
      <c r="AT30" s="302"/>
      <c r="AU30" s="302"/>
      <c r="AV30" s="302"/>
      <c r="AW30" s="302"/>
      <c r="AX30" s="302"/>
      <c r="AY30" s="352">
        <v>0</v>
      </c>
    </row>
    <row r="31" spans="1:51" ht="14.25" hidden="1" customHeight="1">
      <c r="Q31" s="310"/>
      <c r="R31" s="310"/>
      <c r="S31" s="1197"/>
      <c r="T31" s="391"/>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7">
        <v>0</v>
      </c>
    </row>
    <row r="32" spans="1:51"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3739"/>
      <c r="AC32" s="3739"/>
      <c r="AD32" s="3739"/>
      <c r="AE32" s="3739"/>
      <c r="AF32" s="261"/>
      <c r="AG32" s="3739" t="str">
        <f>IF(TITLE_DATE_PR_CHANGE="",IF(TITLE_DATE_PR="","",TITLE_DATE_PR),TITLE_DATE_PR_CHANGE)</f>
        <v/>
      </c>
      <c r="AH32" s="3739"/>
      <c r="AI32" s="3739"/>
      <c r="AJ32" s="3739"/>
      <c r="AK32" s="3739"/>
      <c r="AL32" s="3739"/>
      <c r="AM32" s="3739"/>
      <c r="AN32" s="3739"/>
      <c r="AO32" s="3739"/>
      <c r="AP32" s="3739"/>
      <c r="AQ32" s="261"/>
      <c r="AR32" s="261"/>
      <c r="AS32" s="215"/>
      <c r="AT32" s="302"/>
      <c r="AU32" s="302"/>
      <c r="AV32" s="302"/>
      <c r="AW32" s="302"/>
      <c r="AX32" s="302"/>
      <c r="AY32" s="352">
        <v>0</v>
      </c>
    </row>
    <row r="33" spans="1:51"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3730"/>
      <c r="AC33" s="3730"/>
      <c r="AD33" s="3730"/>
      <c r="AE33" s="3730"/>
      <c r="AF33" s="261"/>
      <c r="AG33" s="3730" t="str">
        <f>IF(TITLE_NUMBER_PR_CHANGE="",IF(TITLE_NUMBER_PR="","",TITLE_NUMBER_PR),TITLE_NUMBER_PR_CHANGE)</f>
        <v/>
      </c>
      <c r="AH33" s="3730"/>
      <c r="AI33" s="3730"/>
      <c r="AJ33" s="3730"/>
      <c r="AK33" s="3730"/>
      <c r="AL33" s="3730"/>
      <c r="AM33" s="3730"/>
      <c r="AN33" s="3730"/>
      <c r="AO33" s="3730"/>
      <c r="AP33" s="3730"/>
      <c r="AQ33" s="261"/>
      <c r="AR33" s="261"/>
      <c r="AS33" s="215"/>
      <c r="AT33" s="302"/>
      <c r="AU33" s="302"/>
      <c r="AV33" s="302"/>
      <c r="AW33" s="302"/>
      <c r="AX33" s="302"/>
      <c r="AY33" s="352">
        <v>0</v>
      </c>
    </row>
    <row r="34" spans="1:51"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1557"/>
      <c r="X34" s="1557"/>
      <c r="Y34" s="1557"/>
      <c r="Z34" s="1557"/>
      <c r="AA34" s="1557"/>
      <c r="AB34" s="1557"/>
      <c r="AC34" s="261"/>
      <c r="AD34" s="261"/>
      <c r="AE34" s="261"/>
      <c r="AF34" s="213" t="s">
        <v>468</v>
      </c>
      <c r="AG34" s="261"/>
      <c r="AH34" s="1557"/>
      <c r="AI34" s="1557"/>
      <c r="AJ34" s="1557"/>
      <c r="AK34" s="1557"/>
      <c r="AL34" s="1557"/>
      <c r="AM34" s="261"/>
      <c r="AN34" s="261"/>
      <c r="AO34" s="261"/>
      <c r="AP34" s="261"/>
      <c r="AQ34" s="213" t="s">
        <v>468</v>
      </c>
      <c r="AT34" s="302"/>
      <c r="AU34" s="302"/>
      <c r="AV34" s="302"/>
      <c r="AW34" s="302"/>
      <c r="AX34" s="302"/>
      <c r="AY34" s="352">
        <v>1</v>
      </c>
    </row>
    <row r="35" spans="1:51" ht="14.65" customHeight="1">
      <c r="Q35" s="310"/>
      <c r="R35" s="310"/>
      <c r="S35" s="1197"/>
      <c r="T35" s="297"/>
      <c r="U35" s="1166"/>
      <c r="V35" s="3731"/>
      <c r="W35" s="3731"/>
      <c r="X35" s="3731"/>
      <c r="Y35" s="3731"/>
      <c r="Z35" s="3731"/>
      <c r="AA35" s="3731"/>
      <c r="AB35" s="3731"/>
      <c r="AC35" s="3731"/>
      <c r="AD35" s="3731"/>
      <c r="AE35" s="3731"/>
      <c r="AF35" s="3731"/>
      <c r="AG35" s="3731"/>
      <c r="AH35" s="3731"/>
      <c r="AI35" s="3731"/>
      <c r="AJ35" s="3731"/>
      <c r="AK35" s="3731"/>
      <c r="AL35" s="3731"/>
      <c r="AM35" s="3731"/>
      <c r="AN35" s="3731"/>
      <c r="AO35" s="3731"/>
      <c r="AP35" s="3731"/>
      <c r="AQ35" s="3731"/>
      <c r="AY35" s="1077">
        <v>14</v>
      </c>
    </row>
    <row r="36" spans="1:51"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c r="AL36" s="3618"/>
      <c r="AM36" s="3618"/>
      <c r="AN36" s="3618"/>
      <c r="AO36" s="3618"/>
      <c r="AP36" s="3618"/>
      <c r="AQ36" s="3618"/>
      <c r="AR36" s="3618"/>
      <c r="AS36" s="3618" t="s">
        <v>346</v>
      </c>
      <c r="AY36" s="1077">
        <v>14</v>
      </c>
    </row>
    <row r="37" spans="1:51" ht="14.65" customHeight="1">
      <c r="Q37" s="310"/>
      <c r="R37" s="310"/>
      <c r="S37" s="3745" t="s">
        <v>76</v>
      </c>
      <c r="T37" s="3697" t="s">
        <v>469</v>
      </c>
      <c r="U37" s="236"/>
      <c r="V37" s="3746" t="s">
        <v>470</v>
      </c>
      <c r="W37" s="3763"/>
      <c r="X37" s="3763"/>
      <c r="Y37" s="3763"/>
      <c r="Z37" s="3763"/>
      <c r="AA37" s="3763"/>
      <c r="AB37" s="3763"/>
      <c r="AC37" s="3747"/>
      <c r="AD37" s="3747"/>
      <c r="AE37" s="3748"/>
      <c r="AF37" s="3749" t="s">
        <v>471</v>
      </c>
      <c r="AG37" s="3746" t="s">
        <v>470</v>
      </c>
      <c r="AH37" s="3747"/>
      <c r="AI37" s="3747"/>
      <c r="AJ37" s="3747"/>
      <c r="AK37" s="3747"/>
      <c r="AL37" s="3747"/>
      <c r="AM37" s="3747"/>
      <c r="AN37" s="3747"/>
      <c r="AO37" s="3747"/>
      <c r="AP37" s="3748"/>
      <c r="AQ37" s="3749" t="s">
        <v>472</v>
      </c>
      <c r="AR37" s="3752" t="s">
        <v>473</v>
      </c>
      <c r="AS37" s="3618"/>
      <c r="AY37" s="1077">
        <v>14</v>
      </c>
    </row>
    <row r="38" spans="1:51" ht="19.899999999999999" customHeight="1">
      <c r="Q38" s="310"/>
      <c r="R38" s="310"/>
      <c r="S38" s="3745"/>
      <c r="T38" s="3697"/>
      <c r="U38" s="957"/>
      <c r="V38" s="3618" t="s">
        <v>575</v>
      </c>
      <c r="W38" s="3821" t="s">
        <v>576</v>
      </c>
      <c r="X38" s="3821"/>
      <c r="Y38" s="3821"/>
      <c r="Z38" s="3821" t="s">
        <v>577</v>
      </c>
      <c r="AA38" s="3821"/>
      <c r="AB38" s="3821"/>
      <c r="AC38" s="3683" t="s">
        <v>477</v>
      </c>
      <c r="AD38" s="3777"/>
      <c r="AE38" s="3684"/>
      <c r="AF38" s="3750"/>
      <c r="AG38" s="3618" t="s">
        <v>575</v>
      </c>
      <c r="AH38" s="3821" t="s">
        <v>576</v>
      </c>
      <c r="AI38" s="3821"/>
      <c r="AJ38" s="3821"/>
      <c r="AK38" s="3821" t="s">
        <v>577</v>
      </c>
      <c r="AL38" s="3821"/>
      <c r="AM38" s="3821"/>
      <c r="AN38" s="3683" t="s">
        <v>477</v>
      </c>
      <c r="AO38" s="3777"/>
      <c r="AP38" s="3684"/>
      <c r="AQ38" s="3750"/>
      <c r="AR38" s="3753"/>
      <c r="AS38" s="3618"/>
      <c r="AY38" s="1077">
        <v>19</v>
      </c>
    </row>
    <row r="39" spans="1:51" s="1557" customFormat="1" ht="19.899999999999999" customHeight="1">
      <c r="A39" s="1288"/>
      <c r="B39" s="1288"/>
      <c r="C39" s="1288"/>
      <c r="D39" s="1288"/>
      <c r="E39" s="1288"/>
      <c r="F39" s="1288"/>
      <c r="G39" s="1288"/>
      <c r="H39" s="1288"/>
      <c r="I39" s="1288"/>
      <c r="J39" s="1288"/>
      <c r="K39" s="1288"/>
      <c r="L39" s="1837"/>
      <c r="M39" s="1284"/>
      <c r="N39" s="1284"/>
      <c r="O39" s="1284"/>
      <c r="P39" s="1851"/>
      <c r="Q39" s="310"/>
      <c r="R39" s="310"/>
      <c r="S39" s="3745"/>
      <c r="T39" s="3697"/>
      <c r="U39" s="957"/>
      <c r="V39" s="3618"/>
      <c r="W39" s="3821" t="s">
        <v>578</v>
      </c>
      <c r="X39" s="3821" t="s">
        <v>579</v>
      </c>
      <c r="Y39" s="3821"/>
      <c r="Z39" s="3821" t="s">
        <v>580</v>
      </c>
      <c r="AA39" s="3821" t="s">
        <v>579</v>
      </c>
      <c r="AB39" s="3821"/>
      <c r="AC39" s="3688"/>
      <c r="AD39" s="3778"/>
      <c r="AE39" s="3689"/>
      <c r="AF39" s="3750"/>
      <c r="AG39" s="3618"/>
      <c r="AH39" s="3821" t="s">
        <v>578</v>
      </c>
      <c r="AI39" s="3821" t="s">
        <v>579</v>
      </c>
      <c r="AJ39" s="3821"/>
      <c r="AK39" s="3821" t="s">
        <v>580</v>
      </c>
      <c r="AL39" s="3821" t="s">
        <v>579</v>
      </c>
      <c r="AM39" s="3821"/>
      <c r="AN39" s="3688"/>
      <c r="AO39" s="3778"/>
      <c r="AP39" s="3689"/>
      <c r="AQ39" s="3750"/>
      <c r="AR39" s="3753"/>
      <c r="AS39" s="3618"/>
      <c r="AT39" s="1558"/>
      <c r="AU39" s="1558"/>
      <c r="AV39" s="1558"/>
      <c r="AW39" s="1558"/>
      <c r="AX39" s="1558"/>
      <c r="AY39" s="1553">
        <v>19</v>
      </c>
    </row>
    <row r="40" spans="1:51" ht="61.9" customHeight="1">
      <c r="A40" s="1292"/>
      <c r="B40" s="1292" t="s">
        <v>188</v>
      </c>
      <c r="C40" s="1292" t="s">
        <v>189</v>
      </c>
      <c r="D40" s="1292" t="s">
        <v>190</v>
      </c>
      <c r="E40" s="1286" t="s">
        <v>478</v>
      </c>
      <c r="F40" s="1286" t="s">
        <v>479</v>
      </c>
      <c r="G40" s="1286" t="s">
        <v>480</v>
      </c>
      <c r="H40" s="1286"/>
      <c r="I40" s="1286" t="s">
        <v>533</v>
      </c>
      <c r="J40" s="1286" t="s">
        <v>483</v>
      </c>
      <c r="K40" s="1286" t="s">
        <v>534</v>
      </c>
      <c r="L40" s="1286" t="s">
        <v>463</v>
      </c>
      <c r="Q40" s="310"/>
      <c r="R40" s="310"/>
      <c r="S40" s="3745"/>
      <c r="T40" s="3697"/>
      <c r="U40" s="237"/>
      <c r="V40" s="3618"/>
      <c r="W40" s="3821"/>
      <c r="X40" s="1869" t="s">
        <v>581</v>
      </c>
      <c r="Y40" s="1869" t="s">
        <v>582</v>
      </c>
      <c r="Z40" s="3821"/>
      <c r="AA40" s="1869" t="s">
        <v>583</v>
      </c>
      <c r="AB40" s="1869" t="s">
        <v>584</v>
      </c>
      <c r="AC40" s="1411" t="s">
        <v>487</v>
      </c>
      <c r="AD40" s="3705" t="s">
        <v>488</v>
      </c>
      <c r="AE40" s="3707"/>
      <c r="AF40" s="3751"/>
      <c r="AG40" s="3618"/>
      <c r="AH40" s="3821"/>
      <c r="AI40" s="1869" t="s">
        <v>581</v>
      </c>
      <c r="AJ40" s="1869" t="s">
        <v>582</v>
      </c>
      <c r="AK40" s="3821"/>
      <c r="AL40" s="1869" t="s">
        <v>583</v>
      </c>
      <c r="AM40" s="1869" t="s">
        <v>584</v>
      </c>
      <c r="AN40" s="1411" t="s">
        <v>487</v>
      </c>
      <c r="AO40" s="3705" t="s">
        <v>488</v>
      </c>
      <c r="AP40" s="3707"/>
      <c r="AQ40" s="3751"/>
      <c r="AR40" s="3754"/>
      <c r="AS40" s="3618"/>
      <c r="AY40" s="1077">
        <v>59</v>
      </c>
    </row>
    <row r="41" spans="1:51" s="1563" customFormat="1" ht="11.25" hidden="1" customHeight="1">
      <c r="A41" s="1292"/>
      <c r="B41" s="1292"/>
      <c r="C41" s="1292"/>
      <c r="D41" s="1292"/>
      <c r="E41" s="1292"/>
      <c r="F41" s="1292"/>
      <c r="G41" s="1292"/>
      <c r="H41" s="1292"/>
      <c r="I41" s="1292"/>
      <c r="J41" s="1292"/>
      <c r="K41" s="1292"/>
      <c r="L41" s="1286"/>
      <c r="M41" s="1284"/>
      <c r="N41" s="1284"/>
      <c r="O41" s="1284"/>
      <c r="P41" s="1168"/>
      <c r="Q41" s="1169"/>
      <c r="R41" s="1176">
        <v>1</v>
      </c>
      <c r="S41" s="1199" t="s">
        <v>164</v>
      </c>
      <c r="T41" s="1177" t="s">
        <v>89</v>
      </c>
      <c r="U41" s="1167" t="str">
        <f ca="1">OFFSET(U41,0,-1)</f>
        <v>2</v>
      </c>
      <c r="V41" s="1404">
        <f ca="1">OFFSET(V41,0,-1)+1</f>
        <v>3</v>
      </c>
      <c r="W41" s="1263"/>
      <c r="X41" s="1263"/>
      <c r="Y41" s="1263"/>
      <c r="Z41" s="1263"/>
      <c r="AA41" s="1263"/>
      <c r="AB41" s="1263"/>
      <c r="AC41" s="1404">
        <f ca="1">OFFSET(AC41,0,-1)+1</f>
        <v>1</v>
      </c>
      <c r="AD41" s="3744">
        <f ca="1">OFFSET(AD41,0,-1)+1</f>
        <v>2</v>
      </c>
      <c r="AE41" s="3744"/>
      <c r="AF41" s="1404">
        <f ca="1">OFFSET(AF41,0,-2)+1</f>
        <v>3</v>
      </c>
      <c r="AG41" s="1404">
        <f ca="1">OFFSET(AG41,0,-1)+1</f>
        <v>4</v>
      </c>
      <c r="AH41" s="1842"/>
      <c r="AI41" s="1842"/>
      <c r="AJ41" s="1842"/>
      <c r="AK41" s="1842"/>
      <c r="AL41" s="1842"/>
      <c r="AM41" s="1404">
        <f ca="1">OFFSET(AM41,0,-1)+1</f>
        <v>1</v>
      </c>
      <c r="AN41" s="1404">
        <f ca="1">OFFSET(AN41,0,-1)+1</f>
        <v>2</v>
      </c>
      <c r="AO41" s="3744">
        <f ca="1">OFFSET(AO41,0,-1)+1</f>
        <v>3</v>
      </c>
      <c r="AP41" s="3744"/>
      <c r="AQ41" s="1404">
        <f ca="1">OFFSET(AQ41,0,-2)+1</f>
        <v>4</v>
      </c>
      <c r="AR41" s="1167">
        <f ca="1">OFFSET(AR41,0,-1)</f>
        <v>4</v>
      </c>
      <c r="AS41" s="1404">
        <f ca="1">OFFSET(AS41,0,-1)+1</f>
        <v>5</v>
      </c>
      <c r="AT41" s="445"/>
      <c r="AU41" s="445"/>
      <c r="AV41" s="445"/>
      <c r="AW41" s="445"/>
      <c r="AX41" s="445"/>
      <c r="AY41" s="430">
        <v>0</v>
      </c>
    </row>
    <row r="42" spans="1:51" ht="24" customHeight="1">
      <c r="A42" s="1285" t="s">
        <v>296</v>
      </c>
      <c r="B42" s="1285"/>
      <c r="C42" s="1285"/>
      <c r="D42" s="1285"/>
      <c r="E42" s="3737">
        <v>1</v>
      </c>
      <c r="F42" s="1285"/>
      <c r="G42" s="1285"/>
      <c r="H42" s="1285"/>
      <c r="I42" s="1285"/>
      <c r="J42" s="1285"/>
      <c r="K42" s="1285"/>
      <c r="L42" s="1286"/>
      <c r="M42" s="1287"/>
      <c r="N42" s="1287"/>
      <c r="O42" s="1287"/>
      <c r="P42" s="295"/>
      <c r="Q42" s="294"/>
      <c r="R42" s="289"/>
      <c r="S42" s="1415">
        <f>INDEX(PT_DIFFERENTIATION_NUM_NTAR,MATCH(A42,PT_DIFFERENTIATION_NTAR_ID,0))</f>
        <v>0</v>
      </c>
      <c r="T42" s="233" t="s">
        <v>176</v>
      </c>
      <c r="U42" s="235"/>
      <c r="V42" s="3723"/>
      <c r="W42" s="3724"/>
      <c r="X42" s="3724"/>
      <c r="Y42" s="3724"/>
      <c r="Z42" s="3724"/>
      <c r="AA42" s="3724"/>
      <c r="AB42" s="3724"/>
      <c r="AC42" s="3724"/>
      <c r="AD42" s="3724"/>
      <c r="AE42" s="3724"/>
      <c r="AF42" s="3725"/>
      <c r="AG42" s="3723" t="str">
        <f>INDEX(PT_DIFFERENTIATION_NTAR,MATCH(A42,PT_DIFFERENTIATION_NTAR_ID,0))</f>
        <v/>
      </c>
      <c r="AH42" s="3724"/>
      <c r="AI42" s="3724"/>
      <c r="AJ42" s="3724"/>
      <c r="AK42" s="3724"/>
      <c r="AL42" s="3724"/>
      <c r="AM42" s="3724"/>
      <c r="AN42" s="3724"/>
      <c r="AO42" s="3724"/>
      <c r="AP42" s="3724"/>
      <c r="AQ42" s="3724"/>
      <c r="AR42" s="3725"/>
      <c r="AS4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7">
        <v>23</v>
      </c>
    </row>
    <row r="43" spans="1:51" ht="24" customHeight="1">
      <c r="A43" s="1285" t="s">
        <v>296</v>
      </c>
      <c r="B43" s="1285" t="s">
        <v>297</v>
      </c>
      <c r="C43" s="1285"/>
      <c r="D43" s="1285"/>
      <c r="E43" s="3738"/>
      <c r="F43" s="3737">
        <v>1</v>
      </c>
      <c r="G43" s="1285"/>
      <c r="H43" s="1285"/>
      <c r="I43" s="1285"/>
      <c r="J43" s="1285"/>
      <c r="K43" s="1285"/>
      <c r="L43" s="1286"/>
      <c r="M43" s="1287"/>
      <c r="N43" s="1287"/>
      <c r="O43" s="1287"/>
      <c r="P43" s="1409"/>
      <c r="Q43" s="286"/>
      <c r="R43" s="287"/>
      <c r="S43" s="1415" t="str">
        <f>INDEX(PT_DIFFERENTIATION_NUM_TER,MATCH(B43,PT_DIFFERENTIATION_TER_ID,0))</f>
        <v>.</v>
      </c>
      <c r="T43" s="243" t="s">
        <v>442</v>
      </c>
      <c r="U43" s="235"/>
      <c r="V43" s="3723"/>
      <c r="W43" s="3724"/>
      <c r="X43" s="3724"/>
      <c r="Y43" s="3724"/>
      <c r="Z43" s="3724"/>
      <c r="AA43" s="3724"/>
      <c r="AB43" s="3724"/>
      <c r="AC43" s="3724"/>
      <c r="AD43" s="3724"/>
      <c r="AE43" s="3724"/>
      <c r="AF43" s="3725"/>
      <c r="AG43" s="3723" t="str">
        <f>INDEX(PT_DIFFERENTIATION_TER,MATCH(B43,PT_DIFFERENTIATION_TER_ID,0))</f>
        <v/>
      </c>
      <c r="AH43" s="3724"/>
      <c r="AI43" s="3724"/>
      <c r="AJ43" s="3724"/>
      <c r="AK43" s="3724"/>
      <c r="AL43" s="3724"/>
      <c r="AM43" s="3724"/>
      <c r="AN43" s="3724"/>
      <c r="AO43" s="3724"/>
      <c r="AP43" s="3724"/>
      <c r="AQ43" s="3724"/>
      <c r="AR43" s="3725"/>
      <c r="AS43" s="1180" t="s">
        <v>443</v>
      </c>
      <c r="AU43" s="434"/>
      <c r="AV43" s="434" t="str">
        <f t="shared" si="1"/>
        <v>Территория действия тарифа</v>
      </c>
      <c r="AW43" s="434"/>
      <c r="AX43" s="434"/>
      <c r="AY43" s="1077">
        <v>23</v>
      </c>
    </row>
    <row r="44" spans="1:51" ht="24" customHeight="1">
      <c r="A44" s="1285" t="s">
        <v>296</v>
      </c>
      <c r="B44" s="1285" t="s">
        <v>297</v>
      </c>
      <c r="C44" s="1285" t="s">
        <v>298</v>
      </c>
      <c r="D44" s="1285"/>
      <c r="E44" s="3738"/>
      <c r="F44" s="3738"/>
      <c r="G44" s="3737">
        <v>1</v>
      </c>
      <c r="H44" s="1285"/>
      <c r="I44" s="1285"/>
      <c r="J44" s="1285"/>
      <c r="K44" s="1285"/>
      <c r="L44" s="1286"/>
      <c r="M44" s="1287"/>
      <c r="N44" s="1287"/>
      <c r="O44" s="1287"/>
      <c r="P44" s="288"/>
      <c r="Q44" s="286"/>
      <c r="R44" s="287"/>
      <c r="S44" s="1415" t="str">
        <f>INDEX(PT_DIFFERENTIATION_NUM_CS,MATCH(C44,PT_DIFFERENTIATION_CS_ID,0))</f>
        <v>..</v>
      </c>
      <c r="T44" s="244" t="s">
        <v>573</v>
      </c>
      <c r="U44" s="235"/>
      <c r="V44" s="3723"/>
      <c r="W44" s="3724"/>
      <c r="X44" s="3724"/>
      <c r="Y44" s="3724"/>
      <c r="Z44" s="3724"/>
      <c r="AA44" s="3724"/>
      <c r="AB44" s="3724"/>
      <c r="AC44" s="3724"/>
      <c r="AD44" s="3724"/>
      <c r="AE44" s="3724"/>
      <c r="AF44" s="3725"/>
      <c r="AG44" s="3723" t="str">
        <f>INDEX(PT_DIFFERENTIATION_CS,MATCH(C44,PT_DIFFERENTIATION_CS_ID,0))</f>
        <v/>
      </c>
      <c r="AH44" s="3724"/>
      <c r="AI44" s="3724"/>
      <c r="AJ44" s="3724"/>
      <c r="AK44" s="3724"/>
      <c r="AL44" s="3724"/>
      <c r="AM44" s="3724"/>
      <c r="AN44" s="3724"/>
      <c r="AO44" s="3724"/>
      <c r="AP44" s="3724"/>
      <c r="AQ44" s="3724"/>
      <c r="AR44" s="3725"/>
      <c r="AS44" s="1180" t="s">
        <v>574</v>
      </c>
      <c r="AU44" s="434"/>
      <c r="AV44" s="434" t="str">
        <f t="shared" si="1"/>
        <v>Наименование централизованной системы горячего водоснабжения</v>
      </c>
      <c r="AW44" s="434"/>
      <c r="AX44" s="434"/>
      <c r="AY44" s="1077">
        <v>23</v>
      </c>
    </row>
    <row r="45" spans="1:51" ht="24" customHeight="1">
      <c r="A45" s="1285" t="s">
        <v>296</v>
      </c>
      <c r="B45" s="1285" t="s">
        <v>297</v>
      </c>
      <c r="C45" s="1285" t="s">
        <v>298</v>
      </c>
      <c r="D45" s="1285" t="s">
        <v>585</v>
      </c>
      <c r="E45" s="3738"/>
      <c r="F45" s="3738"/>
      <c r="G45" s="3738"/>
      <c r="H45" s="3738"/>
      <c r="I45" s="3735" t="str">
        <f>S44&amp;".1"</f>
        <v>...1</v>
      </c>
      <c r="J45" s="1285"/>
      <c r="K45" s="1285"/>
      <c r="L45" s="1286"/>
      <c r="P45" s="3736">
        <v>1</v>
      </c>
      <c r="Q45" s="1403"/>
      <c r="R45" s="290"/>
      <c r="S45" s="1415" t="str">
        <f>$I45</f>
        <v>...1</v>
      </c>
      <c r="T45" s="220" t="s">
        <v>526</v>
      </c>
      <c r="U45" s="235"/>
      <c r="V45" s="3807"/>
      <c r="W45" s="3808"/>
      <c r="X45" s="3808"/>
      <c r="Y45" s="3808"/>
      <c r="Z45" s="3808"/>
      <c r="AA45" s="3808"/>
      <c r="AB45" s="3808"/>
      <c r="AC45" s="3808"/>
      <c r="AD45" s="3808"/>
      <c r="AE45" s="3808"/>
      <c r="AF45" s="3809"/>
      <c r="AG45" s="3810"/>
      <c r="AH45" s="3811"/>
      <c r="AI45" s="3811"/>
      <c r="AJ45" s="3811"/>
      <c r="AK45" s="3811"/>
      <c r="AL45" s="3811"/>
      <c r="AM45" s="3811"/>
      <c r="AN45" s="3811"/>
      <c r="AO45" s="3811"/>
      <c r="AP45" s="3811"/>
      <c r="AQ45" s="3811"/>
      <c r="AR45" s="3812"/>
      <c r="AS45" s="1180" t="s">
        <v>527</v>
      </c>
      <c r="AU45" s="434"/>
      <c r="AV45" s="434" t="str">
        <f t="shared" si="1"/>
        <v>Наименование признака дифференциации</v>
      </c>
      <c r="AW45" s="434"/>
      <c r="AX45" s="434"/>
      <c r="AY45" s="1077">
        <v>23</v>
      </c>
    </row>
    <row r="46" spans="1:51" ht="24" customHeight="1">
      <c r="A46" s="1285" t="s">
        <v>296</v>
      </c>
      <c r="B46" s="1285" t="s">
        <v>297</v>
      </c>
      <c r="C46" s="1285" t="s">
        <v>298</v>
      </c>
      <c r="D46" s="1285" t="s">
        <v>585</v>
      </c>
      <c r="E46" s="3738"/>
      <c r="F46" s="3738"/>
      <c r="G46" s="3738"/>
      <c r="H46" s="3738"/>
      <c r="I46" s="3758"/>
      <c r="J46" s="3735" t="str">
        <f>I45&amp;".1"</f>
        <v>...1.1</v>
      </c>
      <c r="K46" s="1285"/>
      <c r="L46" s="1286" t="s">
        <v>451</v>
      </c>
      <c r="P46" s="3736"/>
      <c r="Q46" s="3736">
        <v>1</v>
      </c>
      <c r="R46" s="291"/>
      <c r="S46" s="1415" t="str">
        <f>$J46</f>
        <v>...1.1</v>
      </c>
      <c r="T46" s="221" t="s">
        <v>452</v>
      </c>
      <c r="U46" s="235"/>
      <c r="V46" s="3726"/>
      <c r="W46" s="3727"/>
      <c r="X46" s="3727"/>
      <c r="Y46" s="3727"/>
      <c r="Z46" s="3727"/>
      <c r="AA46" s="3727"/>
      <c r="AB46" s="3727"/>
      <c r="AC46" s="3727"/>
      <c r="AD46" s="3727"/>
      <c r="AE46" s="3727"/>
      <c r="AF46" s="3728"/>
      <c r="AG46" s="3726"/>
      <c r="AH46" s="3727"/>
      <c r="AI46" s="3727"/>
      <c r="AJ46" s="3727"/>
      <c r="AK46" s="3727"/>
      <c r="AL46" s="3727"/>
      <c r="AM46" s="3727"/>
      <c r="AN46" s="3727"/>
      <c r="AO46" s="3727"/>
      <c r="AP46" s="3727"/>
      <c r="AQ46" s="3727"/>
      <c r="AR46" s="3728"/>
      <c r="AS46" s="1229" t="s">
        <v>528</v>
      </c>
      <c r="AU46" s="434"/>
      <c r="AV46" s="434" t="str">
        <f t="shared" si="1"/>
        <v>Группа потребителей</v>
      </c>
      <c r="AW46" s="434"/>
      <c r="AX46" s="434"/>
      <c r="AY46" s="1077">
        <v>23</v>
      </c>
    </row>
    <row r="47" spans="1:51" ht="24" customHeight="1">
      <c r="A47" s="1285" t="s">
        <v>296</v>
      </c>
      <c r="B47" s="1285" t="s">
        <v>297</v>
      </c>
      <c r="C47" s="1285" t="s">
        <v>298</v>
      </c>
      <c r="D47" s="1285" t="s">
        <v>585</v>
      </c>
      <c r="E47" s="3738"/>
      <c r="F47" s="3738"/>
      <c r="G47" s="3738"/>
      <c r="H47" s="3738"/>
      <c r="I47" s="3758"/>
      <c r="J47" s="3758"/>
      <c r="K47" s="3735" t="str">
        <f>J46&amp;".1"</f>
        <v>...1.1.1</v>
      </c>
      <c r="L47" s="1286"/>
      <c r="P47" s="3736"/>
      <c r="Q47" s="3736"/>
      <c r="R47" s="291">
        <v>1</v>
      </c>
      <c r="S47" s="1415" t="str">
        <f>$K47</f>
        <v>...1.1.1</v>
      </c>
      <c r="T47" s="1359"/>
      <c r="U47" s="235"/>
      <c r="V47" s="685"/>
      <c r="W47" s="685"/>
      <c r="X47" s="685"/>
      <c r="Y47" s="685"/>
      <c r="Z47" s="685"/>
      <c r="AA47" s="685"/>
      <c r="AB47" s="685"/>
      <c r="AC47" s="3742"/>
      <c r="AD47" s="3743" t="s">
        <v>50</v>
      </c>
      <c r="AE47" s="3742"/>
      <c r="AF47" s="3743" t="s">
        <v>50</v>
      </c>
      <c r="AG47" s="685"/>
      <c r="AH47" s="685"/>
      <c r="AI47" s="685"/>
      <c r="AJ47" s="685"/>
      <c r="AK47" s="685"/>
      <c r="AL47" s="685"/>
      <c r="AM47" s="685"/>
      <c r="AN47" s="3740"/>
      <c r="AO47" s="3599" t="s">
        <v>50</v>
      </c>
      <c r="AP47" s="3759"/>
      <c r="AQ47" s="3599" t="s">
        <v>6</v>
      </c>
      <c r="AR47" s="1360"/>
      <c r="AS4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7">
        <v>23</v>
      </c>
    </row>
    <row r="48" spans="1:51" ht="0" hidden="1" customHeight="1">
      <c r="A48" s="1285" t="s">
        <v>296</v>
      </c>
      <c r="B48" s="1285" t="s">
        <v>297</v>
      </c>
      <c r="C48" s="1285" t="s">
        <v>298</v>
      </c>
      <c r="D48" s="1285" t="s">
        <v>585</v>
      </c>
      <c r="E48" s="3738"/>
      <c r="F48" s="3738"/>
      <c r="G48" s="3738"/>
      <c r="H48" s="3738"/>
      <c r="I48" s="3758"/>
      <c r="J48" s="3758"/>
      <c r="K48" s="3735"/>
      <c r="L48" s="1286"/>
      <c r="P48" s="3736"/>
      <c r="Q48" s="3736"/>
      <c r="R48" s="291"/>
      <c r="S48" s="1412"/>
      <c r="T48" s="235"/>
      <c r="U48" s="235"/>
      <c r="V48" s="1282"/>
      <c r="W48" s="1282"/>
      <c r="X48" s="1282"/>
      <c r="Y48" s="1282"/>
      <c r="Z48" s="1282"/>
      <c r="AA48" s="1282"/>
      <c r="AB48" s="1282"/>
      <c r="AC48" s="3743"/>
      <c r="AD48" s="3743"/>
      <c r="AE48" s="3743"/>
      <c r="AF48" s="3743"/>
      <c r="AG48" s="260"/>
      <c r="AH48" s="260"/>
      <c r="AI48" s="260"/>
      <c r="AJ48" s="260"/>
      <c r="AK48" s="260"/>
      <c r="AL48" s="260"/>
      <c r="AM48" s="260"/>
      <c r="AN48" s="3741"/>
      <c r="AO48" s="3599"/>
      <c r="AP48" s="3760"/>
      <c r="AQ48" s="3599"/>
      <c r="AR48" s="1361"/>
      <c r="AS48" s="3806"/>
      <c r="AU48" s="434"/>
      <c r="AV48" s="434" t="str">
        <f t="shared" si="1"/>
        <v/>
      </c>
      <c r="AW48" s="434"/>
      <c r="AX48" s="434"/>
      <c r="AY48" s="1077">
        <v>0</v>
      </c>
    </row>
    <row r="49" spans="1:51" ht="21" customHeight="1">
      <c r="A49" s="1285" t="s">
        <v>296</v>
      </c>
      <c r="B49" s="1285" t="s">
        <v>297</v>
      </c>
      <c r="C49" s="1285" t="s">
        <v>298</v>
      </c>
      <c r="D49" s="1285" t="s">
        <v>585</v>
      </c>
      <c r="E49" s="3738"/>
      <c r="F49" s="3738"/>
      <c r="G49" s="3738"/>
      <c r="H49" s="3738"/>
      <c r="I49" s="3758"/>
      <c r="J49" s="3735"/>
      <c r="K49" s="1285"/>
      <c r="L49" s="1286"/>
      <c r="P49" s="3736"/>
      <c r="Q49" s="3736"/>
      <c r="R49" s="290"/>
      <c r="S49" s="1200"/>
      <c r="T49" s="222" t="s">
        <v>529</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80" t="s">
        <v>530</v>
      </c>
      <c r="AU49" s="434"/>
      <c r="AV49" s="434" t="str">
        <f t="shared" si="1"/>
        <v>Добавить значение признака дифференциации</v>
      </c>
      <c r="AW49" s="434"/>
      <c r="AX49" s="434"/>
      <c r="AY49" s="1077">
        <v>20</v>
      </c>
    </row>
    <row r="50" spans="1:51" ht="21.95" customHeight="1">
      <c r="A50" s="1285" t="s">
        <v>296</v>
      </c>
      <c r="B50" s="1285" t="s">
        <v>297</v>
      </c>
      <c r="C50" s="1285" t="s">
        <v>298</v>
      </c>
      <c r="D50" s="1285" t="s">
        <v>585</v>
      </c>
      <c r="E50" s="3738"/>
      <c r="F50" s="3738"/>
      <c r="G50" s="3738"/>
      <c r="H50" s="3738"/>
      <c r="I50" s="3735"/>
      <c r="J50" s="1285"/>
      <c r="K50" s="1285"/>
      <c r="L50" s="1286"/>
      <c r="P50" s="3736"/>
      <c r="Q50" s="1403"/>
      <c r="R50" s="290"/>
      <c r="S50" s="1200"/>
      <c r="T50" s="299" t="s">
        <v>457</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62"/>
      <c r="AU50" s="434"/>
      <c r="AV50" s="434" t="str">
        <f t="shared" si="1"/>
        <v>Добавить группу потребителей</v>
      </c>
      <c r="AW50" s="434"/>
      <c r="AX50" s="434"/>
      <c r="AY50" s="1077">
        <v>21</v>
      </c>
    </row>
    <row r="51" spans="1:51" ht="21.95" customHeight="1">
      <c r="A51" s="1285" t="s">
        <v>296</v>
      </c>
      <c r="B51" s="1285" t="s">
        <v>297</v>
      </c>
      <c r="C51" s="1285" t="s">
        <v>298</v>
      </c>
      <c r="D51" s="1285" t="s">
        <v>585</v>
      </c>
      <c r="E51" s="3738"/>
      <c r="F51" s="3738"/>
      <c r="G51" s="3738"/>
      <c r="H51" s="3737"/>
      <c r="I51" s="1285"/>
      <c r="J51" s="1285"/>
      <c r="K51" s="1285"/>
      <c r="L51" s="1286"/>
      <c r="M51" s="1287"/>
      <c r="N51" s="1287"/>
      <c r="O51" s="471"/>
      <c r="P51" s="294"/>
      <c r="Q51" s="309"/>
      <c r="R51" s="289"/>
      <c r="S51" s="1200"/>
      <c r="T51" s="306" t="s">
        <v>531</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7">
        <v>21</v>
      </c>
    </row>
    <row r="52" spans="1:51" s="1564" customFormat="1" ht="0" hidden="1" customHeight="1">
      <c r="A52" s="1265" t="s">
        <v>296</v>
      </c>
      <c r="B52" s="1265" t="s">
        <v>297</v>
      </c>
      <c r="C52" s="1236"/>
      <c r="D52" s="1236"/>
      <c r="E52" s="3738"/>
      <c r="F52" s="3737"/>
      <c r="G52" s="1236"/>
      <c r="H52" s="1236"/>
      <c r="I52" s="1236"/>
      <c r="J52" s="1236"/>
      <c r="K52" s="1236"/>
      <c r="L52" s="1416"/>
      <c r="M52" s="1243"/>
      <c r="N52" s="1243"/>
      <c r="P52" s="1238"/>
      <c r="Q52" s="1239"/>
      <c r="R52" s="1238"/>
      <c r="S52" s="1244"/>
      <c r="T52" s="1247" t="s">
        <v>460</v>
      </c>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U52" s="717"/>
      <c r="AV52" s="717" t="str">
        <f t="shared" si="1"/>
        <v>Добавить централизованную систему для дифференциации</v>
      </c>
      <c r="AW52" s="717"/>
      <c r="AX52" s="717"/>
      <c r="AY52" s="452">
        <v>0</v>
      </c>
    </row>
    <row r="53" spans="1:51" s="1564" customFormat="1" ht="0" hidden="1" customHeight="1">
      <c r="A53" s="1265" t="s">
        <v>296</v>
      </c>
      <c r="B53" s="1265"/>
      <c r="C53" s="1265"/>
      <c r="D53" s="1265"/>
      <c r="E53" s="3737"/>
      <c r="F53" s="1265"/>
      <c r="G53" s="1265"/>
      <c r="H53" s="1265"/>
      <c r="I53" s="1265"/>
      <c r="J53" s="1265"/>
      <c r="K53" s="1265"/>
      <c r="L53" s="1268"/>
      <c r="M53" s="1243"/>
      <c r="N53" s="1243"/>
      <c r="O53" s="452"/>
      <c r="P53" s="314"/>
      <c r="Q53" s="1266"/>
      <c r="R53" s="314"/>
      <c r="S53" s="1244"/>
      <c r="T53" s="1247" t="s">
        <v>461</v>
      </c>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U53" s="434"/>
      <c r="AV53" s="434" t="str">
        <f t="shared" si="1"/>
        <v>Добавить территорию для дифференциации</v>
      </c>
      <c r="AW53" s="434"/>
      <c r="AX53" s="434"/>
      <c r="AY53" s="445">
        <v>0</v>
      </c>
    </row>
    <row r="54" spans="1:51" s="1564" customFormat="1" ht="0" hidden="1" customHeight="1">
      <c r="A54" s="1236"/>
      <c r="B54" s="1236"/>
      <c r="C54" s="1236"/>
      <c r="D54" s="1236"/>
      <c r="E54" s="1265"/>
      <c r="F54" s="1236"/>
      <c r="G54" s="1236"/>
      <c r="H54" s="1236"/>
      <c r="I54" s="1236"/>
      <c r="J54" s="1236"/>
      <c r="K54" s="1236"/>
      <c r="L54" s="1416"/>
      <c r="M54" s="1243"/>
      <c r="N54" s="1243"/>
      <c r="P54" s="1238"/>
      <c r="Q54" s="1239"/>
      <c r="R54" s="1238"/>
      <c r="S54" s="1244"/>
      <c r="T54" s="1247" t="s">
        <v>489</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U54" s="717"/>
      <c r="AV54" s="717" t="str">
        <f t="shared" si="1"/>
        <v>Добавить наименование тарифа</v>
      </c>
      <c r="AW54" s="717"/>
      <c r="AX54" s="717"/>
      <c r="AY54" s="452">
        <v>0</v>
      </c>
    </row>
    <row r="55" spans="1:51" ht="11.45" customHeight="1">
      <c r="M55" s="1082"/>
      <c r="N55" s="1082"/>
      <c r="O55" s="471"/>
      <c r="P55" s="1077"/>
      <c r="Q55" s="1077"/>
      <c r="R55" s="1077"/>
      <c r="S55" s="1077"/>
      <c r="AT55" s="1077"/>
      <c r="AU55" s="1077"/>
      <c r="AV55" s="1077"/>
      <c r="AW55" s="1077"/>
      <c r="AX55" s="1077"/>
      <c r="AY55" s="1077">
        <v>11</v>
      </c>
    </row>
    <row r="56" spans="1:51" ht="14.65" customHeight="1">
      <c r="O56" s="471"/>
      <c r="S56" s="1175"/>
      <c r="T56" s="3757"/>
      <c r="U56" s="3757"/>
      <c r="V56" s="3757"/>
      <c r="W56" s="3757"/>
      <c r="X56" s="3757"/>
      <c r="Y56" s="3757"/>
      <c r="Z56" s="3757"/>
      <c r="AA56" s="3757"/>
      <c r="AB56" s="3757"/>
      <c r="AC56" s="3757"/>
      <c r="AD56" s="3757"/>
      <c r="AE56" s="3757"/>
      <c r="AF56" s="3757"/>
      <c r="AG56" s="3757"/>
      <c r="AH56" s="3757"/>
      <c r="AI56" s="3757"/>
      <c r="AJ56" s="3757"/>
      <c r="AK56" s="3757"/>
      <c r="AL56" s="3757"/>
      <c r="AM56" s="3757"/>
      <c r="AN56" s="3757"/>
      <c r="AO56" s="3757"/>
      <c r="AP56" s="3757"/>
      <c r="AQ56" s="3757"/>
      <c r="AR56" s="3757"/>
      <c r="AS56" s="3757"/>
      <c r="AY56" s="1077">
        <v>14</v>
      </c>
    </row>
    <row r="57" spans="1:51" ht="14.65" customHeight="1">
      <c r="O57" s="471"/>
      <c r="AY57" s="1077">
        <v>14</v>
      </c>
    </row>
    <row r="58" spans="1:51" ht="14.65" customHeight="1">
      <c r="O58" s="471"/>
      <c r="S58" s="1175"/>
      <c r="T58" s="3757"/>
      <c r="U58" s="3757"/>
      <c r="V58" s="3757"/>
      <c r="W58" s="3757"/>
      <c r="X58" s="3757"/>
      <c r="Y58" s="3757"/>
      <c r="Z58" s="3757"/>
      <c r="AA58" s="3757"/>
      <c r="AB58" s="3757"/>
      <c r="AC58" s="3757"/>
      <c r="AD58" s="3757"/>
      <c r="AE58" s="3757"/>
      <c r="AF58" s="3757"/>
      <c r="AG58" s="3757"/>
      <c r="AH58" s="3757"/>
      <c r="AI58" s="3757"/>
      <c r="AJ58" s="3757"/>
      <c r="AK58" s="3757"/>
      <c r="AL58" s="3757"/>
      <c r="AM58" s="3757"/>
      <c r="AN58" s="3757"/>
      <c r="AO58" s="3757"/>
      <c r="AP58" s="3757"/>
      <c r="AQ58" s="3757"/>
      <c r="AR58" s="3757"/>
      <c r="AS58" s="3757"/>
      <c r="AY58" s="1077">
        <v>14</v>
      </c>
    </row>
    <row r="59" spans="1:51" ht="22.5" hidden="1" customHeight="1">
      <c r="A59" s="1082" t="s">
        <v>70</v>
      </c>
      <c r="B59" s="1082">
        <v>0</v>
      </c>
      <c r="C59" s="1082">
        <v>0</v>
      </c>
      <c r="D59" s="1082">
        <v>0</v>
      </c>
      <c r="E59" s="1082">
        <v>0</v>
      </c>
      <c r="F59" s="1082">
        <v>0</v>
      </c>
      <c r="G59" s="1082">
        <v>0</v>
      </c>
      <c r="H59" s="1082">
        <v>0</v>
      </c>
      <c r="I59" s="1082">
        <v>0</v>
      </c>
      <c r="J59" s="1082">
        <v>0</v>
      </c>
      <c r="K59" s="1082">
        <v>0</v>
      </c>
      <c r="L59" s="1400">
        <v>0</v>
      </c>
      <c r="M59" s="1284">
        <v>0</v>
      </c>
      <c r="N59" s="1284">
        <v>0</v>
      </c>
      <c r="O59" s="1284">
        <v>0</v>
      </c>
      <c r="P59" s="1395">
        <v>3</v>
      </c>
      <c r="Q59" s="279">
        <v>3</v>
      </c>
      <c r="R59" s="279">
        <v>3</v>
      </c>
      <c r="S59" s="515">
        <v>12</v>
      </c>
      <c r="T59" s="1077">
        <v>35</v>
      </c>
      <c r="U59" s="1077">
        <v>0</v>
      </c>
      <c r="V59" s="1077">
        <v>0</v>
      </c>
      <c r="W59" s="1553">
        <v>0</v>
      </c>
      <c r="X59" s="1553">
        <v>0</v>
      </c>
      <c r="Y59" s="1553">
        <v>0</v>
      </c>
      <c r="Z59" s="1553">
        <v>0</v>
      </c>
      <c r="AA59" s="1553">
        <v>0</v>
      </c>
      <c r="AB59" s="1553">
        <v>0</v>
      </c>
      <c r="AC59" s="1077">
        <v>0</v>
      </c>
      <c r="AD59" s="1077">
        <v>0</v>
      </c>
      <c r="AE59" s="1077">
        <v>0</v>
      </c>
      <c r="AF59" s="1077">
        <v>0</v>
      </c>
      <c r="AG59" s="1077">
        <v>19</v>
      </c>
      <c r="AH59" s="1553">
        <v>19</v>
      </c>
      <c r="AI59" s="1553">
        <v>19</v>
      </c>
      <c r="AJ59" s="1553">
        <v>19</v>
      </c>
      <c r="AK59" s="1553">
        <v>19</v>
      </c>
      <c r="AL59" s="1553">
        <v>19</v>
      </c>
      <c r="AM59" s="1077">
        <v>19</v>
      </c>
      <c r="AN59" s="1077">
        <v>11</v>
      </c>
      <c r="AO59" s="1077">
        <v>3</v>
      </c>
      <c r="AP59" s="1077">
        <v>11</v>
      </c>
      <c r="AQ59" s="1077">
        <v>0</v>
      </c>
      <c r="AR59" s="1077">
        <v>4</v>
      </c>
      <c r="AS59" s="1077">
        <v>115</v>
      </c>
      <c r="AT59" s="445">
        <v>10</v>
      </c>
      <c r="AU59" s="445">
        <v>10</v>
      </c>
      <c r="AV59" s="445">
        <v>10</v>
      </c>
      <c r="AW59" s="445">
        <v>10</v>
      </c>
      <c r="AX59" s="445">
        <v>10</v>
      </c>
      <c r="AY59" s="1077">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abSelected="1"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42" hidden="1" customWidth="1"/>
    <col min="2" max="2" width="2" style="1742" hidden="1" customWidth="1"/>
    <col min="3" max="3" width="3" style="1742" customWidth="1"/>
    <col min="4" max="4" width="4" style="1742" customWidth="1"/>
    <col min="5" max="5" width="44" style="1742" customWidth="1"/>
    <col min="6" max="6" width="6.42578125" style="1742" customWidth="1"/>
    <col min="7" max="7" width="4" style="1742" customWidth="1"/>
    <col min="8" max="8" width="5" style="1742" customWidth="1"/>
    <col min="9" max="9" width="52" style="1742" customWidth="1"/>
    <col min="10" max="10" width="7" style="1742" customWidth="1"/>
    <col min="11" max="11" width="3" style="1742" customWidth="1"/>
    <col min="12" max="12" width="6" style="1742" customWidth="1"/>
    <col min="13" max="13" width="56" style="1742" customWidth="1"/>
    <col min="14" max="14" width="8" style="1292" customWidth="1"/>
    <col min="15" max="20" width="9.140625" style="1546" hidden="1"/>
    <col min="21" max="24" width="9.140625" style="1188" hidden="1"/>
    <col min="25" max="37" width="9.140625" style="1292" hidden="1"/>
    <col min="38" max="38" width="8" style="1292" customWidth="1"/>
    <col min="39" max="39" width="9.140625" style="1742" hidden="1"/>
  </cols>
  <sheetData>
    <row r="1" spans="1:39" ht="11.25" hidden="1" customHeight="1">
      <c r="AM1" s="517" t="s">
        <v>1</v>
      </c>
    </row>
    <row r="2" spans="1:39" ht="11.25" hidden="1" customHeight="1">
      <c r="AM2" s="517">
        <v>0</v>
      </c>
    </row>
    <row r="3" spans="1:39" ht="11.45" customHeight="1">
      <c r="AM3" s="517">
        <v>11</v>
      </c>
    </row>
    <row r="4" spans="1:39" ht="35.65" customHeight="1">
      <c r="A4" s="519"/>
      <c r="B4" s="519"/>
      <c r="D4" s="361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3612"/>
      <c r="F4" s="3612"/>
      <c r="G4" s="3612"/>
      <c r="H4" s="3612"/>
      <c r="I4" s="3613"/>
      <c r="J4" s="518"/>
      <c r="K4" s="518"/>
      <c r="L4" s="518"/>
      <c r="M4" s="518"/>
      <c r="AM4" s="517">
        <v>34</v>
      </c>
    </row>
    <row r="5" spans="1:39" s="523" customFormat="1" ht="14.65" customHeight="1">
      <c r="A5" s="519"/>
      <c r="B5" s="519"/>
      <c r="C5" s="519"/>
      <c r="D5" s="3614" t="str">
        <f>IF(org=0,"Не определено",org)</f>
        <v>ООО "Смоленскрегионтеплоэнерго"</v>
      </c>
      <c r="E5" s="3615"/>
      <c r="F5" s="3615"/>
      <c r="G5" s="3615"/>
      <c r="H5" s="3615"/>
      <c r="I5" s="3616"/>
      <c r="J5" s="520"/>
      <c r="K5" s="520"/>
      <c r="L5" s="520"/>
      <c r="M5" s="520"/>
      <c r="N5" s="520"/>
      <c r="O5" s="798"/>
      <c r="P5" s="798"/>
      <c r="Q5" s="798"/>
      <c r="R5" s="798"/>
      <c r="S5" s="798"/>
      <c r="T5" s="798"/>
      <c r="U5" s="1183"/>
      <c r="V5" s="1183"/>
      <c r="W5" s="1183"/>
      <c r="X5" s="1183"/>
      <c r="Y5" s="520"/>
      <c r="Z5" s="520"/>
      <c r="AA5" s="520"/>
      <c r="AB5" s="520"/>
      <c r="AC5" s="520"/>
      <c r="AD5" s="520"/>
      <c r="AE5" s="520"/>
      <c r="AF5" s="520"/>
      <c r="AG5" s="520"/>
      <c r="AH5" s="520"/>
      <c r="AI5" s="520"/>
      <c r="AJ5" s="520"/>
      <c r="AK5" s="520"/>
      <c r="AL5" s="520"/>
      <c r="AM5" s="521">
        <v>14</v>
      </c>
    </row>
    <row r="6" spans="1:39" s="523" customFormat="1" ht="6.4" customHeight="1">
      <c r="A6" s="3592"/>
      <c r="B6" s="3592"/>
      <c r="C6" s="3592"/>
      <c r="D6" s="3592"/>
      <c r="E6" s="3592"/>
      <c r="F6" s="3592"/>
      <c r="G6" s="522"/>
      <c r="H6" s="522"/>
      <c r="I6" s="522"/>
      <c r="J6" s="522"/>
      <c r="K6" s="522"/>
      <c r="N6" s="524"/>
      <c r="O6" s="1336"/>
      <c r="P6" s="1336"/>
      <c r="Q6" s="1336"/>
      <c r="R6" s="1336"/>
      <c r="S6" s="1336"/>
      <c r="T6" s="1336"/>
      <c r="U6" s="1186"/>
      <c r="V6" s="1186"/>
      <c r="W6" s="1186"/>
      <c r="X6" s="1186"/>
      <c r="Y6" s="524"/>
      <c r="Z6" s="524"/>
      <c r="AA6" s="524"/>
      <c r="AB6" s="524"/>
      <c r="AC6" s="524"/>
      <c r="AD6" s="524"/>
      <c r="AE6" s="524"/>
      <c r="AF6" s="524"/>
      <c r="AG6" s="524"/>
      <c r="AH6" s="524"/>
      <c r="AI6" s="524"/>
      <c r="AJ6" s="524"/>
      <c r="AK6" s="524"/>
      <c r="AL6" s="524"/>
      <c r="AM6" s="523">
        <v>6</v>
      </c>
    </row>
    <row r="7" spans="1:39" ht="45.75" hidden="1" customHeight="1">
      <c r="E7" s="362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622"/>
      <c r="G7" s="3622"/>
      <c r="H7" s="3622"/>
      <c r="I7" s="3622"/>
      <c r="J7" s="3622"/>
      <c r="K7" s="3622"/>
      <c r="L7" s="3622"/>
      <c r="M7" s="3622"/>
      <c r="AM7" s="517">
        <v>0</v>
      </c>
    </row>
    <row r="8" spans="1:39" s="523" customFormat="1" ht="6.4" customHeight="1">
      <c r="A8" s="525"/>
      <c r="B8" s="525"/>
      <c r="C8" s="525"/>
      <c r="D8" s="525"/>
      <c r="E8" s="525"/>
      <c r="F8" s="525"/>
      <c r="G8" s="525"/>
      <c r="H8" s="525"/>
      <c r="I8" s="525"/>
      <c r="J8" s="525"/>
      <c r="K8" s="525"/>
      <c r="L8" s="525"/>
      <c r="N8" s="520"/>
      <c r="O8" s="798"/>
      <c r="P8" s="798"/>
      <c r="Q8" s="798"/>
      <c r="R8" s="798"/>
      <c r="S8" s="798"/>
      <c r="T8" s="798"/>
      <c r="U8" s="1183"/>
      <c r="V8" s="1183"/>
      <c r="W8" s="1183"/>
      <c r="X8" s="1183"/>
      <c r="Y8" s="520"/>
      <c r="Z8" s="520"/>
      <c r="AA8" s="520"/>
      <c r="AB8" s="520"/>
      <c r="AC8" s="520"/>
      <c r="AD8" s="520"/>
      <c r="AE8" s="520"/>
      <c r="AF8" s="520"/>
      <c r="AG8" s="520"/>
      <c r="AH8" s="520"/>
      <c r="AI8" s="520"/>
      <c r="AJ8" s="520"/>
      <c r="AK8" s="520"/>
      <c r="AL8" s="520"/>
      <c r="AM8" s="521">
        <v>6</v>
      </c>
    </row>
    <row r="9" spans="1:39" ht="18.75" customHeight="1">
      <c r="A9" s="3617"/>
      <c r="B9" s="258"/>
      <c r="C9" s="258"/>
      <c r="D9" s="3618" t="s">
        <v>160</v>
      </c>
      <c r="E9" s="3618"/>
      <c r="F9" s="3619" t="s">
        <v>161</v>
      </c>
      <c r="G9" s="3620"/>
      <c r="H9" s="3620"/>
      <c r="I9" s="3620"/>
      <c r="J9" s="3623" t="s">
        <v>162</v>
      </c>
      <c r="K9" s="3623"/>
      <c r="L9" s="3623"/>
      <c r="M9" s="3623"/>
      <c r="AM9" s="517">
        <v>18</v>
      </c>
    </row>
    <row r="10" spans="1:39" ht="24" customHeight="1">
      <c r="A10" s="3617"/>
      <c r="B10" s="526"/>
      <c r="C10" s="459"/>
      <c r="D10" s="457" t="s">
        <v>76</v>
      </c>
      <c r="E10" s="457" t="s">
        <v>77</v>
      </c>
      <c r="F10" s="457" t="s">
        <v>163</v>
      </c>
      <c r="G10" s="3624" t="s">
        <v>76</v>
      </c>
      <c r="H10" s="3625"/>
      <c r="I10" s="457" t="s">
        <v>77</v>
      </c>
      <c r="J10" s="457" t="s">
        <v>163</v>
      </c>
      <c r="K10" s="3624" t="s">
        <v>76</v>
      </c>
      <c r="L10" s="3625"/>
      <c r="M10" s="457" t="s">
        <v>77</v>
      </c>
      <c r="N10" s="1549"/>
      <c r="AM10" s="517">
        <v>23</v>
      </c>
    </row>
    <row r="11" spans="1:39" s="1742" customFormat="1" ht="11.25" hidden="1" customHeight="1">
      <c r="A11" s="527"/>
      <c r="B11" s="527"/>
      <c r="C11" s="527"/>
      <c r="D11" s="528" t="s">
        <v>164</v>
      </c>
      <c r="E11" s="528" t="s">
        <v>89</v>
      </c>
      <c r="F11" s="528" t="s">
        <v>78</v>
      </c>
      <c r="G11" s="3607" t="s">
        <v>79</v>
      </c>
      <c r="H11" s="3608"/>
      <c r="I11" s="528" t="s">
        <v>100</v>
      </c>
      <c r="J11" s="528" t="s">
        <v>80</v>
      </c>
      <c r="K11" s="3609" t="s">
        <v>81</v>
      </c>
      <c r="L11" s="3610"/>
      <c r="M11" s="528" t="s">
        <v>110</v>
      </c>
      <c r="N11" s="1548"/>
      <c r="O11" s="1335"/>
      <c r="P11" s="1337"/>
      <c r="Q11" s="1337"/>
      <c r="R11" s="1337"/>
      <c r="S11" s="1337"/>
      <c r="T11" s="1337"/>
      <c r="U11" s="1187"/>
      <c r="V11" s="1187"/>
      <c r="W11" s="1187"/>
      <c r="X11" s="1187"/>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5"/>
      <c r="H12" s="985"/>
      <c r="I12" s="534"/>
      <c r="J12" s="534"/>
      <c r="K12" s="109"/>
      <c r="L12" s="301"/>
      <c r="M12" s="535"/>
      <c r="N12" s="1549"/>
      <c r="O12" s="1335" t="s">
        <v>165</v>
      </c>
      <c r="P12" s="1335" t="s">
        <v>166</v>
      </c>
      <c r="Q12" s="1335" t="s">
        <v>167</v>
      </c>
      <c r="R12" s="1335" t="s">
        <v>168</v>
      </c>
      <c r="AM12" s="517">
        <v>1</v>
      </c>
    </row>
    <row r="13" spans="1:39" s="1742" customFormat="1" ht="15.75" customHeight="1">
      <c r="A13" s="228"/>
      <c r="B13" s="228"/>
      <c r="C13" s="460"/>
      <c r="D13" s="3600" t="s">
        <v>164</v>
      </c>
      <c r="E13" s="360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3604" t="s">
        <v>6</v>
      </c>
      <c r="G13" s="3605"/>
      <c r="H13" s="3606">
        <v>1</v>
      </c>
      <c r="I13" s="3597" t="s">
        <v>9</v>
      </c>
      <c r="J13" s="3599" t="s">
        <v>6</v>
      </c>
      <c r="K13" s="536"/>
      <c r="L13" s="461" t="s">
        <v>164</v>
      </c>
      <c r="M13" s="537" t="s">
        <v>9</v>
      </c>
      <c r="N13" s="740"/>
      <c r="O13" s="1338" t="s">
        <v>169</v>
      </c>
      <c r="P13" s="1335" t="str">
        <f>$E$13</f>
        <v>Производство тепловой энергии. Некомбинированная выработка; Передача. Тепловая энергия; Сбыт. Тепловая энергия</v>
      </c>
      <c r="Q13" s="1335" t="str">
        <f>IF($F$13="нет","без дифференциации",$I$13)</f>
        <v>без дифференциации</v>
      </c>
      <c r="R13" s="1335" t="str">
        <f>IF($J$13="нет","без дифференциации",M13)</f>
        <v>без дифференциации</v>
      </c>
      <c r="S13" s="1338"/>
      <c r="T13" s="1338"/>
      <c r="U13" s="1188"/>
      <c r="V13" s="1188" t="s">
        <v>170</v>
      </c>
      <c r="W13" s="1188"/>
      <c r="X13" s="1188"/>
      <c r="Y13" s="538" t="s">
        <v>171</v>
      </c>
      <c r="Z13" s="538">
        <v>1705000</v>
      </c>
      <c r="AA13" s="538"/>
      <c r="AB13" s="538"/>
      <c r="AC13" s="538"/>
      <c r="AD13" s="538"/>
      <c r="AE13" s="538"/>
      <c r="AF13" s="538"/>
      <c r="AG13" s="538"/>
      <c r="AH13" s="538"/>
      <c r="AI13" s="538"/>
      <c r="AJ13" s="538"/>
      <c r="AK13" s="538"/>
      <c r="AL13" s="538"/>
      <c r="AM13" s="540">
        <v>15</v>
      </c>
    </row>
    <row r="14" spans="1:39" s="1742" customFormat="1" ht="15.75" customHeight="1">
      <c r="A14" s="228"/>
      <c r="B14" s="228"/>
      <c r="C14" s="111"/>
      <c r="D14" s="3600"/>
      <c r="E14" s="3602"/>
      <c r="F14" s="3599"/>
      <c r="G14" s="3605"/>
      <c r="H14" s="3606"/>
      <c r="I14" s="3598" t="s">
        <v>9</v>
      </c>
      <c r="J14" s="3599"/>
      <c r="K14" s="355"/>
      <c r="L14" s="112"/>
      <c r="M14" s="541" t="s">
        <v>172</v>
      </c>
      <c r="N14" s="740"/>
      <c r="O14" s="1338"/>
      <c r="P14" s="1335"/>
      <c r="Q14" s="1335"/>
      <c r="R14" s="1335"/>
      <c r="S14" s="1338"/>
      <c r="T14" s="1338"/>
      <c r="U14" s="1188"/>
      <c r="V14" s="1188"/>
      <c r="W14" s="1188"/>
      <c r="X14" s="1188"/>
      <c r="Y14" s="538"/>
      <c r="Z14" s="538"/>
      <c r="AA14" s="538"/>
      <c r="AB14" s="538"/>
      <c r="AC14" s="538"/>
      <c r="AD14" s="538"/>
      <c r="AE14" s="538"/>
      <c r="AF14" s="538"/>
      <c r="AG14" s="538"/>
      <c r="AH14" s="538"/>
      <c r="AI14" s="538"/>
      <c r="AJ14" s="538"/>
      <c r="AK14" s="538"/>
      <c r="AL14" s="538"/>
      <c r="AM14" s="540">
        <v>15</v>
      </c>
    </row>
    <row r="15" spans="1:39" s="1742" customFormat="1" ht="15.75" customHeight="1">
      <c r="A15" s="228"/>
      <c r="B15" s="228"/>
      <c r="C15" s="111"/>
      <c r="D15" s="3600"/>
      <c r="E15" s="3603"/>
      <c r="F15" s="3599"/>
      <c r="G15" s="986"/>
      <c r="H15" s="987"/>
      <c r="I15" s="514" t="s">
        <v>173</v>
      </c>
      <c r="J15" s="112"/>
      <c r="K15" s="112"/>
      <c r="L15" s="112"/>
      <c r="M15" s="542"/>
      <c r="N15" s="740"/>
      <c r="O15" s="1338"/>
      <c r="P15" s="1335"/>
      <c r="Q15" s="1335"/>
      <c r="R15" s="1335"/>
      <c r="S15" s="1338"/>
      <c r="T15" s="1338"/>
      <c r="U15" s="1188"/>
      <c r="V15" s="1188"/>
      <c r="W15" s="1188"/>
      <c r="X15" s="1188"/>
      <c r="Y15" s="538"/>
      <c r="Z15" s="538"/>
      <c r="AA15" s="538"/>
      <c r="AB15" s="538"/>
      <c r="AC15" s="538"/>
      <c r="AD15" s="538"/>
      <c r="AE15" s="538"/>
      <c r="AF15" s="538"/>
      <c r="AG15" s="538"/>
      <c r="AH15" s="538"/>
      <c r="AI15" s="538"/>
      <c r="AJ15" s="538"/>
      <c r="AK15" s="538"/>
      <c r="AL15" s="538"/>
      <c r="AM15" s="540">
        <v>15</v>
      </c>
    </row>
    <row r="16" spans="1:39" ht="15.75" customHeight="1">
      <c r="A16" s="543"/>
      <c r="B16" s="72"/>
      <c r="C16" s="734"/>
      <c r="D16" s="355"/>
      <c r="E16" s="505" t="s">
        <v>174</v>
      </c>
      <c r="F16" s="112"/>
      <c r="G16" s="112"/>
      <c r="H16" s="112"/>
      <c r="I16" s="112"/>
      <c r="J16" s="112"/>
      <c r="K16" s="112" t="s">
        <v>9</v>
      </c>
      <c r="L16" s="112"/>
      <c r="M16" s="542"/>
      <c r="N16" s="1549"/>
      <c r="AM16" s="517">
        <v>15</v>
      </c>
    </row>
    <row r="17" spans="1:39" ht="11.25" hidden="1" customHeight="1">
      <c r="A17" s="517" t="s">
        <v>70</v>
      </c>
      <c r="B17" s="517">
        <v>0</v>
      </c>
      <c r="C17" s="517">
        <v>3</v>
      </c>
      <c r="D17" s="517">
        <v>4</v>
      </c>
      <c r="E17" s="517">
        <v>44</v>
      </c>
      <c r="F17" s="517">
        <v>6</v>
      </c>
      <c r="G17" s="517">
        <v>4</v>
      </c>
      <c r="H17" s="517">
        <v>5</v>
      </c>
      <c r="I17" s="517">
        <v>52</v>
      </c>
      <c r="J17" s="517">
        <v>6</v>
      </c>
      <c r="K17" s="517">
        <v>3</v>
      </c>
      <c r="L17" s="517">
        <v>6</v>
      </c>
      <c r="M17" s="517">
        <v>56</v>
      </c>
      <c r="N17" s="518">
        <v>8</v>
      </c>
      <c r="O17" s="1335">
        <v>0</v>
      </c>
      <c r="P17" s="1335">
        <v>0</v>
      </c>
      <c r="Q17" s="1335">
        <v>0</v>
      </c>
      <c r="R17" s="1335">
        <v>0</v>
      </c>
      <c r="S17" s="1335">
        <v>0</v>
      </c>
      <c r="T17" s="1335">
        <v>0</v>
      </c>
      <c r="U17" s="1185">
        <v>0</v>
      </c>
      <c r="V17" s="1185">
        <v>0</v>
      </c>
      <c r="W17" s="1185">
        <v>0</v>
      </c>
      <c r="X17" s="1185">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1999" hidden="1" customWidth="1"/>
    <col min="13" max="14" width="12.28515625" style="1668" hidden="1" customWidth="1"/>
    <col min="15" max="15" width="23.42578125" style="1668" hidden="1" customWidth="1"/>
    <col min="16" max="16" width="3" style="1991" customWidth="1"/>
    <col min="17" max="18" width="3" style="279" customWidth="1"/>
    <col min="19" max="19" width="12" style="1992" customWidth="1"/>
    <col min="20" max="20" width="35" style="1557" customWidth="1"/>
    <col min="21" max="21" width="0.140625" style="1557" customWidth="1"/>
    <col min="22" max="28" width="19.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19.7109375" style="1557" customWidth="1"/>
    <col min="34" max="39" width="19" style="1557" customWidth="1"/>
    <col min="40" max="40" width="11" style="1557" customWidth="1"/>
    <col min="41" max="41" width="3.7109375" style="1557" customWidth="1"/>
    <col min="42" max="42" width="11" style="1557" customWidth="1"/>
    <col min="43" max="43" width="8.5703125" style="1557" hidden="1" customWidth="1"/>
    <col min="44" max="44" width="4" style="1557" customWidth="1"/>
    <col min="45" max="45" width="115" style="1557" customWidth="1"/>
    <col min="46" max="50" width="10" style="1564" customWidth="1"/>
    <col min="51" max="51" width="10.5703125" style="1557" hidden="1"/>
  </cols>
  <sheetData>
    <row r="1" spans="1:51" ht="22.5" hidden="1" customHeight="1">
      <c r="AB1" s="262"/>
      <c r="AC1" s="262"/>
      <c r="AM1" s="262"/>
      <c r="AN1" s="262"/>
      <c r="AY1" s="1077" t="s">
        <v>1</v>
      </c>
    </row>
    <row r="2" spans="1:51" ht="23.25" hidden="1" customHeight="1">
      <c r="A2" s="1285"/>
      <c r="B2" s="1285"/>
      <c r="C2" s="1285"/>
      <c r="D2" s="1285"/>
      <c r="E2" s="3737">
        <v>1</v>
      </c>
      <c r="F2" s="1285"/>
      <c r="G2" s="1285"/>
      <c r="H2" s="1285"/>
      <c r="I2" s="1285"/>
      <c r="J2" s="1285"/>
      <c r="K2" s="1285"/>
      <c r="L2" s="1286"/>
      <c r="M2" s="1287"/>
      <c r="N2" s="1287"/>
      <c r="O2" s="1287"/>
      <c r="P2" s="295"/>
      <c r="Q2" s="294"/>
      <c r="R2" s="289"/>
      <c r="S2" s="1415" t="e">
        <f>INDEX(PT_DIFFERENTIATION_NUM_NTAR,MATCH(A2,PT_DIFFERENTIATION_NTAR_ID,0))</f>
        <v>#N/A</v>
      </c>
      <c r="T2" s="233" t="s">
        <v>176</v>
      </c>
      <c r="U2" s="235"/>
      <c r="V2" s="3723"/>
      <c r="W2" s="3724"/>
      <c r="X2" s="3724"/>
      <c r="Y2" s="3724"/>
      <c r="Z2" s="3724"/>
      <c r="AA2" s="3724"/>
      <c r="AB2" s="3724"/>
      <c r="AC2" s="3724"/>
      <c r="AD2" s="3724"/>
      <c r="AE2" s="3724"/>
      <c r="AF2" s="3725"/>
      <c r="AG2" s="3723" t="e">
        <f>INDEX(PT_DIFFERENTIATION_NTAR,MATCH(A2,PT_DIFFERENTIATION_NTAR_ID,0))</f>
        <v>#N/A</v>
      </c>
      <c r="AH2" s="3724"/>
      <c r="AI2" s="3724"/>
      <c r="AJ2" s="3724"/>
      <c r="AK2" s="3724"/>
      <c r="AL2" s="3724"/>
      <c r="AM2" s="3724"/>
      <c r="AN2" s="3724"/>
      <c r="AO2" s="3724"/>
      <c r="AP2" s="3724"/>
      <c r="AQ2" s="3724"/>
      <c r="AR2" s="3725"/>
      <c r="AS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7">
        <v>0</v>
      </c>
    </row>
    <row r="3" spans="1:51" ht="23.25" hidden="1" customHeight="1">
      <c r="A3" s="1285"/>
      <c r="B3" s="1285"/>
      <c r="C3" s="1285"/>
      <c r="D3" s="1285"/>
      <c r="E3" s="3738"/>
      <c r="F3" s="3737">
        <v>1</v>
      </c>
      <c r="G3" s="1285"/>
      <c r="H3" s="1285"/>
      <c r="I3" s="1285"/>
      <c r="J3" s="1285"/>
      <c r="K3" s="1285"/>
      <c r="L3" s="1286"/>
      <c r="M3" s="1287"/>
      <c r="N3" s="1287"/>
      <c r="O3" s="1287"/>
      <c r="P3" s="1409"/>
      <c r="Q3" s="286"/>
      <c r="R3" s="287"/>
      <c r="S3" s="1415" t="e">
        <f>INDEX(PT_DIFFERENTIATION_NUM_TER,MATCH(B3,PT_DIFFERENTIATION_TER_ID,0))</f>
        <v>#N/A</v>
      </c>
      <c r="T3" s="243" t="s">
        <v>442</v>
      </c>
      <c r="U3" s="235"/>
      <c r="V3" s="3723"/>
      <c r="W3" s="3724"/>
      <c r="X3" s="3724"/>
      <c r="Y3" s="3724"/>
      <c r="Z3" s="3724"/>
      <c r="AA3" s="3724"/>
      <c r="AB3" s="3724"/>
      <c r="AC3" s="3724"/>
      <c r="AD3" s="3724"/>
      <c r="AE3" s="3724"/>
      <c r="AF3" s="3725"/>
      <c r="AG3" s="3723" t="e">
        <f>INDEX(PT_DIFFERENTIATION_TER,MATCH(B3,PT_DIFFERENTIATION_TER_ID,0))</f>
        <v>#N/A</v>
      </c>
      <c r="AH3" s="3724"/>
      <c r="AI3" s="3724"/>
      <c r="AJ3" s="3724"/>
      <c r="AK3" s="3724"/>
      <c r="AL3" s="3724"/>
      <c r="AM3" s="3724"/>
      <c r="AN3" s="3724"/>
      <c r="AO3" s="3724"/>
      <c r="AP3" s="3724"/>
      <c r="AQ3" s="3724"/>
      <c r="AR3" s="3725"/>
      <c r="AS3" s="1180" t="s">
        <v>443</v>
      </c>
      <c r="AU3" s="434"/>
      <c r="AV3" s="434" t="str">
        <f t="shared" si="0"/>
        <v>Территория действия тарифа</v>
      </c>
      <c r="AW3" s="434"/>
      <c r="AX3" s="434"/>
      <c r="AY3" s="1077">
        <v>0</v>
      </c>
    </row>
    <row r="4" spans="1:51" ht="23.25" hidden="1" customHeight="1">
      <c r="A4" s="1285"/>
      <c r="B4" s="1285"/>
      <c r="C4" s="1285"/>
      <c r="D4" s="1285"/>
      <c r="E4" s="3738"/>
      <c r="F4" s="3738"/>
      <c r="G4" s="3737">
        <v>1</v>
      </c>
      <c r="H4" s="1285"/>
      <c r="I4" s="1285"/>
      <c r="J4" s="1285"/>
      <c r="K4" s="1285"/>
      <c r="L4" s="1286"/>
      <c r="M4" s="1287"/>
      <c r="N4" s="1287"/>
      <c r="O4" s="1287"/>
      <c r="P4" s="288"/>
      <c r="Q4" s="286"/>
      <c r="R4" s="287"/>
      <c r="S4" s="1415" t="e">
        <f>INDEX(PT_DIFFERENTIATION_NUM_CS,MATCH(C4,PT_DIFFERENTIATION_CS_ID,0))</f>
        <v>#N/A</v>
      </c>
      <c r="T4" s="244" t="s">
        <v>573</v>
      </c>
      <c r="U4" s="235"/>
      <c r="V4" s="3723"/>
      <c r="W4" s="3724"/>
      <c r="X4" s="3724"/>
      <c r="Y4" s="3724"/>
      <c r="Z4" s="3724"/>
      <c r="AA4" s="3724"/>
      <c r="AB4" s="3724"/>
      <c r="AC4" s="3724"/>
      <c r="AD4" s="3724"/>
      <c r="AE4" s="3724"/>
      <c r="AF4" s="3725"/>
      <c r="AG4" s="3723" t="e">
        <f>INDEX(PT_DIFFERENTIATION_CS,MATCH(C4,PT_DIFFERENTIATION_CS_ID,0))</f>
        <v>#N/A</v>
      </c>
      <c r="AH4" s="3724"/>
      <c r="AI4" s="3724"/>
      <c r="AJ4" s="3724"/>
      <c r="AK4" s="3724"/>
      <c r="AL4" s="3724"/>
      <c r="AM4" s="3724"/>
      <c r="AN4" s="3724"/>
      <c r="AO4" s="3724"/>
      <c r="AP4" s="3724"/>
      <c r="AQ4" s="3724"/>
      <c r="AR4" s="3725"/>
      <c r="AS4" s="1180" t="s">
        <v>574</v>
      </c>
      <c r="AU4" s="434"/>
      <c r="AV4" s="434" t="str">
        <f t="shared" si="0"/>
        <v>Наименование централизованной системы горячего водоснабжения</v>
      </c>
      <c r="AW4" s="434"/>
      <c r="AX4" s="434"/>
      <c r="AY4" s="1077">
        <v>0</v>
      </c>
    </row>
    <row r="5" spans="1:51" ht="23.25" hidden="1" customHeight="1">
      <c r="A5" s="1285"/>
      <c r="B5" s="1285"/>
      <c r="C5" s="1285"/>
      <c r="D5" s="1285"/>
      <c r="E5" s="3738"/>
      <c r="F5" s="3738"/>
      <c r="G5" s="3738"/>
      <c r="H5" s="3738"/>
      <c r="I5" s="3735" t="e">
        <f>S4&amp;".1"</f>
        <v>#N/A</v>
      </c>
      <c r="J5" s="1285"/>
      <c r="K5" s="1285"/>
      <c r="L5" s="1286"/>
      <c r="P5" s="3736">
        <v>1</v>
      </c>
      <c r="Q5" s="1403"/>
      <c r="R5" s="290"/>
      <c r="S5" s="1415" t="e">
        <f>$I5</f>
        <v>#N/A</v>
      </c>
      <c r="T5" s="220" t="s">
        <v>526</v>
      </c>
      <c r="U5" s="235"/>
      <c r="V5" s="3807"/>
      <c r="W5" s="3808"/>
      <c r="X5" s="3808"/>
      <c r="Y5" s="3808"/>
      <c r="Z5" s="3808"/>
      <c r="AA5" s="3808"/>
      <c r="AB5" s="3808"/>
      <c r="AC5" s="3808"/>
      <c r="AD5" s="3808"/>
      <c r="AE5" s="3808"/>
      <c r="AF5" s="3809"/>
      <c r="AG5" s="3810"/>
      <c r="AH5" s="3811"/>
      <c r="AI5" s="3811"/>
      <c r="AJ5" s="3811"/>
      <c r="AK5" s="3811"/>
      <c r="AL5" s="3811"/>
      <c r="AM5" s="3811"/>
      <c r="AN5" s="3811"/>
      <c r="AO5" s="3811"/>
      <c r="AP5" s="3811"/>
      <c r="AQ5" s="3811"/>
      <c r="AR5" s="3812"/>
      <c r="AS5" s="1180" t="s">
        <v>527</v>
      </c>
      <c r="AU5" s="434"/>
      <c r="AV5" s="434" t="str">
        <f t="shared" si="0"/>
        <v>Наименование признака дифференциации</v>
      </c>
      <c r="AW5" s="434"/>
      <c r="AX5" s="434"/>
      <c r="AY5" s="1077">
        <v>0</v>
      </c>
    </row>
    <row r="6" spans="1:51" ht="23.25" hidden="1" customHeight="1">
      <c r="A6" s="1285"/>
      <c r="B6" s="1285"/>
      <c r="C6" s="1285"/>
      <c r="D6" s="1285"/>
      <c r="E6" s="3738"/>
      <c r="F6" s="3738"/>
      <c r="G6" s="3738"/>
      <c r="H6" s="3738"/>
      <c r="I6" s="3758"/>
      <c r="J6" s="3735" t="e">
        <f>I5&amp;".1"</f>
        <v>#N/A</v>
      </c>
      <c r="K6" s="1285"/>
      <c r="L6" s="1286" t="s">
        <v>451</v>
      </c>
      <c r="P6" s="3736"/>
      <c r="Q6" s="3736">
        <v>1</v>
      </c>
      <c r="R6" s="291"/>
      <c r="S6" s="1415" t="e">
        <f>$J6</f>
        <v>#N/A</v>
      </c>
      <c r="T6" s="221" t="s">
        <v>452</v>
      </c>
      <c r="U6" s="235"/>
      <c r="V6" s="3726"/>
      <c r="W6" s="3727"/>
      <c r="X6" s="3727"/>
      <c r="Y6" s="3727"/>
      <c r="Z6" s="3727"/>
      <c r="AA6" s="3727"/>
      <c r="AB6" s="3727"/>
      <c r="AC6" s="3727"/>
      <c r="AD6" s="3727"/>
      <c r="AE6" s="3727"/>
      <c r="AF6" s="3728"/>
      <c r="AG6" s="3726"/>
      <c r="AH6" s="3727"/>
      <c r="AI6" s="3727"/>
      <c r="AJ6" s="3727"/>
      <c r="AK6" s="3727"/>
      <c r="AL6" s="3727"/>
      <c r="AM6" s="3727"/>
      <c r="AN6" s="3727"/>
      <c r="AO6" s="3727"/>
      <c r="AP6" s="3727"/>
      <c r="AQ6" s="3727"/>
      <c r="AR6" s="3728"/>
      <c r="AS6" s="1229" t="s">
        <v>528</v>
      </c>
      <c r="AU6" s="434"/>
      <c r="AV6" s="434" t="str">
        <f t="shared" si="0"/>
        <v>Группа потребителей</v>
      </c>
      <c r="AW6" s="434"/>
      <c r="AX6" s="434"/>
      <c r="AY6" s="1077">
        <v>0</v>
      </c>
    </row>
    <row r="7" spans="1:51" ht="23.25" hidden="1" customHeight="1">
      <c r="A7" s="1285"/>
      <c r="B7" s="1285"/>
      <c r="C7" s="1285"/>
      <c r="D7" s="1285"/>
      <c r="E7" s="3738"/>
      <c r="F7" s="3738"/>
      <c r="G7" s="3738"/>
      <c r="H7" s="3738"/>
      <c r="I7" s="3758"/>
      <c r="J7" s="3758"/>
      <c r="K7" s="3735" t="e">
        <f>J6&amp;".1"</f>
        <v>#N/A</v>
      </c>
      <c r="L7" s="1286"/>
      <c r="P7" s="3736"/>
      <c r="Q7" s="3736"/>
      <c r="R7" s="291">
        <v>1</v>
      </c>
      <c r="S7" s="1415" t="e">
        <f>$K7</f>
        <v>#N/A</v>
      </c>
      <c r="T7" s="1359"/>
      <c r="U7" s="235"/>
      <c r="V7" s="685"/>
      <c r="W7" s="685"/>
      <c r="X7" s="685"/>
      <c r="Y7" s="685"/>
      <c r="Z7" s="685"/>
      <c r="AA7" s="685"/>
      <c r="AB7" s="1179"/>
      <c r="AC7" s="3740"/>
      <c r="AD7" s="3599" t="s">
        <v>50</v>
      </c>
      <c r="AE7" s="3740"/>
      <c r="AF7" s="3599" t="s">
        <v>50</v>
      </c>
      <c r="AG7" s="685"/>
      <c r="AH7" s="685"/>
      <c r="AI7" s="685"/>
      <c r="AJ7" s="685"/>
      <c r="AK7" s="685"/>
      <c r="AL7" s="685"/>
      <c r="AM7" s="1179"/>
      <c r="AN7" s="3740"/>
      <c r="AO7" s="3599" t="s">
        <v>50</v>
      </c>
      <c r="AP7" s="3759"/>
      <c r="AQ7" s="3599" t="s">
        <v>50</v>
      </c>
      <c r="AR7" s="1360"/>
      <c r="AS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7">
        <v>0</v>
      </c>
    </row>
    <row r="8" spans="1:51" ht="14.25" hidden="1" customHeight="1">
      <c r="A8" s="1285"/>
      <c r="B8" s="1285"/>
      <c r="C8" s="1285"/>
      <c r="D8" s="1285"/>
      <c r="E8" s="3738"/>
      <c r="F8" s="3738"/>
      <c r="G8" s="3738"/>
      <c r="H8" s="3738"/>
      <c r="I8" s="3758"/>
      <c r="J8" s="3758"/>
      <c r="K8" s="3735"/>
      <c r="L8" s="1286"/>
      <c r="P8" s="3736"/>
      <c r="Q8" s="3736"/>
      <c r="R8" s="291"/>
      <c r="S8" s="1412"/>
      <c r="T8" s="235"/>
      <c r="U8" s="235"/>
      <c r="V8" s="260"/>
      <c r="W8" s="260"/>
      <c r="X8" s="260"/>
      <c r="Y8" s="260"/>
      <c r="Z8" s="260"/>
      <c r="AA8" s="260"/>
      <c r="AB8" s="263" t="str">
        <f>AC7&amp;"-"&amp;AE7</f>
        <v>-</v>
      </c>
      <c r="AC8" s="3741"/>
      <c r="AD8" s="3599"/>
      <c r="AE8" s="3741"/>
      <c r="AF8" s="3599"/>
      <c r="AG8" s="260"/>
      <c r="AH8" s="260"/>
      <c r="AI8" s="260"/>
      <c r="AJ8" s="260"/>
      <c r="AK8" s="260"/>
      <c r="AL8" s="260"/>
      <c r="AM8" s="263" t="str">
        <f>AN7&amp;"-"&amp;AP7</f>
        <v>-</v>
      </c>
      <c r="AN8" s="3741"/>
      <c r="AO8" s="3599"/>
      <c r="AP8" s="3760"/>
      <c r="AQ8" s="3599"/>
      <c r="AR8" s="1361"/>
      <c r="AS8" s="3806"/>
      <c r="AU8" s="434"/>
      <c r="AV8" s="434" t="str">
        <f t="shared" si="0"/>
        <v/>
      </c>
      <c r="AW8" s="434"/>
      <c r="AX8" s="434"/>
      <c r="AY8" s="1077">
        <v>0</v>
      </c>
    </row>
    <row r="9" spans="1:51" ht="21" hidden="1" customHeight="1">
      <c r="A9" s="1285"/>
      <c r="B9" s="1285"/>
      <c r="C9" s="1285"/>
      <c r="D9" s="1285"/>
      <c r="E9" s="3738"/>
      <c r="F9" s="3738"/>
      <c r="G9" s="3738"/>
      <c r="H9" s="3738"/>
      <c r="I9" s="3758"/>
      <c r="J9" s="3735"/>
      <c r="K9" s="1285"/>
      <c r="L9" s="1286"/>
      <c r="P9" s="3736"/>
      <c r="Q9" s="3736"/>
      <c r="R9" s="290"/>
      <c r="S9" s="1200"/>
      <c r="T9" s="222" t="s">
        <v>529</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80" t="s">
        <v>530</v>
      </c>
      <c r="AU9" s="434"/>
      <c r="AV9" s="434" t="str">
        <f t="shared" si="0"/>
        <v>Добавить значение признака дифференциации</v>
      </c>
      <c r="AW9" s="434"/>
      <c r="AX9" s="434"/>
      <c r="AY9" s="1077">
        <v>0</v>
      </c>
    </row>
    <row r="10" spans="1:51" ht="21" hidden="1" customHeight="1">
      <c r="A10" s="1285"/>
      <c r="B10" s="1285"/>
      <c r="C10" s="1285"/>
      <c r="D10" s="1285"/>
      <c r="E10" s="3738"/>
      <c r="F10" s="3738"/>
      <c r="G10" s="3738"/>
      <c r="H10" s="3738"/>
      <c r="I10" s="3735"/>
      <c r="J10" s="1285"/>
      <c r="K10" s="1285"/>
      <c r="L10" s="1286"/>
      <c r="P10" s="3736"/>
      <c r="Q10" s="1403"/>
      <c r="R10" s="290"/>
      <c r="S10" s="1200"/>
      <c r="T10" s="299" t="s">
        <v>457</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62"/>
      <c r="AU10" s="434"/>
      <c r="AV10" s="434" t="str">
        <f t="shared" si="0"/>
        <v>Добавить группу потребителей</v>
      </c>
      <c r="AW10" s="434"/>
      <c r="AX10" s="434"/>
      <c r="AY10" s="1077">
        <v>0</v>
      </c>
    </row>
    <row r="11" spans="1:51" ht="21" hidden="1" customHeight="1">
      <c r="A11" s="1285"/>
      <c r="B11" s="1285"/>
      <c r="C11" s="1285"/>
      <c r="D11" s="1285"/>
      <c r="E11" s="3738"/>
      <c r="F11" s="3738"/>
      <c r="G11" s="3738"/>
      <c r="H11" s="3737"/>
      <c r="I11" s="1285"/>
      <c r="J11" s="1285"/>
      <c r="K11" s="1285"/>
      <c r="L11" s="1286"/>
      <c r="M11" s="1287"/>
      <c r="N11" s="1287"/>
      <c r="O11" s="471"/>
      <c r="P11" s="294"/>
      <c r="Q11" s="309"/>
      <c r="R11" s="289"/>
      <c r="S11" s="1200"/>
      <c r="T11" s="306" t="s">
        <v>531</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7">
        <v>0</v>
      </c>
    </row>
    <row r="12" spans="1:51" s="1564" customFormat="1" ht="14.25" hidden="1" customHeight="1">
      <c r="A12" s="1265"/>
      <c r="B12" s="1265"/>
      <c r="C12" s="1236"/>
      <c r="D12" s="1236"/>
      <c r="E12" s="3738"/>
      <c r="F12" s="3737"/>
      <c r="G12" s="1236"/>
      <c r="H12" s="1236"/>
      <c r="I12" s="1236"/>
      <c r="J12" s="1236"/>
      <c r="K12" s="1236"/>
      <c r="L12" s="1416"/>
      <c r="M12" s="1243"/>
      <c r="N12" s="1243"/>
      <c r="P12" s="1238"/>
      <c r="Q12" s="1239"/>
      <c r="R12" s="1238"/>
      <c r="S12" s="1244"/>
      <c r="T12" s="1247" t="s">
        <v>460</v>
      </c>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U12" s="717"/>
      <c r="AV12" s="717" t="str">
        <f t="shared" si="0"/>
        <v>Добавить централизованную систему для дифференциации</v>
      </c>
      <c r="AW12" s="717"/>
      <c r="AX12" s="717"/>
      <c r="AY12" s="452">
        <v>0</v>
      </c>
    </row>
    <row r="13" spans="1:51" s="1564" customFormat="1" ht="14.25" hidden="1" customHeight="1">
      <c r="A13" s="1265"/>
      <c r="B13" s="1265"/>
      <c r="C13" s="1265"/>
      <c r="D13" s="1265"/>
      <c r="E13" s="3737"/>
      <c r="F13" s="1265"/>
      <c r="G13" s="1265"/>
      <c r="H13" s="1265"/>
      <c r="I13" s="1265"/>
      <c r="J13" s="1265"/>
      <c r="K13" s="1265"/>
      <c r="L13" s="1268"/>
      <c r="M13" s="1243"/>
      <c r="N13" s="1243"/>
      <c r="O13" s="452"/>
      <c r="P13" s="314"/>
      <c r="Q13" s="1266"/>
      <c r="R13" s="314"/>
      <c r="S13" s="1244"/>
      <c r="T13" s="1247" t="s">
        <v>461</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U13" s="434"/>
      <c r="AV13" s="434" t="str">
        <f t="shared" si="0"/>
        <v>Добавить территорию для дифференциации</v>
      </c>
      <c r="AW13" s="434"/>
      <c r="AX13" s="434"/>
      <c r="AY13" s="445">
        <v>0</v>
      </c>
    </row>
    <row r="14" spans="1:51" ht="14.25" hidden="1" customHeight="1">
      <c r="AF14" s="262"/>
      <c r="AQ14" s="262"/>
      <c r="AY14" s="1077">
        <v>0</v>
      </c>
    </row>
    <row r="15" spans="1:51" ht="14.25" hidden="1" customHeight="1">
      <c r="AG15" s="1282"/>
      <c r="AH15" s="1282"/>
      <c r="AI15" s="1282"/>
      <c r="AJ15" s="1282"/>
      <c r="AK15" s="1282"/>
      <c r="AL15" s="1282"/>
      <c r="AM15" s="1283"/>
      <c r="AN15" s="3742"/>
      <c r="AO15" s="3743" t="s">
        <v>50</v>
      </c>
      <c r="AP15" s="3742"/>
      <c r="AQ15" s="3743" t="s">
        <v>50</v>
      </c>
      <c r="AY15" s="1077">
        <v>0</v>
      </c>
    </row>
    <row r="16" spans="1:51" ht="14.25" hidden="1" customHeight="1">
      <c r="AG16" s="1282"/>
      <c r="AH16" s="1282"/>
      <c r="AI16" s="1282"/>
      <c r="AJ16" s="1282"/>
      <c r="AK16" s="1282"/>
      <c r="AL16" s="1282"/>
      <c r="AM16" s="263" t="str">
        <f>AN15&amp;"-"&amp;AP15</f>
        <v>-</v>
      </c>
      <c r="AN16" s="3743"/>
      <c r="AO16" s="3743"/>
      <c r="AP16" s="3743"/>
      <c r="AQ16" s="3743"/>
      <c r="AY16" s="1077">
        <v>0</v>
      </c>
    </row>
    <row r="17" spans="1:51" ht="14.25" hidden="1" customHeight="1">
      <c r="AQ17" s="262"/>
      <c r="AY17" s="1077">
        <v>0</v>
      </c>
    </row>
    <row r="18" spans="1:51" s="1288" customFormat="1" ht="22.5" hidden="1" customHeight="1">
      <c r="L18" s="1400"/>
      <c r="M18" s="1284"/>
      <c r="N18" s="1284"/>
      <c r="O18" s="1289" t="s">
        <v>462</v>
      </c>
      <c r="P18" s="1284"/>
      <c r="Q18" s="1293"/>
      <c r="R18" s="1293"/>
      <c r="S18" s="663"/>
      <c r="AC18" s="1289"/>
      <c r="AE18" s="1289"/>
      <c r="AN18" s="1289"/>
      <c r="AP18" s="1289"/>
      <c r="AT18" s="445"/>
      <c r="AU18" s="445"/>
      <c r="AV18" s="445"/>
      <c r="AW18" s="445"/>
      <c r="AX18" s="445"/>
      <c r="AY18" s="1082">
        <v>0</v>
      </c>
    </row>
    <row r="19" spans="1:51" s="1288" customFormat="1" ht="14.25" hidden="1" customHeight="1">
      <c r="L19" s="1400"/>
      <c r="M19" s="1284"/>
      <c r="N19" s="1284"/>
      <c r="O19" s="1284"/>
      <c r="P19" s="1284"/>
      <c r="Q19" s="1293"/>
      <c r="R19" s="1293"/>
      <c r="S19" s="663"/>
      <c r="AT19" s="445"/>
      <c r="AU19" s="445"/>
      <c r="AV19" s="445"/>
      <c r="AW19" s="445"/>
      <c r="AX19" s="445"/>
      <c r="AY19" s="1082">
        <v>0</v>
      </c>
    </row>
    <row r="20" spans="1:51" s="1288" customFormat="1" ht="12" hidden="1" customHeight="1">
      <c r="L20" s="1400"/>
      <c r="M20" s="1284"/>
      <c r="N20" s="1284"/>
      <c r="O20" s="1286" t="s">
        <v>463</v>
      </c>
      <c r="P20" s="1284"/>
      <c r="Q20" s="1364"/>
      <c r="R20" s="1364"/>
      <c r="S20" s="663"/>
      <c r="T20" s="1082" t="s">
        <v>464</v>
      </c>
      <c r="AD20" s="121" t="s">
        <v>465</v>
      </c>
      <c r="AF20" s="121" t="s">
        <v>466</v>
      </c>
      <c r="AG20" s="1082" t="s">
        <v>464</v>
      </c>
      <c r="AO20" s="121" t="s">
        <v>467</v>
      </c>
      <c r="AQ20" s="121" t="s">
        <v>466</v>
      </c>
      <c r="AY20" s="1082">
        <v>0</v>
      </c>
    </row>
    <row r="21" spans="1:51" ht="14.25" hidden="1" customHeight="1">
      <c r="O21" s="1286"/>
      <c r="AY21" s="1077">
        <v>0</v>
      </c>
    </row>
    <row r="22" spans="1:51" ht="14.25" hidden="1" customHeight="1">
      <c r="O22" s="1286"/>
      <c r="AY22" s="1077">
        <v>0</v>
      </c>
    </row>
    <row r="23" spans="1:51" ht="14.65" customHeight="1">
      <c r="Q23" s="310"/>
      <c r="R23" s="310"/>
      <c r="S23" s="1197"/>
      <c r="T23" s="297"/>
      <c r="U23" s="297"/>
      <c r="V23" s="443"/>
      <c r="AB23" s="443"/>
      <c r="AC23" s="443"/>
      <c r="AD23" s="443"/>
      <c r="AE23" s="443"/>
      <c r="AF23" s="443"/>
      <c r="AG23" s="443"/>
      <c r="AM23" s="443"/>
      <c r="AN23" s="443"/>
      <c r="AO23" s="443"/>
      <c r="AP23" s="443"/>
      <c r="AQ23" s="443"/>
      <c r="AY23" s="1077">
        <v>14</v>
      </c>
    </row>
    <row r="24" spans="1:51" ht="26.25" customHeight="1">
      <c r="Q24" s="310"/>
      <c r="R24" s="310"/>
      <c r="S24" s="37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721"/>
      <c r="U24" s="3721"/>
      <c r="V24" s="3721"/>
      <c r="W24" s="3721"/>
      <c r="X24" s="3721"/>
      <c r="Y24" s="3721"/>
      <c r="Z24" s="3721"/>
      <c r="AA24" s="3721"/>
      <c r="AB24" s="3721"/>
      <c r="AC24" s="3721"/>
      <c r="AD24" s="3721"/>
      <c r="AE24" s="3721"/>
      <c r="AF24" s="3721"/>
      <c r="AG24" s="3721"/>
      <c r="AH24" s="3721"/>
      <c r="AI24" s="3721"/>
      <c r="AJ24" s="3721"/>
      <c r="AK24" s="3721"/>
      <c r="AL24" s="3721"/>
      <c r="AM24" s="3721"/>
      <c r="AN24" s="3721"/>
      <c r="AO24" s="3721"/>
      <c r="AP24" s="3721"/>
      <c r="AQ24" s="1165"/>
      <c r="AY24" s="1077">
        <v>25</v>
      </c>
    </row>
    <row r="25" spans="1:51" ht="14.65" customHeight="1">
      <c r="Q25" s="310"/>
      <c r="R25" s="310"/>
      <c r="S25" s="3667" t="str">
        <f>IF(org=0,"Не определено",org)</f>
        <v>ООО "Смоленскрегионтеплоэнерго"</v>
      </c>
      <c r="T25" s="3667"/>
      <c r="U25" s="3667"/>
      <c r="V25" s="3667"/>
      <c r="W25" s="3667"/>
      <c r="X25" s="3667"/>
      <c r="Y25" s="3667"/>
      <c r="Z25" s="3667"/>
      <c r="AA25" s="3667"/>
      <c r="AB25" s="3667"/>
      <c r="AC25" s="3667"/>
      <c r="AD25" s="3667"/>
      <c r="AE25" s="3667"/>
      <c r="AF25" s="3667"/>
      <c r="AG25" s="3667"/>
      <c r="AH25" s="3667"/>
      <c r="AI25" s="3667"/>
      <c r="AJ25" s="3667"/>
      <c r="AK25" s="3667"/>
      <c r="AL25" s="3667"/>
      <c r="AM25" s="3667"/>
      <c r="AN25" s="3667"/>
      <c r="AO25" s="3667"/>
      <c r="AP25" s="3667"/>
      <c r="AQ25" s="1165"/>
      <c r="AY25" s="1077">
        <v>14</v>
      </c>
    </row>
    <row r="26" spans="1:51" ht="14.25" hidden="1" customHeight="1">
      <c r="Q26" s="310"/>
      <c r="R26" s="310"/>
      <c r="S26" s="1197"/>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7">
        <v>0</v>
      </c>
    </row>
    <row r="27" spans="1:51" s="1742" customFormat="1" ht="25.5" hidden="1" customHeight="1">
      <c r="A27" s="1290"/>
      <c r="B27" s="1290"/>
      <c r="C27" s="1290"/>
      <c r="D27" s="1290"/>
      <c r="E27" s="1290"/>
      <c r="F27" s="1290"/>
      <c r="G27" s="1290"/>
      <c r="H27" s="1290"/>
      <c r="I27" s="1290"/>
      <c r="J27" s="1290"/>
      <c r="K27" s="1290"/>
      <c r="L27" s="1291"/>
      <c r="M27" s="1290"/>
      <c r="N27" s="1290"/>
      <c r="O27" s="1290"/>
      <c r="S27"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729"/>
      <c r="U27" s="1294"/>
      <c r="V27" s="3730" t="str">
        <f>IF(TITLE_NAME_OR_PR_CHANGE="",IF(TITLE_NAME_OR_PR="","",TITLE_NAME_OR_PR),TITLE_NAME_OR_PR_CHANGE)</f>
        <v/>
      </c>
      <c r="W27" s="3730"/>
      <c r="X27" s="3730"/>
      <c r="Y27" s="3730"/>
      <c r="Z27" s="3730"/>
      <c r="AA27" s="3730"/>
      <c r="AB27" s="3730"/>
      <c r="AC27" s="3730"/>
      <c r="AD27" s="3730"/>
      <c r="AE27" s="3730"/>
      <c r="AF27" s="261"/>
      <c r="AG27" s="3730" t="str">
        <f>IF(TITLE_NAME_OR_PR_CHANGE="",IF(TITLE_NAME_OR_PR="","",TITLE_NAME_OR_PR),TITLE_NAME_OR_PR_CHANGE)</f>
        <v/>
      </c>
      <c r="AH27" s="3730"/>
      <c r="AI27" s="3730"/>
      <c r="AJ27" s="3730"/>
      <c r="AK27" s="3730"/>
      <c r="AL27" s="3730"/>
      <c r="AM27" s="3730"/>
      <c r="AN27" s="3730"/>
      <c r="AO27" s="3730"/>
      <c r="AP27" s="3730"/>
      <c r="AQ27" s="261"/>
      <c r="AR27" s="261"/>
      <c r="AS27" s="215"/>
      <c r="AT27" s="302"/>
      <c r="AU27" s="302"/>
      <c r="AV27" s="302"/>
      <c r="AW27" s="302"/>
      <c r="AX27" s="302"/>
      <c r="AY27" s="352">
        <v>0</v>
      </c>
    </row>
    <row r="28" spans="1:51" s="1742" customFormat="1" ht="18.75" hidden="1" customHeight="1">
      <c r="A28" s="1290"/>
      <c r="B28" s="1290"/>
      <c r="C28" s="1290"/>
      <c r="D28" s="1290"/>
      <c r="E28" s="1290"/>
      <c r="F28" s="1290"/>
      <c r="G28" s="1290"/>
      <c r="H28" s="1290"/>
      <c r="I28" s="1290"/>
      <c r="J28" s="1290"/>
      <c r="K28" s="1290"/>
      <c r="L28" s="1291"/>
      <c r="M28" s="1290"/>
      <c r="N28" s="1290"/>
      <c r="O28" s="1290"/>
      <c r="S28" s="3729" t="str">
        <f>"Дата документа об "&amp;IF(TITLE_DATE_PR_CHANGE="","утверждении","изменении")&amp;" тарифов"</f>
        <v>Дата документа об утверждении тарифов</v>
      </c>
      <c r="T28" s="3729"/>
      <c r="U28" s="1294"/>
      <c r="V28" s="3739" t="str">
        <f>IF(TITLE_DATE_PR_CHANGE="",IF(TITLE_DATE_PR="","",TITLE_DATE_PR),TITLE_DATE_PR_CHANGE)</f>
        <v/>
      </c>
      <c r="W28" s="3739"/>
      <c r="X28" s="3739"/>
      <c r="Y28" s="3739"/>
      <c r="Z28" s="3739"/>
      <c r="AA28" s="3739"/>
      <c r="AB28" s="3739"/>
      <c r="AC28" s="3739"/>
      <c r="AD28" s="3739"/>
      <c r="AE28" s="3739"/>
      <c r="AF28" s="261"/>
      <c r="AG28" s="3739" t="str">
        <f>IF(TITLE_DATE_PR_CHANGE="",IF(TITLE_DATE_PR="","",TITLE_DATE_PR),TITLE_DATE_PR_CHANGE)</f>
        <v/>
      </c>
      <c r="AH28" s="3739"/>
      <c r="AI28" s="3739"/>
      <c r="AJ28" s="3739"/>
      <c r="AK28" s="3739"/>
      <c r="AL28" s="3739"/>
      <c r="AM28" s="3739"/>
      <c r="AN28" s="3739"/>
      <c r="AO28" s="3739"/>
      <c r="AP28" s="3739"/>
      <c r="AQ28" s="261"/>
      <c r="AR28" s="261"/>
      <c r="AS28" s="215"/>
      <c r="AT28" s="302"/>
      <c r="AU28" s="302"/>
      <c r="AV28" s="302"/>
      <c r="AW28" s="302"/>
      <c r="AX28" s="302"/>
      <c r="AY28" s="352">
        <v>0</v>
      </c>
    </row>
    <row r="29" spans="1:51" s="1742" customFormat="1" ht="18.75" hidden="1" customHeight="1">
      <c r="A29" s="1290"/>
      <c r="B29" s="1290"/>
      <c r="C29" s="1290"/>
      <c r="D29" s="1290"/>
      <c r="E29" s="1290"/>
      <c r="F29" s="1290"/>
      <c r="G29" s="1290"/>
      <c r="H29" s="1290"/>
      <c r="I29" s="1290"/>
      <c r="J29" s="1290"/>
      <c r="K29" s="1290"/>
      <c r="L29" s="1291"/>
      <c r="M29" s="1290"/>
      <c r="N29" s="1290"/>
      <c r="O29" s="1290"/>
      <c r="S29" s="3729" t="str">
        <f>"Номер документа об "&amp;IF(TITLE_DATE_PR_CHANGE="","утверждении","изменении")&amp;" тарифов"</f>
        <v>Номер документа об утверждении тарифов</v>
      </c>
      <c r="T29" s="3729"/>
      <c r="U29" s="1294"/>
      <c r="V29" s="3730" t="str">
        <f>IF(TITLE_NUMBER_PR_CHANGE="",IF(TITLE_NUMBER_PR="","",TITLE_NUMBER_PR),TITLE_NUMBER_PR_CHANGE)</f>
        <v/>
      </c>
      <c r="W29" s="3730"/>
      <c r="X29" s="3730"/>
      <c r="Y29" s="3730"/>
      <c r="Z29" s="3730"/>
      <c r="AA29" s="3730"/>
      <c r="AB29" s="3730"/>
      <c r="AC29" s="3730"/>
      <c r="AD29" s="3730"/>
      <c r="AE29" s="3730"/>
      <c r="AF29" s="261"/>
      <c r="AG29" s="3730" t="str">
        <f>IF(TITLE_NUMBER_PR_CHANGE="",IF(TITLE_NUMBER_PR="","",TITLE_NUMBER_PR),TITLE_NUMBER_PR_CHANGE)</f>
        <v/>
      </c>
      <c r="AH29" s="3730"/>
      <c r="AI29" s="3730"/>
      <c r="AJ29" s="3730"/>
      <c r="AK29" s="3730"/>
      <c r="AL29" s="3730"/>
      <c r="AM29" s="3730"/>
      <c r="AN29" s="3730"/>
      <c r="AO29" s="3730"/>
      <c r="AP29" s="3730"/>
      <c r="AQ29" s="261"/>
      <c r="AR29" s="261"/>
      <c r="AS29" s="215"/>
      <c r="AT29" s="302"/>
      <c r="AU29" s="302"/>
      <c r="AV29" s="302"/>
      <c r="AW29" s="302"/>
      <c r="AX29" s="302"/>
      <c r="AY29" s="352">
        <v>0</v>
      </c>
    </row>
    <row r="30" spans="1:51" s="1742" customFormat="1" ht="18.75" hidden="1" customHeight="1">
      <c r="A30" s="1290"/>
      <c r="B30" s="1290"/>
      <c r="C30" s="1290"/>
      <c r="D30" s="1290"/>
      <c r="E30" s="1290"/>
      <c r="F30" s="1290"/>
      <c r="G30" s="1290"/>
      <c r="H30" s="1290"/>
      <c r="I30" s="1290"/>
      <c r="J30" s="1290"/>
      <c r="K30" s="1290"/>
      <c r="L30" s="1291"/>
      <c r="M30" s="1290"/>
      <c r="N30" s="1290"/>
      <c r="O30" s="1290"/>
      <c r="S30" s="3729" t="s">
        <v>30</v>
      </c>
      <c r="T30" s="3729"/>
      <c r="U30" s="1294"/>
      <c r="V30" s="3730" t="str">
        <f>IF(TITLE_IST_PUB_CHANGE="",IF(TITLE_IST_PUB="","",TITLE_IST_PUB),TITLE_IST_PUB_CHANGE)</f>
        <v/>
      </c>
      <c r="W30" s="3730"/>
      <c r="X30" s="3730"/>
      <c r="Y30" s="3730"/>
      <c r="Z30" s="3730"/>
      <c r="AA30" s="3730"/>
      <c r="AB30" s="3730"/>
      <c r="AC30" s="3730"/>
      <c r="AD30" s="3730"/>
      <c r="AE30" s="3730"/>
      <c r="AF30" s="261"/>
      <c r="AG30" s="3730" t="str">
        <f>IF(TITLE_IST_PUB_CHANGE="",IF(TITLE_IST_PUB="","",TITLE_IST_PUB),TITLE_IST_PUB_CHANGE)</f>
        <v/>
      </c>
      <c r="AH30" s="3730"/>
      <c r="AI30" s="3730"/>
      <c r="AJ30" s="3730"/>
      <c r="AK30" s="3730"/>
      <c r="AL30" s="3730"/>
      <c r="AM30" s="3730"/>
      <c r="AN30" s="3730"/>
      <c r="AO30" s="3730"/>
      <c r="AP30" s="3730"/>
      <c r="AQ30" s="261"/>
      <c r="AR30" s="261"/>
      <c r="AS30" s="215"/>
      <c r="AT30" s="302"/>
      <c r="AU30" s="302"/>
      <c r="AV30" s="302"/>
      <c r="AW30" s="302"/>
      <c r="AX30" s="302"/>
      <c r="AY30" s="352">
        <v>0</v>
      </c>
    </row>
    <row r="31" spans="1:51" ht="14.25" hidden="1" customHeight="1">
      <c r="Q31" s="310"/>
      <c r="R31" s="310"/>
      <c r="S31" s="1197"/>
      <c r="T31" s="391"/>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7">
        <v>0</v>
      </c>
    </row>
    <row r="32" spans="1:51" s="1742" customFormat="1" ht="18.75" hidden="1" customHeight="1">
      <c r="A32" s="1290"/>
      <c r="B32" s="1290"/>
      <c r="C32" s="1290"/>
      <c r="D32" s="1290"/>
      <c r="E32" s="1290"/>
      <c r="F32" s="1290"/>
      <c r="G32" s="1290"/>
      <c r="H32" s="1290"/>
      <c r="I32" s="1290"/>
      <c r="J32" s="1290"/>
      <c r="K32" s="1290"/>
      <c r="L32" s="1291"/>
      <c r="M32" s="1290"/>
      <c r="N32" s="1290"/>
      <c r="O32" s="1290"/>
      <c r="S32" s="3729" t="str">
        <f>"Дата подачи заявления об "&amp;IF(TITLE_DATE_PR_CHANGE="","утверждении","изменении")&amp;" тарифов"</f>
        <v>Дата подачи заявления об утверждении тарифов</v>
      </c>
      <c r="T32" s="3729"/>
      <c r="U32" s="1294"/>
      <c r="V32" s="3739" t="str">
        <f>IF(TITLE_DATE_PR_CHANGE="",IF(TITLE_DATE_PR="","",TITLE_DATE_PR),TITLE_DATE_PR_CHANGE)</f>
        <v/>
      </c>
      <c r="W32" s="3739"/>
      <c r="X32" s="3739"/>
      <c r="Y32" s="3739"/>
      <c r="Z32" s="3739"/>
      <c r="AA32" s="3739"/>
      <c r="AB32" s="3739"/>
      <c r="AC32" s="3739"/>
      <c r="AD32" s="3739"/>
      <c r="AE32" s="3739"/>
      <c r="AF32" s="261"/>
      <c r="AG32" s="3739" t="str">
        <f>IF(TITLE_DATE_PR_CHANGE="",IF(TITLE_DATE_PR="","",TITLE_DATE_PR),TITLE_DATE_PR_CHANGE)</f>
        <v/>
      </c>
      <c r="AH32" s="3739"/>
      <c r="AI32" s="3739"/>
      <c r="AJ32" s="3739"/>
      <c r="AK32" s="3739"/>
      <c r="AL32" s="3739"/>
      <c r="AM32" s="3739"/>
      <c r="AN32" s="3739"/>
      <c r="AO32" s="3739"/>
      <c r="AP32" s="3739"/>
      <c r="AQ32" s="261"/>
      <c r="AR32" s="261"/>
      <c r="AS32" s="215"/>
      <c r="AT32" s="302"/>
      <c r="AU32" s="302"/>
      <c r="AV32" s="302"/>
      <c r="AW32" s="302"/>
      <c r="AX32" s="302"/>
      <c r="AY32" s="352">
        <v>0</v>
      </c>
    </row>
    <row r="33" spans="1:51" s="1742" customFormat="1" ht="18.75" hidden="1" customHeight="1">
      <c r="A33" s="1290"/>
      <c r="B33" s="1290"/>
      <c r="C33" s="1290"/>
      <c r="D33" s="1290"/>
      <c r="E33" s="1290"/>
      <c r="F33" s="1290"/>
      <c r="G33" s="1290"/>
      <c r="H33" s="1290"/>
      <c r="I33" s="1290"/>
      <c r="J33" s="1290"/>
      <c r="K33" s="1290"/>
      <c r="L33" s="1291"/>
      <c r="M33" s="1290"/>
      <c r="N33" s="1290"/>
      <c r="O33" s="1290"/>
      <c r="S33" s="3729" t="str">
        <f>"Номер подачи заявления об "&amp;IF(TITLE_DATE_PR_CHANGE="","утверждении","изменении")&amp;" тарифов"</f>
        <v>Номер подачи заявления об утверждении тарифов</v>
      </c>
      <c r="T33" s="3729"/>
      <c r="U33" s="1294"/>
      <c r="V33" s="3730" t="str">
        <f>IF(TITLE_NUMBER_PR_CHANGE="",IF(TITLE_NUMBER_PR="","",TITLE_NUMBER_PR),TITLE_NUMBER_PR_CHANGE)</f>
        <v/>
      </c>
      <c r="W33" s="3730"/>
      <c r="X33" s="3730"/>
      <c r="Y33" s="3730"/>
      <c r="Z33" s="3730"/>
      <c r="AA33" s="3730"/>
      <c r="AB33" s="3730"/>
      <c r="AC33" s="3730"/>
      <c r="AD33" s="3730"/>
      <c r="AE33" s="3730"/>
      <c r="AF33" s="261"/>
      <c r="AG33" s="3730" t="str">
        <f>IF(TITLE_NUMBER_PR_CHANGE="",IF(TITLE_NUMBER_PR="","",TITLE_NUMBER_PR),TITLE_NUMBER_PR_CHANGE)</f>
        <v/>
      </c>
      <c r="AH33" s="3730"/>
      <c r="AI33" s="3730"/>
      <c r="AJ33" s="3730"/>
      <c r="AK33" s="3730"/>
      <c r="AL33" s="3730"/>
      <c r="AM33" s="3730"/>
      <c r="AN33" s="3730"/>
      <c r="AO33" s="3730"/>
      <c r="AP33" s="3730"/>
      <c r="AQ33" s="261"/>
      <c r="AR33" s="261"/>
      <c r="AS33" s="215"/>
      <c r="AT33" s="302"/>
      <c r="AU33" s="302"/>
      <c r="AV33" s="302"/>
      <c r="AW33" s="302"/>
      <c r="AX33" s="302"/>
      <c r="AY33" s="352">
        <v>0</v>
      </c>
    </row>
    <row r="34" spans="1:51" s="1742"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1557"/>
      <c r="X34" s="1557"/>
      <c r="Y34" s="1557"/>
      <c r="Z34" s="1557"/>
      <c r="AA34" s="1557"/>
      <c r="AB34" s="261"/>
      <c r="AC34" s="261"/>
      <c r="AD34" s="261"/>
      <c r="AE34" s="261"/>
      <c r="AF34" s="213" t="s">
        <v>468</v>
      </c>
      <c r="AG34" s="261"/>
      <c r="AH34" s="1557"/>
      <c r="AI34" s="1557"/>
      <c r="AJ34" s="1557"/>
      <c r="AK34" s="1557"/>
      <c r="AL34" s="1557"/>
      <c r="AM34" s="261"/>
      <c r="AN34" s="261"/>
      <c r="AO34" s="261"/>
      <c r="AP34" s="261"/>
      <c r="AQ34" s="213" t="s">
        <v>468</v>
      </c>
      <c r="AT34" s="302"/>
      <c r="AU34" s="302"/>
      <c r="AV34" s="302"/>
      <c r="AW34" s="302"/>
      <c r="AX34" s="302"/>
      <c r="AY34" s="352">
        <v>1</v>
      </c>
    </row>
    <row r="35" spans="1:51" ht="14.65" customHeight="1">
      <c r="Q35" s="310"/>
      <c r="R35" s="310"/>
      <c r="S35" s="1197"/>
      <c r="T35" s="297"/>
      <c r="U35" s="1166"/>
      <c r="V35" s="3731"/>
      <c r="W35" s="3731"/>
      <c r="X35" s="3731"/>
      <c r="Y35" s="3731"/>
      <c r="Z35" s="3731"/>
      <c r="AA35" s="3731"/>
      <c r="AB35" s="3731"/>
      <c r="AC35" s="3731"/>
      <c r="AD35" s="3731"/>
      <c r="AE35" s="3731"/>
      <c r="AF35" s="3731"/>
      <c r="AG35" s="3731"/>
      <c r="AH35" s="3731"/>
      <c r="AI35" s="3731"/>
      <c r="AJ35" s="3731"/>
      <c r="AK35" s="3731"/>
      <c r="AL35" s="3731"/>
      <c r="AM35" s="3731"/>
      <c r="AN35" s="3731"/>
      <c r="AO35" s="3731"/>
      <c r="AP35" s="3731"/>
      <c r="AQ35" s="3731"/>
      <c r="AY35" s="1077">
        <v>14</v>
      </c>
    </row>
    <row r="36" spans="1:51" ht="14.65" customHeight="1">
      <c r="Q36" s="310"/>
      <c r="R36" s="310"/>
      <c r="S36" s="3618" t="s">
        <v>345</v>
      </c>
      <c r="T36" s="3618"/>
      <c r="U36" s="3618"/>
      <c r="V36" s="3618"/>
      <c r="W36" s="3618"/>
      <c r="X36" s="3618"/>
      <c r="Y36" s="3618"/>
      <c r="Z36" s="3618"/>
      <c r="AA36" s="3618"/>
      <c r="AB36" s="3618"/>
      <c r="AC36" s="3618"/>
      <c r="AD36" s="3618"/>
      <c r="AE36" s="3618"/>
      <c r="AF36" s="3618"/>
      <c r="AG36" s="3618"/>
      <c r="AH36" s="3618"/>
      <c r="AI36" s="3618"/>
      <c r="AJ36" s="3618"/>
      <c r="AK36" s="3618"/>
      <c r="AL36" s="3618"/>
      <c r="AM36" s="3618"/>
      <c r="AN36" s="3618"/>
      <c r="AO36" s="3618"/>
      <c r="AP36" s="3618"/>
      <c r="AQ36" s="3618"/>
      <c r="AR36" s="3618"/>
      <c r="AS36" s="3618" t="s">
        <v>346</v>
      </c>
      <c r="AY36" s="1077">
        <v>14</v>
      </c>
    </row>
    <row r="37" spans="1:51" ht="14.65" customHeight="1">
      <c r="Q37" s="310"/>
      <c r="R37" s="310"/>
      <c r="S37" s="3745" t="s">
        <v>76</v>
      </c>
      <c r="T37" s="3697" t="s">
        <v>469</v>
      </c>
      <c r="U37" s="236"/>
      <c r="V37" s="3746" t="s">
        <v>470</v>
      </c>
      <c r="W37" s="3747"/>
      <c r="X37" s="3747"/>
      <c r="Y37" s="3747"/>
      <c r="Z37" s="3747"/>
      <c r="AA37" s="3747"/>
      <c r="AB37" s="3747"/>
      <c r="AC37" s="3747"/>
      <c r="AD37" s="3747"/>
      <c r="AE37" s="3748"/>
      <c r="AF37" s="3749" t="s">
        <v>471</v>
      </c>
      <c r="AG37" s="3746" t="s">
        <v>470</v>
      </c>
      <c r="AH37" s="3747"/>
      <c r="AI37" s="3747"/>
      <c r="AJ37" s="3747"/>
      <c r="AK37" s="3747"/>
      <c r="AL37" s="3747"/>
      <c r="AM37" s="3747"/>
      <c r="AN37" s="3747"/>
      <c r="AO37" s="3747"/>
      <c r="AP37" s="3748"/>
      <c r="AQ37" s="3749" t="s">
        <v>472</v>
      </c>
      <c r="AR37" s="3752" t="s">
        <v>473</v>
      </c>
      <c r="AS37" s="3618"/>
      <c r="AY37" s="1077">
        <v>14</v>
      </c>
    </row>
    <row r="38" spans="1:51" s="1557" customFormat="1" ht="19.899999999999999" customHeight="1">
      <c r="A38" s="1288"/>
      <c r="B38" s="1288"/>
      <c r="C38" s="1288"/>
      <c r="D38" s="1288"/>
      <c r="E38" s="1288"/>
      <c r="F38" s="1288"/>
      <c r="G38" s="1288"/>
      <c r="H38" s="1288"/>
      <c r="I38" s="1288"/>
      <c r="J38" s="1288"/>
      <c r="K38" s="1288"/>
      <c r="L38" s="1866"/>
      <c r="M38" s="1284"/>
      <c r="N38" s="1284"/>
      <c r="O38" s="1284"/>
      <c r="P38" s="1867"/>
      <c r="Q38" s="310"/>
      <c r="R38" s="310"/>
      <c r="S38" s="3745"/>
      <c r="T38" s="3697"/>
      <c r="U38" s="957"/>
      <c r="V38" s="3618" t="s">
        <v>575</v>
      </c>
      <c r="W38" s="3821" t="s">
        <v>576</v>
      </c>
      <c r="X38" s="3821"/>
      <c r="Y38" s="3821"/>
      <c r="Z38" s="3821" t="s">
        <v>577</v>
      </c>
      <c r="AA38" s="3821"/>
      <c r="AB38" s="3821"/>
      <c r="AC38" s="3683" t="s">
        <v>477</v>
      </c>
      <c r="AD38" s="3777"/>
      <c r="AE38" s="3684"/>
      <c r="AF38" s="3750"/>
      <c r="AG38" s="3618" t="s">
        <v>575</v>
      </c>
      <c r="AH38" s="3821" t="s">
        <v>576</v>
      </c>
      <c r="AI38" s="3821"/>
      <c r="AJ38" s="3821"/>
      <c r="AK38" s="3821" t="s">
        <v>577</v>
      </c>
      <c r="AL38" s="3821"/>
      <c r="AM38" s="3821"/>
      <c r="AN38" s="3683" t="s">
        <v>477</v>
      </c>
      <c r="AO38" s="3777"/>
      <c r="AP38" s="3684"/>
      <c r="AQ38" s="3750"/>
      <c r="AR38" s="3753"/>
      <c r="AS38" s="3618"/>
      <c r="AT38" s="1558"/>
      <c r="AU38" s="1558"/>
      <c r="AV38" s="1558"/>
      <c r="AW38" s="1558"/>
      <c r="AX38" s="1558"/>
      <c r="AY38" s="1553">
        <v>19</v>
      </c>
    </row>
    <row r="39" spans="1:51" ht="19.899999999999999" customHeight="1">
      <c r="Q39" s="310"/>
      <c r="R39" s="310"/>
      <c r="S39" s="3745"/>
      <c r="T39" s="3697"/>
      <c r="U39" s="957"/>
      <c r="V39" s="3618"/>
      <c r="W39" s="3821" t="s">
        <v>578</v>
      </c>
      <c r="X39" s="3821" t="s">
        <v>579</v>
      </c>
      <c r="Y39" s="3821"/>
      <c r="Z39" s="3821" t="s">
        <v>580</v>
      </c>
      <c r="AA39" s="3821" t="s">
        <v>579</v>
      </c>
      <c r="AB39" s="3821"/>
      <c r="AC39" s="3688"/>
      <c r="AD39" s="3778"/>
      <c r="AE39" s="3689"/>
      <c r="AF39" s="3750"/>
      <c r="AG39" s="3618"/>
      <c r="AH39" s="3821" t="s">
        <v>578</v>
      </c>
      <c r="AI39" s="3821" t="s">
        <v>579</v>
      </c>
      <c r="AJ39" s="3821"/>
      <c r="AK39" s="3821" t="s">
        <v>580</v>
      </c>
      <c r="AL39" s="3821" t="s">
        <v>579</v>
      </c>
      <c r="AM39" s="3821"/>
      <c r="AN39" s="3688"/>
      <c r="AO39" s="3778"/>
      <c r="AP39" s="3689"/>
      <c r="AQ39" s="3750"/>
      <c r="AR39" s="3753"/>
      <c r="AS39" s="3618"/>
      <c r="AY39" s="1077">
        <v>19</v>
      </c>
    </row>
    <row r="40" spans="1:51" ht="61.9" customHeight="1">
      <c r="A40" s="1292"/>
      <c r="B40" s="1292" t="s">
        <v>188</v>
      </c>
      <c r="C40" s="1292" t="s">
        <v>189</v>
      </c>
      <c r="D40" s="1292" t="s">
        <v>190</v>
      </c>
      <c r="E40" s="1286" t="s">
        <v>478</v>
      </c>
      <c r="F40" s="1286" t="s">
        <v>479</v>
      </c>
      <c r="G40" s="1286" t="s">
        <v>480</v>
      </c>
      <c r="H40" s="1286"/>
      <c r="I40" s="1286" t="s">
        <v>533</v>
      </c>
      <c r="J40" s="1286" t="s">
        <v>483</v>
      </c>
      <c r="K40" s="1286" t="s">
        <v>534</v>
      </c>
      <c r="L40" s="1286" t="s">
        <v>463</v>
      </c>
      <c r="Q40" s="310"/>
      <c r="R40" s="310"/>
      <c r="S40" s="3745"/>
      <c r="T40" s="3697"/>
      <c r="U40" s="237"/>
      <c r="V40" s="3618"/>
      <c r="W40" s="3821"/>
      <c r="X40" s="1869" t="s">
        <v>581</v>
      </c>
      <c r="Y40" s="1869" t="s">
        <v>582</v>
      </c>
      <c r="Z40" s="3821"/>
      <c r="AA40" s="1869" t="s">
        <v>583</v>
      </c>
      <c r="AB40" s="1869" t="s">
        <v>584</v>
      </c>
      <c r="AC40" s="1411" t="s">
        <v>487</v>
      </c>
      <c r="AD40" s="3705" t="s">
        <v>488</v>
      </c>
      <c r="AE40" s="3707"/>
      <c r="AF40" s="3751"/>
      <c r="AG40" s="3618"/>
      <c r="AH40" s="3821"/>
      <c r="AI40" s="1869" t="s">
        <v>581</v>
      </c>
      <c r="AJ40" s="1869" t="s">
        <v>582</v>
      </c>
      <c r="AK40" s="3821"/>
      <c r="AL40" s="1869" t="s">
        <v>583</v>
      </c>
      <c r="AM40" s="1869" t="s">
        <v>584</v>
      </c>
      <c r="AN40" s="1411" t="s">
        <v>487</v>
      </c>
      <c r="AO40" s="3705" t="s">
        <v>488</v>
      </c>
      <c r="AP40" s="3707"/>
      <c r="AQ40" s="3751"/>
      <c r="AR40" s="3754"/>
      <c r="AS40" s="3618"/>
      <c r="AY40" s="1077">
        <v>59</v>
      </c>
    </row>
    <row r="41" spans="1:51" s="1563" customFormat="1" ht="11.25" hidden="1" customHeight="1">
      <c r="A41" s="1292"/>
      <c r="B41" s="1292"/>
      <c r="C41" s="1292"/>
      <c r="D41" s="1292"/>
      <c r="E41" s="1292"/>
      <c r="F41" s="1292"/>
      <c r="G41" s="1292"/>
      <c r="H41" s="1292"/>
      <c r="I41" s="1292"/>
      <c r="J41" s="1292"/>
      <c r="K41" s="1292"/>
      <c r="L41" s="1286"/>
      <c r="M41" s="1284"/>
      <c r="N41" s="1284"/>
      <c r="O41" s="1284"/>
      <c r="P41" s="1168"/>
      <c r="Q41" s="1169"/>
      <c r="R41" s="1176">
        <v>1</v>
      </c>
      <c r="S41" s="1199" t="s">
        <v>164</v>
      </c>
      <c r="T41" s="1177" t="s">
        <v>89</v>
      </c>
      <c r="U41" s="1167" t="str">
        <f ca="1">OFFSET(U41,0,-1)</f>
        <v>2</v>
      </c>
      <c r="V41" s="1404">
        <f ca="1">OFFSET(V41,0,-1)+1</f>
        <v>3</v>
      </c>
      <c r="W41" s="1865"/>
      <c r="X41" s="1865"/>
      <c r="Y41" s="1865"/>
      <c r="Z41" s="1865"/>
      <c r="AA41" s="1865"/>
      <c r="AB41" s="1404">
        <f ca="1">OFFSET(AB41,0,-1)+1</f>
        <v>1</v>
      </c>
      <c r="AC41" s="1404">
        <f ca="1">OFFSET(AC41,0,-1)+1</f>
        <v>2</v>
      </c>
      <c r="AD41" s="3744">
        <f ca="1">OFFSET(AD41,0,-1)+1</f>
        <v>3</v>
      </c>
      <c r="AE41" s="3744"/>
      <c r="AF41" s="1404">
        <f ca="1">OFFSET(AF41,0,-2)+1</f>
        <v>4</v>
      </c>
      <c r="AG41" s="1404">
        <f ca="1">OFFSET(AG41,0,-1)+1</f>
        <v>5</v>
      </c>
      <c r="AH41" s="1865"/>
      <c r="AI41" s="1865"/>
      <c r="AJ41" s="1865"/>
      <c r="AK41" s="1865"/>
      <c r="AL41" s="1865"/>
      <c r="AM41" s="1404">
        <f ca="1">OFFSET(AM41,0,-1)+1</f>
        <v>1</v>
      </c>
      <c r="AN41" s="1404">
        <f ca="1">OFFSET(AN41,0,-1)+1</f>
        <v>2</v>
      </c>
      <c r="AO41" s="3744">
        <f ca="1">OFFSET(AO41,0,-1)+1</f>
        <v>3</v>
      </c>
      <c r="AP41" s="3744"/>
      <c r="AQ41" s="1404">
        <f ca="1">OFFSET(AQ41,0,-2)+1</f>
        <v>4</v>
      </c>
      <c r="AR41" s="1167">
        <f ca="1">OFFSET(AR41,0,-1)</f>
        <v>4</v>
      </c>
      <c r="AS41" s="1404">
        <f ca="1">OFFSET(AS41,0,-1)+1</f>
        <v>5</v>
      </c>
      <c r="AT41" s="445"/>
      <c r="AU41" s="445"/>
      <c r="AV41" s="445"/>
      <c r="AW41" s="445"/>
      <c r="AX41" s="445"/>
      <c r="AY41" s="430">
        <v>0</v>
      </c>
    </row>
    <row r="42" spans="1:51" ht="24" customHeight="1">
      <c r="A42" s="1285" t="s">
        <v>301</v>
      </c>
      <c r="B42" s="1285"/>
      <c r="C42" s="1285"/>
      <c r="D42" s="1285"/>
      <c r="E42" s="3737">
        <v>1</v>
      </c>
      <c r="F42" s="1285"/>
      <c r="G42" s="1285"/>
      <c r="H42" s="1285"/>
      <c r="I42" s="1285"/>
      <c r="J42" s="1285"/>
      <c r="K42" s="1285"/>
      <c r="L42" s="1286"/>
      <c r="M42" s="1287"/>
      <c r="N42" s="1287"/>
      <c r="O42" s="1287"/>
      <c r="P42" s="295"/>
      <c r="Q42" s="294"/>
      <c r="R42" s="289"/>
      <c r="S42" s="1415">
        <f>INDEX(PT_DIFFERENTIATION_NUM_NTAR,MATCH(A42,PT_DIFFERENTIATION_NTAR_ID,0))</f>
        <v>0</v>
      </c>
      <c r="T42" s="233" t="s">
        <v>176</v>
      </c>
      <c r="U42" s="235"/>
      <c r="V42" s="3723"/>
      <c r="W42" s="3724"/>
      <c r="X42" s="3724"/>
      <c r="Y42" s="3724"/>
      <c r="Z42" s="3724"/>
      <c r="AA42" s="3724"/>
      <c r="AB42" s="3724"/>
      <c r="AC42" s="3724"/>
      <c r="AD42" s="3724"/>
      <c r="AE42" s="3724"/>
      <c r="AF42" s="3725"/>
      <c r="AG42" s="3723" t="str">
        <f>INDEX(PT_DIFFERENTIATION_NTAR,MATCH(A42,PT_DIFFERENTIATION_NTAR_ID,0))</f>
        <v/>
      </c>
      <c r="AH42" s="3724"/>
      <c r="AI42" s="3724"/>
      <c r="AJ42" s="3724"/>
      <c r="AK42" s="3724"/>
      <c r="AL42" s="3724"/>
      <c r="AM42" s="3724"/>
      <c r="AN42" s="3724"/>
      <c r="AO42" s="3724"/>
      <c r="AP42" s="3724"/>
      <c r="AQ42" s="3724"/>
      <c r="AR42" s="3725"/>
      <c r="AS4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7">
        <v>23</v>
      </c>
    </row>
    <row r="43" spans="1:51" ht="24" customHeight="1">
      <c r="A43" s="1285" t="s">
        <v>301</v>
      </c>
      <c r="B43" s="1285" t="s">
        <v>302</v>
      </c>
      <c r="C43" s="1285"/>
      <c r="D43" s="1285"/>
      <c r="E43" s="3738"/>
      <c r="F43" s="3737">
        <v>1</v>
      </c>
      <c r="G43" s="1285"/>
      <c r="H43" s="1285"/>
      <c r="I43" s="1285"/>
      <c r="J43" s="1285"/>
      <c r="K43" s="1285"/>
      <c r="L43" s="1286"/>
      <c r="M43" s="1287"/>
      <c r="N43" s="1287"/>
      <c r="O43" s="1287"/>
      <c r="P43" s="1409"/>
      <c r="Q43" s="286"/>
      <c r="R43" s="287"/>
      <c r="S43" s="1415" t="str">
        <f>INDEX(PT_DIFFERENTIATION_NUM_TER,MATCH(B43,PT_DIFFERENTIATION_TER_ID,0))</f>
        <v>.</v>
      </c>
      <c r="T43" s="243" t="s">
        <v>442</v>
      </c>
      <c r="U43" s="235"/>
      <c r="V43" s="3723"/>
      <c r="W43" s="3724"/>
      <c r="X43" s="3724"/>
      <c r="Y43" s="3724"/>
      <c r="Z43" s="3724"/>
      <c r="AA43" s="3724"/>
      <c r="AB43" s="3724"/>
      <c r="AC43" s="3724"/>
      <c r="AD43" s="3724"/>
      <c r="AE43" s="3724"/>
      <c r="AF43" s="3725"/>
      <c r="AG43" s="3723" t="str">
        <f>INDEX(PT_DIFFERENTIATION_TER,MATCH(B43,PT_DIFFERENTIATION_TER_ID,0))</f>
        <v/>
      </c>
      <c r="AH43" s="3724"/>
      <c r="AI43" s="3724"/>
      <c r="AJ43" s="3724"/>
      <c r="AK43" s="3724"/>
      <c r="AL43" s="3724"/>
      <c r="AM43" s="3724"/>
      <c r="AN43" s="3724"/>
      <c r="AO43" s="3724"/>
      <c r="AP43" s="3724"/>
      <c r="AQ43" s="3724"/>
      <c r="AR43" s="3725"/>
      <c r="AS43" s="1180" t="s">
        <v>443</v>
      </c>
      <c r="AU43" s="434"/>
      <c r="AV43" s="434" t="str">
        <f t="shared" si="1"/>
        <v>Территория действия тарифа</v>
      </c>
      <c r="AW43" s="434"/>
      <c r="AX43" s="434"/>
      <c r="AY43" s="1077">
        <v>23</v>
      </c>
    </row>
    <row r="44" spans="1:51" ht="24" customHeight="1">
      <c r="A44" s="1285" t="s">
        <v>301</v>
      </c>
      <c r="B44" s="1285" t="s">
        <v>302</v>
      </c>
      <c r="C44" s="1285" t="s">
        <v>303</v>
      </c>
      <c r="D44" s="1285"/>
      <c r="E44" s="3738"/>
      <c r="F44" s="3738"/>
      <c r="G44" s="3737">
        <v>1</v>
      </c>
      <c r="H44" s="1285"/>
      <c r="I44" s="1285"/>
      <c r="J44" s="1285"/>
      <c r="K44" s="1285"/>
      <c r="L44" s="1286"/>
      <c r="M44" s="1287"/>
      <c r="N44" s="1287"/>
      <c r="O44" s="1287"/>
      <c r="P44" s="288"/>
      <c r="Q44" s="286"/>
      <c r="R44" s="287"/>
      <c r="S44" s="1415" t="str">
        <f>INDEX(PT_DIFFERENTIATION_NUM_CS,MATCH(C44,PT_DIFFERENTIATION_CS_ID,0))</f>
        <v>..</v>
      </c>
      <c r="T44" s="244" t="s">
        <v>573</v>
      </c>
      <c r="U44" s="235"/>
      <c r="V44" s="3723"/>
      <c r="W44" s="3724"/>
      <c r="X44" s="3724"/>
      <c r="Y44" s="3724"/>
      <c r="Z44" s="3724"/>
      <c r="AA44" s="3724"/>
      <c r="AB44" s="3724"/>
      <c r="AC44" s="3724"/>
      <c r="AD44" s="3724"/>
      <c r="AE44" s="3724"/>
      <c r="AF44" s="3725"/>
      <c r="AG44" s="3723" t="str">
        <f>INDEX(PT_DIFFERENTIATION_CS,MATCH(C44,PT_DIFFERENTIATION_CS_ID,0))</f>
        <v/>
      </c>
      <c r="AH44" s="3724"/>
      <c r="AI44" s="3724"/>
      <c r="AJ44" s="3724"/>
      <c r="AK44" s="3724"/>
      <c r="AL44" s="3724"/>
      <c r="AM44" s="3724"/>
      <c r="AN44" s="3724"/>
      <c r="AO44" s="3724"/>
      <c r="AP44" s="3724"/>
      <c r="AQ44" s="3724"/>
      <c r="AR44" s="3725"/>
      <c r="AS44" s="1180" t="s">
        <v>574</v>
      </c>
      <c r="AU44" s="434"/>
      <c r="AV44" s="434" t="str">
        <f t="shared" si="1"/>
        <v>Наименование централизованной системы горячего водоснабжения</v>
      </c>
      <c r="AW44" s="434"/>
      <c r="AX44" s="434"/>
      <c r="AY44" s="1077">
        <v>23</v>
      </c>
    </row>
    <row r="45" spans="1:51" ht="24" customHeight="1">
      <c r="A45" s="1285" t="s">
        <v>301</v>
      </c>
      <c r="B45" s="1285" t="s">
        <v>302</v>
      </c>
      <c r="C45" s="1285" t="s">
        <v>303</v>
      </c>
      <c r="D45" s="1285" t="s">
        <v>586</v>
      </c>
      <c r="E45" s="3738"/>
      <c r="F45" s="3738"/>
      <c r="G45" s="3738"/>
      <c r="H45" s="3738"/>
      <c r="I45" s="3735" t="str">
        <f>S44&amp;".1"</f>
        <v>...1</v>
      </c>
      <c r="J45" s="1285"/>
      <c r="K45" s="1285"/>
      <c r="L45" s="1286"/>
      <c r="P45" s="3736">
        <v>1</v>
      </c>
      <c r="Q45" s="1403"/>
      <c r="R45" s="290"/>
      <c r="S45" s="1415" t="str">
        <f>$I45</f>
        <v>...1</v>
      </c>
      <c r="T45" s="220" t="s">
        <v>526</v>
      </c>
      <c r="U45" s="235"/>
      <c r="V45" s="3807"/>
      <c r="W45" s="3808"/>
      <c r="X45" s="3808"/>
      <c r="Y45" s="3808"/>
      <c r="Z45" s="3808"/>
      <c r="AA45" s="3808"/>
      <c r="AB45" s="3808"/>
      <c r="AC45" s="3808"/>
      <c r="AD45" s="3808"/>
      <c r="AE45" s="3808"/>
      <c r="AF45" s="3809"/>
      <c r="AG45" s="3810"/>
      <c r="AH45" s="3811"/>
      <c r="AI45" s="3811"/>
      <c r="AJ45" s="3811"/>
      <c r="AK45" s="3811"/>
      <c r="AL45" s="3811"/>
      <c r="AM45" s="3811"/>
      <c r="AN45" s="3811"/>
      <c r="AO45" s="3811"/>
      <c r="AP45" s="3811"/>
      <c r="AQ45" s="3811"/>
      <c r="AR45" s="3812"/>
      <c r="AS45" s="1180" t="s">
        <v>527</v>
      </c>
      <c r="AU45" s="434"/>
      <c r="AV45" s="434" t="str">
        <f t="shared" si="1"/>
        <v>Наименование признака дифференциации</v>
      </c>
      <c r="AW45" s="434"/>
      <c r="AX45" s="434"/>
      <c r="AY45" s="1077">
        <v>23</v>
      </c>
    </row>
    <row r="46" spans="1:51" ht="24" customHeight="1">
      <c r="A46" s="1285" t="s">
        <v>301</v>
      </c>
      <c r="B46" s="1285" t="s">
        <v>302</v>
      </c>
      <c r="C46" s="1285" t="s">
        <v>303</v>
      </c>
      <c r="D46" s="1285" t="s">
        <v>586</v>
      </c>
      <c r="E46" s="3738"/>
      <c r="F46" s="3738"/>
      <c r="G46" s="3738"/>
      <c r="H46" s="3738"/>
      <c r="I46" s="3758"/>
      <c r="J46" s="3735" t="str">
        <f>I45&amp;".1"</f>
        <v>...1.1</v>
      </c>
      <c r="K46" s="1285"/>
      <c r="L46" s="1286" t="s">
        <v>451</v>
      </c>
      <c r="P46" s="3736"/>
      <c r="Q46" s="3736">
        <v>1</v>
      </c>
      <c r="R46" s="291"/>
      <c r="S46" s="1415" t="str">
        <f>$J46</f>
        <v>...1.1</v>
      </c>
      <c r="T46" s="221" t="s">
        <v>452</v>
      </c>
      <c r="U46" s="235"/>
      <c r="V46" s="3726"/>
      <c r="W46" s="3727"/>
      <c r="X46" s="3727"/>
      <c r="Y46" s="3727"/>
      <c r="Z46" s="3727"/>
      <c r="AA46" s="3727"/>
      <c r="AB46" s="3727"/>
      <c r="AC46" s="3727"/>
      <c r="AD46" s="3727"/>
      <c r="AE46" s="3727"/>
      <c r="AF46" s="3728"/>
      <c r="AG46" s="3726"/>
      <c r="AH46" s="3727"/>
      <c r="AI46" s="3727"/>
      <c r="AJ46" s="3727"/>
      <c r="AK46" s="3727"/>
      <c r="AL46" s="3727"/>
      <c r="AM46" s="3727"/>
      <c r="AN46" s="3727"/>
      <c r="AO46" s="3727"/>
      <c r="AP46" s="3727"/>
      <c r="AQ46" s="3727"/>
      <c r="AR46" s="3728"/>
      <c r="AS46" s="1229" t="s">
        <v>528</v>
      </c>
      <c r="AU46" s="434"/>
      <c r="AV46" s="434" t="str">
        <f t="shared" si="1"/>
        <v>Группа потребителей</v>
      </c>
      <c r="AW46" s="434"/>
      <c r="AX46" s="434"/>
      <c r="AY46" s="1077">
        <v>23</v>
      </c>
    </row>
    <row r="47" spans="1:51" ht="24" customHeight="1">
      <c r="A47" s="1285" t="s">
        <v>301</v>
      </c>
      <c r="B47" s="1285" t="s">
        <v>302</v>
      </c>
      <c r="C47" s="1285" t="s">
        <v>303</v>
      </c>
      <c r="D47" s="1285" t="s">
        <v>586</v>
      </c>
      <c r="E47" s="3738"/>
      <c r="F47" s="3738"/>
      <c r="G47" s="3738"/>
      <c r="H47" s="3738"/>
      <c r="I47" s="3758"/>
      <c r="J47" s="3758"/>
      <c r="K47" s="3735" t="str">
        <f>J46&amp;".1"</f>
        <v>...1.1.1</v>
      </c>
      <c r="L47" s="1286"/>
      <c r="P47" s="3736"/>
      <c r="Q47" s="3736"/>
      <c r="R47" s="291">
        <v>1</v>
      </c>
      <c r="S47" s="1415" t="str">
        <f>$K47</f>
        <v>...1.1.1</v>
      </c>
      <c r="T47" s="1359"/>
      <c r="U47" s="235"/>
      <c r="V47" s="1282"/>
      <c r="W47" s="1282"/>
      <c r="X47" s="1282"/>
      <c r="Y47" s="1282"/>
      <c r="Z47" s="1282"/>
      <c r="AA47" s="1282"/>
      <c r="AB47" s="1283"/>
      <c r="AC47" s="3742"/>
      <c r="AD47" s="3743" t="s">
        <v>50</v>
      </c>
      <c r="AE47" s="3742"/>
      <c r="AF47" s="3743" t="s">
        <v>50</v>
      </c>
      <c r="AG47" s="685"/>
      <c r="AH47" s="685"/>
      <c r="AI47" s="685"/>
      <c r="AJ47" s="685"/>
      <c r="AK47" s="685"/>
      <c r="AL47" s="685"/>
      <c r="AM47" s="1179"/>
      <c r="AN47" s="3740"/>
      <c r="AO47" s="3599" t="s">
        <v>50</v>
      </c>
      <c r="AP47" s="3759"/>
      <c r="AQ47" s="3599" t="s">
        <v>6</v>
      </c>
      <c r="AR47" s="1360"/>
      <c r="AS47" s="38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7">
        <v>23</v>
      </c>
    </row>
    <row r="48" spans="1:51" ht="0" hidden="1" customHeight="1">
      <c r="A48" s="1285" t="s">
        <v>301</v>
      </c>
      <c r="B48" s="1285" t="s">
        <v>302</v>
      </c>
      <c r="C48" s="1285" t="s">
        <v>303</v>
      </c>
      <c r="D48" s="1285" t="s">
        <v>586</v>
      </c>
      <c r="E48" s="3738"/>
      <c r="F48" s="3738"/>
      <c r="G48" s="3738"/>
      <c r="H48" s="3738"/>
      <c r="I48" s="3758"/>
      <c r="J48" s="3758"/>
      <c r="K48" s="3735"/>
      <c r="L48" s="1286"/>
      <c r="P48" s="3736"/>
      <c r="Q48" s="3736"/>
      <c r="R48" s="291"/>
      <c r="S48" s="1412"/>
      <c r="T48" s="235"/>
      <c r="U48" s="235"/>
      <c r="V48" s="1282"/>
      <c r="W48" s="1282"/>
      <c r="X48" s="1282"/>
      <c r="Y48" s="1282"/>
      <c r="Z48" s="1282"/>
      <c r="AA48" s="1282"/>
      <c r="AB48" s="263" t="str">
        <f>AC47&amp;"-"&amp;AE47</f>
        <v>-</v>
      </c>
      <c r="AC48" s="3743"/>
      <c r="AD48" s="3743"/>
      <c r="AE48" s="3743"/>
      <c r="AF48" s="3743"/>
      <c r="AG48" s="260"/>
      <c r="AH48" s="260"/>
      <c r="AI48" s="260"/>
      <c r="AJ48" s="260"/>
      <c r="AK48" s="260"/>
      <c r="AL48" s="260"/>
      <c r="AM48" s="263" t="str">
        <f>AN47&amp;"-"&amp;AP47</f>
        <v>-</v>
      </c>
      <c r="AN48" s="3741"/>
      <c r="AO48" s="3599"/>
      <c r="AP48" s="3760"/>
      <c r="AQ48" s="3599"/>
      <c r="AR48" s="1361"/>
      <c r="AS48" s="3806"/>
      <c r="AU48" s="434"/>
      <c r="AV48" s="434" t="str">
        <f t="shared" si="1"/>
        <v/>
      </c>
      <c r="AW48" s="434"/>
      <c r="AX48" s="434"/>
      <c r="AY48" s="1077">
        <v>0</v>
      </c>
    </row>
    <row r="49" spans="1:51" ht="21" customHeight="1">
      <c r="A49" s="1285" t="s">
        <v>301</v>
      </c>
      <c r="B49" s="1285" t="s">
        <v>302</v>
      </c>
      <c r="C49" s="1285" t="s">
        <v>303</v>
      </c>
      <c r="D49" s="1285" t="s">
        <v>586</v>
      </c>
      <c r="E49" s="3738"/>
      <c r="F49" s="3738"/>
      <c r="G49" s="3738"/>
      <c r="H49" s="3738"/>
      <c r="I49" s="3758"/>
      <c r="J49" s="3735"/>
      <c r="K49" s="1285"/>
      <c r="L49" s="1286"/>
      <c r="P49" s="3736"/>
      <c r="Q49" s="3736"/>
      <c r="R49" s="290"/>
      <c r="S49" s="1200"/>
      <c r="T49" s="222" t="s">
        <v>529</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80" t="s">
        <v>530</v>
      </c>
      <c r="AU49" s="434"/>
      <c r="AV49" s="434" t="str">
        <f t="shared" si="1"/>
        <v>Добавить значение признака дифференциации</v>
      </c>
      <c r="AW49" s="434"/>
      <c r="AX49" s="434"/>
      <c r="AY49" s="1077">
        <v>20</v>
      </c>
    </row>
    <row r="50" spans="1:51" ht="21.95" customHeight="1">
      <c r="A50" s="1285" t="s">
        <v>301</v>
      </c>
      <c r="B50" s="1285" t="s">
        <v>302</v>
      </c>
      <c r="C50" s="1285" t="s">
        <v>303</v>
      </c>
      <c r="D50" s="1285" t="s">
        <v>586</v>
      </c>
      <c r="E50" s="3738"/>
      <c r="F50" s="3738"/>
      <c r="G50" s="3738"/>
      <c r="H50" s="3738"/>
      <c r="I50" s="3735"/>
      <c r="J50" s="1285"/>
      <c r="K50" s="1285"/>
      <c r="L50" s="1286"/>
      <c r="P50" s="3736"/>
      <c r="Q50" s="1403"/>
      <c r="R50" s="290"/>
      <c r="S50" s="1200"/>
      <c r="T50" s="299" t="s">
        <v>457</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62"/>
      <c r="AU50" s="434"/>
      <c r="AV50" s="434" t="str">
        <f t="shared" si="1"/>
        <v>Добавить группу потребителей</v>
      </c>
      <c r="AW50" s="434"/>
      <c r="AX50" s="434"/>
      <c r="AY50" s="1077">
        <v>21</v>
      </c>
    </row>
    <row r="51" spans="1:51" ht="21.95" customHeight="1">
      <c r="A51" s="1285" t="s">
        <v>301</v>
      </c>
      <c r="B51" s="1285" t="s">
        <v>302</v>
      </c>
      <c r="C51" s="1285" t="s">
        <v>303</v>
      </c>
      <c r="D51" s="1285" t="s">
        <v>586</v>
      </c>
      <c r="E51" s="3738"/>
      <c r="F51" s="3738"/>
      <c r="G51" s="3738"/>
      <c r="H51" s="3737"/>
      <c r="I51" s="1285"/>
      <c r="J51" s="1285"/>
      <c r="K51" s="1285"/>
      <c r="L51" s="1286"/>
      <c r="M51" s="1287"/>
      <c r="N51" s="1287"/>
      <c r="O51" s="471"/>
      <c r="P51" s="294"/>
      <c r="Q51" s="309"/>
      <c r="R51" s="289"/>
      <c r="S51" s="1200"/>
      <c r="T51" s="306" t="s">
        <v>531</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7">
        <v>21</v>
      </c>
    </row>
    <row r="52" spans="1:51" s="1564" customFormat="1" ht="0" hidden="1" customHeight="1">
      <c r="A52" s="1265" t="s">
        <v>301</v>
      </c>
      <c r="B52" s="1265" t="s">
        <v>302</v>
      </c>
      <c r="C52" s="1236"/>
      <c r="D52" s="1236"/>
      <c r="E52" s="3738"/>
      <c r="F52" s="3737"/>
      <c r="G52" s="1236"/>
      <c r="H52" s="1236"/>
      <c r="I52" s="1236"/>
      <c r="J52" s="1236"/>
      <c r="K52" s="1236"/>
      <c r="L52" s="1416"/>
      <c r="M52" s="1243"/>
      <c r="N52" s="1243"/>
      <c r="P52" s="1238"/>
      <c r="Q52" s="1239"/>
      <c r="R52" s="1238"/>
      <c r="S52" s="1244"/>
      <c r="T52" s="1247" t="s">
        <v>460</v>
      </c>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U52" s="717"/>
      <c r="AV52" s="717" t="str">
        <f t="shared" si="1"/>
        <v>Добавить централизованную систему для дифференциации</v>
      </c>
      <c r="AW52" s="717"/>
      <c r="AX52" s="717"/>
      <c r="AY52" s="452">
        <v>0</v>
      </c>
    </row>
    <row r="53" spans="1:51" s="1564" customFormat="1" ht="0" hidden="1" customHeight="1">
      <c r="A53" s="1265" t="s">
        <v>301</v>
      </c>
      <c r="B53" s="1265"/>
      <c r="C53" s="1265"/>
      <c r="D53" s="1265"/>
      <c r="E53" s="3737"/>
      <c r="F53" s="1265"/>
      <c r="G53" s="1265"/>
      <c r="H53" s="1265"/>
      <c r="I53" s="1265"/>
      <c r="J53" s="1265"/>
      <c r="K53" s="1265"/>
      <c r="L53" s="1268"/>
      <c r="M53" s="1243"/>
      <c r="N53" s="1243"/>
      <c r="O53" s="452"/>
      <c r="P53" s="314"/>
      <c r="Q53" s="1266"/>
      <c r="R53" s="314"/>
      <c r="S53" s="1244"/>
      <c r="T53" s="1247" t="s">
        <v>461</v>
      </c>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U53" s="434"/>
      <c r="AV53" s="434" t="str">
        <f t="shared" si="1"/>
        <v>Добавить территорию для дифференциации</v>
      </c>
      <c r="AW53" s="434"/>
      <c r="AX53" s="434"/>
      <c r="AY53" s="445">
        <v>0</v>
      </c>
    </row>
    <row r="54" spans="1:51" s="1564" customFormat="1" ht="0" hidden="1" customHeight="1">
      <c r="A54" s="1236"/>
      <c r="B54" s="1236"/>
      <c r="C54" s="1236"/>
      <c r="D54" s="1236"/>
      <c r="E54" s="1265"/>
      <c r="F54" s="1236"/>
      <c r="G54" s="1236"/>
      <c r="H54" s="1236"/>
      <c r="I54" s="1236"/>
      <c r="J54" s="1236"/>
      <c r="K54" s="1236"/>
      <c r="L54" s="1416"/>
      <c r="M54" s="1243"/>
      <c r="N54" s="1243"/>
      <c r="P54" s="1238"/>
      <c r="Q54" s="1239"/>
      <c r="R54" s="1238"/>
      <c r="S54" s="1244"/>
      <c r="T54" s="1247" t="s">
        <v>489</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U54" s="717"/>
      <c r="AV54" s="717" t="str">
        <f t="shared" si="1"/>
        <v>Добавить наименование тарифа</v>
      </c>
      <c r="AW54" s="717"/>
      <c r="AX54" s="717"/>
      <c r="AY54" s="452">
        <v>0</v>
      </c>
    </row>
    <row r="55" spans="1:51" ht="11.45" customHeight="1">
      <c r="M55" s="1082"/>
      <c r="N55" s="1082"/>
      <c r="O55" s="471"/>
      <c r="P55" s="1077"/>
      <c r="Q55" s="1077"/>
      <c r="R55" s="1077"/>
      <c r="S55" s="1077"/>
      <c r="AT55" s="1077"/>
      <c r="AU55" s="1077"/>
      <c r="AV55" s="1077"/>
      <c r="AW55" s="1077"/>
      <c r="AX55" s="1077"/>
      <c r="AY55" s="1077">
        <v>11</v>
      </c>
    </row>
    <row r="56" spans="1:51" ht="14.65" customHeight="1">
      <c r="O56" s="471"/>
      <c r="S56" s="1175"/>
      <c r="T56" s="3757"/>
      <c r="U56" s="3757"/>
      <c r="V56" s="3757"/>
      <c r="W56" s="3757"/>
      <c r="X56" s="3757"/>
      <c r="Y56" s="3757"/>
      <c r="Z56" s="3757"/>
      <c r="AA56" s="3757"/>
      <c r="AB56" s="3757"/>
      <c r="AC56" s="3757"/>
      <c r="AD56" s="3757"/>
      <c r="AE56" s="3757"/>
      <c r="AF56" s="3757"/>
      <c r="AG56" s="3757"/>
      <c r="AH56" s="3757"/>
      <c r="AI56" s="3757"/>
      <c r="AJ56" s="3757"/>
      <c r="AK56" s="3757"/>
      <c r="AL56" s="3757"/>
      <c r="AM56" s="3757"/>
      <c r="AN56" s="3757"/>
      <c r="AO56" s="3757"/>
      <c r="AP56" s="3757"/>
      <c r="AQ56" s="3757"/>
      <c r="AR56" s="3757"/>
      <c r="AS56" s="3757"/>
      <c r="AY56" s="1077">
        <v>14</v>
      </c>
    </row>
    <row r="57" spans="1:51" ht="14.65" customHeight="1">
      <c r="O57" s="471"/>
      <c r="AY57" s="1077">
        <v>14</v>
      </c>
    </row>
    <row r="58" spans="1:51" ht="14.65" customHeight="1">
      <c r="O58" s="471"/>
      <c r="S58" s="1175"/>
      <c r="T58" s="3757"/>
      <c r="U58" s="3757"/>
      <c r="V58" s="3757"/>
      <c r="W58" s="3757"/>
      <c r="X58" s="3757"/>
      <c r="Y58" s="3757"/>
      <c r="Z58" s="3757"/>
      <c r="AA58" s="3757"/>
      <c r="AB58" s="3757"/>
      <c r="AC58" s="3757"/>
      <c r="AD58" s="3757"/>
      <c r="AE58" s="3757"/>
      <c r="AF58" s="3757"/>
      <c r="AG58" s="3757"/>
      <c r="AH58" s="3757"/>
      <c r="AI58" s="3757"/>
      <c r="AJ58" s="3757"/>
      <c r="AK58" s="3757"/>
      <c r="AL58" s="3757"/>
      <c r="AM58" s="3757"/>
      <c r="AN58" s="3757"/>
      <c r="AO58" s="3757"/>
      <c r="AP58" s="3757"/>
      <c r="AQ58" s="3757"/>
      <c r="AR58" s="3757"/>
      <c r="AS58" s="3757"/>
      <c r="AY58" s="1077">
        <v>14</v>
      </c>
    </row>
    <row r="59" spans="1:51" ht="22.5" hidden="1" customHeight="1">
      <c r="A59" s="1082" t="s">
        <v>70</v>
      </c>
      <c r="B59" s="1082">
        <v>0</v>
      </c>
      <c r="C59" s="1082">
        <v>0</v>
      </c>
      <c r="D59" s="1082">
        <v>0</v>
      </c>
      <c r="E59" s="1082">
        <v>0</v>
      </c>
      <c r="F59" s="1082">
        <v>0</v>
      </c>
      <c r="G59" s="1082">
        <v>0</v>
      </c>
      <c r="H59" s="1082">
        <v>0</v>
      </c>
      <c r="I59" s="1082">
        <v>0</v>
      </c>
      <c r="J59" s="1082">
        <v>0</v>
      </c>
      <c r="K59" s="1082">
        <v>0</v>
      </c>
      <c r="L59" s="1400">
        <v>0</v>
      </c>
      <c r="M59" s="1284">
        <v>0</v>
      </c>
      <c r="N59" s="1284">
        <v>0</v>
      </c>
      <c r="O59" s="1284">
        <v>0</v>
      </c>
      <c r="P59" s="1395">
        <v>3</v>
      </c>
      <c r="Q59" s="279">
        <v>3</v>
      </c>
      <c r="R59" s="279">
        <v>3</v>
      </c>
      <c r="S59" s="515">
        <v>12</v>
      </c>
      <c r="T59" s="1077">
        <v>35</v>
      </c>
      <c r="U59" s="1077">
        <v>0</v>
      </c>
      <c r="V59" s="1077">
        <v>0</v>
      </c>
      <c r="W59" s="1553">
        <v>0</v>
      </c>
      <c r="X59" s="1553">
        <v>0</v>
      </c>
      <c r="Y59" s="1553">
        <v>0</v>
      </c>
      <c r="Z59" s="1553">
        <v>0</v>
      </c>
      <c r="AA59" s="1553">
        <v>0</v>
      </c>
      <c r="AB59" s="1077">
        <v>0</v>
      </c>
      <c r="AC59" s="1077">
        <v>0</v>
      </c>
      <c r="AD59" s="1077">
        <v>0</v>
      </c>
      <c r="AE59" s="1077">
        <v>0</v>
      </c>
      <c r="AF59" s="1077">
        <v>0</v>
      </c>
      <c r="AG59" s="1077">
        <v>19</v>
      </c>
      <c r="AH59" s="1553">
        <v>19</v>
      </c>
      <c r="AI59" s="1553">
        <v>19</v>
      </c>
      <c r="AJ59" s="1553">
        <v>19</v>
      </c>
      <c r="AK59" s="1553">
        <v>19</v>
      </c>
      <c r="AL59" s="1553">
        <v>19</v>
      </c>
      <c r="AM59" s="1077">
        <v>19</v>
      </c>
      <c r="AN59" s="1077">
        <v>11</v>
      </c>
      <c r="AO59" s="1077">
        <v>3</v>
      </c>
      <c r="AP59" s="1077">
        <v>11</v>
      </c>
      <c r="AQ59" s="1077">
        <v>0</v>
      </c>
      <c r="AR59" s="1077">
        <v>4</v>
      </c>
      <c r="AS59" s="1077">
        <v>115</v>
      </c>
      <c r="AT59" s="445">
        <v>10</v>
      </c>
      <c r="AU59" s="445">
        <v>10</v>
      </c>
      <c r="AV59" s="445">
        <v>10</v>
      </c>
      <c r="AW59" s="445">
        <v>10</v>
      </c>
      <c r="AX59" s="445">
        <v>10</v>
      </c>
      <c r="AY59" s="1077">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1999" hidden="1" customWidth="1"/>
    <col min="13" max="14" width="12.28515625" style="1668" hidden="1" customWidth="1"/>
    <col min="15" max="15" width="23.42578125" style="1668" hidden="1" customWidth="1"/>
    <col min="16" max="16" width="3.7109375" style="1668" hidden="1" customWidth="1"/>
    <col min="17" max="17" width="3.7109375" style="1293" hidden="1" customWidth="1"/>
    <col min="18" max="18" width="3" style="279" customWidth="1"/>
    <col min="19" max="19" width="12" style="1992"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2"/>
      <c r="Y1" s="262"/>
      <c r="Z1" s="262"/>
      <c r="AW1" s="262"/>
      <c r="AX1" s="262"/>
      <c r="BI1" s="1077" t="s">
        <v>1</v>
      </c>
    </row>
    <row r="2" spans="1:61" ht="21" hidden="1" customHeight="1">
      <c r="A2" s="1285"/>
      <c r="B2" s="1285"/>
      <c r="C2" s="1285"/>
      <c r="D2" s="1285"/>
      <c r="E2" s="3737">
        <v>1</v>
      </c>
      <c r="F2" s="1285"/>
      <c r="G2" s="1285"/>
      <c r="H2" s="1285"/>
      <c r="I2" s="1285"/>
      <c r="J2" s="1285"/>
      <c r="K2" s="1285"/>
      <c r="L2" s="1286"/>
      <c r="M2" s="1287"/>
      <c r="N2" s="1287"/>
      <c r="O2" s="1287"/>
      <c r="P2" s="1331"/>
      <c r="Q2" s="801"/>
      <c r="R2" s="289"/>
      <c r="S2" s="1415" t="e">
        <f>INDEX(PT_DIFFERENTIATION_NUM_NTAR,MATCH(A2,PT_DIFFERENTIATION_NTAR_ID,0))</f>
        <v>#N/A</v>
      </c>
      <c r="T2" s="233" t="s">
        <v>176</v>
      </c>
      <c r="U2" s="235"/>
      <c r="V2" s="3724"/>
      <c r="W2" s="3724"/>
      <c r="X2" s="3724"/>
      <c r="Y2" s="3724"/>
      <c r="Z2" s="3724"/>
      <c r="AA2" s="3724"/>
      <c r="AB2" s="3724"/>
      <c r="AC2" s="3725"/>
      <c r="AD2" s="3723" t="e">
        <f>INDEX(PT_DIFFERENTIATION_NTAR,MATCH(A2,PT_DIFFERENTIATION_NTAR_ID,0))</f>
        <v>#N/A</v>
      </c>
      <c r="AE2" s="3724"/>
      <c r="AF2" s="3724"/>
      <c r="AG2" s="3724"/>
      <c r="AH2" s="3724"/>
      <c r="AI2" s="3724"/>
      <c r="AJ2" s="3724"/>
      <c r="AK2" s="3724"/>
      <c r="AL2" s="3724"/>
      <c r="AM2" s="3724"/>
      <c r="AN2" s="3724"/>
      <c r="AO2" s="3724"/>
      <c r="AP2" s="3724"/>
      <c r="AQ2" s="3724"/>
      <c r="AR2" s="3724"/>
      <c r="AS2" s="3724"/>
      <c r="AT2" s="3724"/>
      <c r="AU2" s="3724"/>
      <c r="AV2" s="3724"/>
      <c r="AW2" s="3724"/>
      <c r="AX2" s="3724"/>
      <c r="AY2" s="3724"/>
      <c r="AZ2" s="3724"/>
      <c r="BA2" s="3724"/>
      <c r="BB2" s="3725"/>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7">
        <v>0</v>
      </c>
    </row>
    <row r="3" spans="1:61" ht="21" hidden="1" customHeight="1">
      <c r="A3" s="1285"/>
      <c r="B3" s="1285"/>
      <c r="C3" s="1285"/>
      <c r="D3" s="1285"/>
      <c r="E3" s="3738"/>
      <c r="F3" s="3737">
        <v>1</v>
      </c>
      <c r="G3" s="1285"/>
      <c r="H3" s="1285"/>
      <c r="I3" s="1285"/>
      <c r="J3" s="1285"/>
      <c r="K3" s="1285"/>
      <c r="L3" s="1286"/>
      <c r="M3" s="1287"/>
      <c r="N3" s="1287"/>
      <c r="O3" s="1287"/>
      <c r="P3" s="1332"/>
      <c r="Q3" s="1333"/>
      <c r="R3" s="287"/>
      <c r="S3" s="1415" t="e">
        <f>INDEX(PT_DIFFERENTIATION_NUM_TER,MATCH(B3,PT_DIFFERENTIATION_TER_ID,0))</f>
        <v>#N/A</v>
      </c>
      <c r="T3" s="243" t="s">
        <v>442</v>
      </c>
      <c r="U3" s="235"/>
      <c r="V3" s="3724"/>
      <c r="W3" s="3724"/>
      <c r="X3" s="3724"/>
      <c r="Y3" s="3724"/>
      <c r="Z3" s="3724"/>
      <c r="AA3" s="3724"/>
      <c r="AB3" s="3724"/>
      <c r="AC3" s="3725"/>
      <c r="AD3" s="3723" t="e">
        <f>INDEX(PT_DIFFERENTIATION_TER,MATCH(B3,PT_DIFFERENTIATION_TER_ID,0))</f>
        <v>#N/A</v>
      </c>
      <c r="AE3" s="3724"/>
      <c r="AF3" s="3724"/>
      <c r="AG3" s="3724"/>
      <c r="AH3" s="3724"/>
      <c r="AI3" s="3724"/>
      <c r="AJ3" s="3724"/>
      <c r="AK3" s="3724"/>
      <c r="AL3" s="3724"/>
      <c r="AM3" s="3724"/>
      <c r="AN3" s="3724"/>
      <c r="AO3" s="3724"/>
      <c r="AP3" s="3724"/>
      <c r="AQ3" s="3724"/>
      <c r="AR3" s="3724"/>
      <c r="AS3" s="3724"/>
      <c r="AT3" s="3724"/>
      <c r="AU3" s="3724"/>
      <c r="AV3" s="3724"/>
      <c r="AW3" s="3724"/>
      <c r="AX3" s="3724"/>
      <c r="AY3" s="3724"/>
      <c r="AZ3" s="3724"/>
      <c r="BA3" s="3724"/>
      <c r="BB3" s="3725"/>
      <c r="BC3" s="1180" t="s">
        <v>443</v>
      </c>
      <c r="BE3" s="434"/>
      <c r="BF3" s="434" t="str">
        <f t="shared" si="0"/>
        <v>Территория действия тарифа</v>
      </c>
      <c r="BG3" s="434"/>
      <c r="BH3" s="434"/>
      <c r="BI3" s="1077">
        <v>0</v>
      </c>
    </row>
    <row r="4" spans="1:61" ht="33.75" hidden="1" customHeight="1">
      <c r="A4" s="1285"/>
      <c r="B4" s="1285"/>
      <c r="C4" s="1285"/>
      <c r="D4" s="1285"/>
      <c r="E4" s="3738"/>
      <c r="F4" s="3738"/>
      <c r="G4" s="3737">
        <v>1</v>
      </c>
      <c r="H4" s="1285"/>
      <c r="I4" s="1285"/>
      <c r="J4" s="1285"/>
      <c r="K4" s="1285"/>
      <c r="L4" s="1286"/>
      <c r="M4" s="1287"/>
      <c r="N4" s="1287"/>
      <c r="O4" s="1287"/>
      <c r="P4" s="1334"/>
      <c r="Q4" s="1333"/>
      <c r="R4" s="287"/>
      <c r="S4" s="1415" t="e">
        <f>INDEX(PT_DIFFERENTIATION_NUM_CS,MATCH(C4,PT_DIFFERENTIATION_CS_ID,0))</f>
        <v>#N/A</v>
      </c>
      <c r="T4" s="244" t="s">
        <v>573</v>
      </c>
      <c r="U4" s="235"/>
      <c r="V4" s="3724"/>
      <c r="W4" s="3724"/>
      <c r="X4" s="3724"/>
      <c r="Y4" s="3724"/>
      <c r="Z4" s="3724"/>
      <c r="AA4" s="3724"/>
      <c r="AB4" s="3724"/>
      <c r="AC4" s="3725"/>
      <c r="AD4" s="3723" t="e">
        <f>INDEX(PT_DIFFERENTIATION_CS,MATCH(C4,PT_DIFFERENTIATION_CS_ID,0))</f>
        <v>#N/A</v>
      </c>
      <c r="AE4" s="3724"/>
      <c r="AF4" s="3724"/>
      <c r="AG4" s="3724"/>
      <c r="AH4" s="3724"/>
      <c r="AI4" s="3724"/>
      <c r="AJ4" s="3724"/>
      <c r="AK4" s="3724"/>
      <c r="AL4" s="3724"/>
      <c r="AM4" s="3724"/>
      <c r="AN4" s="3724"/>
      <c r="AO4" s="3724"/>
      <c r="AP4" s="3724"/>
      <c r="AQ4" s="3724"/>
      <c r="AR4" s="3724"/>
      <c r="AS4" s="3724"/>
      <c r="AT4" s="3724"/>
      <c r="AU4" s="3724"/>
      <c r="AV4" s="3724"/>
      <c r="AW4" s="3724"/>
      <c r="AX4" s="3724"/>
      <c r="AY4" s="3724"/>
      <c r="AZ4" s="3724"/>
      <c r="BA4" s="3724"/>
      <c r="BB4" s="3725"/>
      <c r="BC4" s="1180" t="s">
        <v>574</v>
      </c>
      <c r="BE4" s="434"/>
      <c r="BF4" s="434" t="str">
        <f t="shared" si="0"/>
        <v>Наименование централизованной системы горячего водоснабжения</v>
      </c>
      <c r="BG4" s="434"/>
      <c r="BH4" s="434"/>
      <c r="BI4" s="1077">
        <v>0</v>
      </c>
    </row>
    <row r="5" spans="1:61" s="1564" customFormat="1" ht="14.25" hidden="1" customHeight="1">
      <c r="A5" s="1265"/>
      <c r="B5" s="1265"/>
      <c r="C5" s="1265"/>
      <c r="D5" s="1265"/>
      <c r="E5" s="3738"/>
      <c r="F5" s="3738"/>
      <c r="G5" s="3738"/>
      <c r="H5" s="3737">
        <v>1</v>
      </c>
      <c r="I5" s="1265"/>
      <c r="J5" s="1265"/>
      <c r="K5" s="1265"/>
      <c r="L5" s="1268"/>
      <c r="M5" s="1237"/>
      <c r="N5" s="1237"/>
      <c r="O5" s="1237"/>
      <c r="P5" s="1419"/>
      <c r="Q5" s="1420"/>
      <c r="R5" s="291"/>
      <c r="S5" s="968"/>
      <c r="T5" s="1421"/>
      <c r="U5" s="1306"/>
      <c r="V5" s="3767"/>
      <c r="W5" s="3767"/>
      <c r="X5" s="3767"/>
      <c r="Y5" s="3767"/>
      <c r="Z5" s="3767"/>
      <c r="AA5" s="3767"/>
      <c r="AB5" s="3767"/>
      <c r="AC5" s="3768"/>
      <c r="AD5" s="3766"/>
      <c r="AE5" s="3767"/>
      <c r="AF5" s="3767"/>
      <c r="AG5" s="3767"/>
      <c r="AH5" s="3767"/>
      <c r="AI5" s="3767"/>
      <c r="AJ5" s="3767"/>
      <c r="AK5" s="3767"/>
      <c r="AL5" s="3767"/>
      <c r="AM5" s="3767"/>
      <c r="AN5" s="3767"/>
      <c r="AO5" s="3767"/>
      <c r="AP5" s="3767"/>
      <c r="AQ5" s="3767"/>
      <c r="AR5" s="3767"/>
      <c r="AS5" s="3767"/>
      <c r="AT5" s="3767"/>
      <c r="AU5" s="3767"/>
      <c r="AV5" s="3767"/>
      <c r="AW5" s="3767"/>
      <c r="AX5" s="3767"/>
      <c r="AY5" s="3767"/>
      <c r="AZ5" s="3767"/>
      <c r="BA5" s="3767"/>
      <c r="BB5" s="3768"/>
      <c r="BC5" s="1307" t="s">
        <v>447</v>
      </c>
      <c r="BE5" s="434"/>
      <c r="BF5" s="434" t="str">
        <f t="shared" si="0"/>
        <v/>
      </c>
      <c r="BG5" s="434"/>
      <c r="BH5" s="434"/>
      <c r="BI5" s="445">
        <v>0</v>
      </c>
    </row>
    <row r="6" spans="1:61" s="1564" customFormat="1" ht="14.25" hidden="1" customHeight="1">
      <c r="A6" s="1265"/>
      <c r="B6" s="1265"/>
      <c r="C6" s="1265"/>
      <c r="D6" s="1265"/>
      <c r="E6" s="3738"/>
      <c r="F6" s="3738"/>
      <c r="G6" s="3738"/>
      <c r="H6" s="3738"/>
      <c r="I6" s="3735" t="str">
        <f>S5&amp;".1"</f>
        <v>.1</v>
      </c>
      <c r="J6" s="1265"/>
      <c r="K6" s="1265"/>
      <c r="L6" s="1268" t="s">
        <v>448</v>
      </c>
      <c r="M6" s="444"/>
      <c r="N6" s="444"/>
      <c r="O6" s="444"/>
      <c r="P6" s="3736">
        <v>1</v>
      </c>
      <c r="Q6" s="1403"/>
      <c r="R6" s="290"/>
      <c r="S6" s="968"/>
      <c r="T6" s="1305"/>
      <c r="U6" s="1306"/>
      <c r="V6" s="3767"/>
      <c r="W6" s="3767"/>
      <c r="X6" s="3767"/>
      <c r="Y6" s="3767"/>
      <c r="Z6" s="3767"/>
      <c r="AA6" s="3767"/>
      <c r="AB6" s="3767"/>
      <c r="AC6" s="3768"/>
      <c r="AD6" s="3766"/>
      <c r="AE6" s="3767"/>
      <c r="AF6" s="3767"/>
      <c r="AG6" s="3767"/>
      <c r="AH6" s="3767"/>
      <c r="AI6" s="3767"/>
      <c r="AJ6" s="3767"/>
      <c r="AK6" s="3767"/>
      <c r="AL6" s="3767"/>
      <c r="AM6" s="3767"/>
      <c r="AN6" s="3767"/>
      <c r="AO6" s="3767"/>
      <c r="AP6" s="3767"/>
      <c r="AQ6" s="3767"/>
      <c r="AR6" s="3767"/>
      <c r="AS6" s="3767"/>
      <c r="AT6" s="3767"/>
      <c r="AU6" s="3767"/>
      <c r="AV6" s="3767"/>
      <c r="AW6" s="3767"/>
      <c r="AX6" s="3767"/>
      <c r="AY6" s="3767"/>
      <c r="AZ6" s="3767"/>
      <c r="BA6" s="3767"/>
      <c r="BB6" s="3768"/>
      <c r="BC6" s="1307"/>
      <c r="BE6" s="434"/>
      <c r="BF6" s="434" t="str">
        <f t="shared" si="0"/>
        <v/>
      </c>
      <c r="BG6" s="434"/>
      <c r="BH6" s="434"/>
      <c r="BI6" s="445">
        <v>0</v>
      </c>
    </row>
    <row r="7" spans="1:61" s="1564" customFormat="1" ht="14.25" hidden="1" customHeight="1">
      <c r="A7" s="1265"/>
      <c r="B7" s="1265"/>
      <c r="C7" s="1265"/>
      <c r="D7" s="1265"/>
      <c r="E7" s="3738"/>
      <c r="F7" s="3738"/>
      <c r="G7" s="3738"/>
      <c r="H7" s="3738"/>
      <c r="I7" s="3758"/>
      <c r="J7" s="3735" t="str">
        <f>S5&amp;".1"</f>
        <v>.1</v>
      </c>
      <c r="K7" s="1265"/>
      <c r="L7" s="1268"/>
      <c r="M7" s="444"/>
      <c r="N7" s="444"/>
      <c r="O7" s="444"/>
      <c r="P7" s="3736"/>
      <c r="Q7" s="3736">
        <v>1</v>
      </c>
      <c r="R7" s="291"/>
      <c r="S7" s="968"/>
      <c r="T7" s="1321"/>
      <c r="U7" s="1306"/>
      <c r="V7" s="3767"/>
      <c r="W7" s="3767"/>
      <c r="X7" s="3767"/>
      <c r="Y7" s="3767"/>
      <c r="Z7" s="3767"/>
      <c r="AA7" s="3767"/>
      <c r="AB7" s="3767"/>
      <c r="AC7" s="3768"/>
      <c r="AD7" s="3766"/>
      <c r="AE7" s="3767"/>
      <c r="AF7" s="3767"/>
      <c r="AG7" s="3767"/>
      <c r="AH7" s="3767"/>
      <c r="AI7" s="3767"/>
      <c r="AJ7" s="3767"/>
      <c r="AK7" s="3767"/>
      <c r="AL7" s="3767"/>
      <c r="AM7" s="3767"/>
      <c r="AN7" s="3767"/>
      <c r="AO7" s="3767"/>
      <c r="AP7" s="3767"/>
      <c r="AQ7" s="3767"/>
      <c r="AR7" s="3767"/>
      <c r="AS7" s="3767"/>
      <c r="AT7" s="3767"/>
      <c r="AU7" s="3767"/>
      <c r="AV7" s="3767"/>
      <c r="AW7" s="3767"/>
      <c r="AX7" s="3767"/>
      <c r="AY7" s="3767"/>
      <c r="AZ7" s="3767"/>
      <c r="BA7" s="3767"/>
      <c r="BB7" s="3768"/>
      <c r="BC7" s="1307"/>
      <c r="BE7" s="434"/>
      <c r="BF7" s="434" t="str">
        <f t="shared" si="0"/>
        <v/>
      </c>
      <c r="BG7" s="434"/>
      <c r="BH7" s="434"/>
      <c r="BI7" s="445">
        <v>0</v>
      </c>
    </row>
    <row r="8" spans="1:61" ht="11.25" hidden="1" customHeight="1">
      <c r="A8" s="1285"/>
      <c r="B8" s="1285"/>
      <c r="C8" s="1285"/>
      <c r="D8" s="1285"/>
      <c r="E8" s="3738"/>
      <c r="F8" s="3738"/>
      <c r="G8" s="3738"/>
      <c r="H8" s="3738"/>
      <c r="I8" s="3758"/>
      <c r="J8" s="3758"/>
      <c r="K8" s="3735" t="e">
        <f>S4&amp;".1"</f>
        <v>#N/A</v>
      </c>
      <c r="L8" s="1286"/>
      <c r="P8" s="3736"/>
      <c r="Q8" s="3736"/>
      <c r="R8" s="3801">
        <v>1</v>
      </c>
      <c r="S8" s="3795" t="e">
        <f>$K8</f>
        <v>#N/A</v>
      </c>
      <c r="T8" s="3816"/>
      <c r="U8" s="235"/>
      <c r="V8" s="685"/>
      <c r="W8" s="1179"/>
      <c r="X8" s="685"/>
      <c r="Y8" s="1179"/>
      <c r="Z8" s="1627"/>
      <c r="AA8" s="1391" t="s">
        <v>50</v>
      </c>
      <c r="AB8" s="1627"/>
      <c r="AC8" s="1391" t="s">
        <v>50</v>
      </c>
      <c r="AD8" s="3676" t="s">
        <v>50</v>
      </c>
      <c r="AE8" s="3780"/>
      <c r="AF8" s="3693">
        <v>1</v>
      </c>
      <c r="AG8" s="3819"/>
      <c r="AH8" s="3599" t="s">
        <v>50</v>
      </c>
      <c r="AI8" s="3780"/>
      <c r="AJ8" s="3693">
        <v>1</v>
      </c>
      <c r="AK8" s="3781" t="s">
        <v>9</v>
      </c>
      <c r="AL8" s="3599" t="s">
        <v>50</v>
      </c>
      <c r="AM8" s="3683"/>
      <c r="AN8" s="3693">
        <v>1</v>
      </c>
      <c r="AO8" s="3813"/>
      <c r="AP8" s="3814" t="s">
        <v>50</v>
      </c>
      <c r="AQ8" s="246"/>
      <c r="AR8" s="1408">
        <v>1</v>
      </c>
      <c r="AS8" s="1414" t="s">
        <v>9</v>
      </c>
      <c r="AT8" s="685"/>
      <c r="AU8" s="1179"/>
      <c r="AV8" s="685"/>
      <c r="AW8" s="1179"/>
      <c r="AX8" s="1627"/>
      <c r="AY8" s="1391" t="s">
        <v>50</v>
      </c>
      <c r="AZ8" s="1627"/>
      <c r="BA8" s="1391" t="s">
        <v>50</v>
      </c>
      <c r="BB8" s="1270"/>
      <c r="BC8" s="3732" t="s">
        <v>542</v>
      </c>
      <c r="BE8" s="434"/>
      <c r="BF8" s="434" t="str">
        <f t="shared" si="0"/>
        <v/>
      </c>
      <c r="BG8" s="434"/>
      <c r="BH8" s="434"/>
      <c r="BI8" s="1077">
        <v>0</v>
      </c>
    </row>
    <row r="9" spans="1:61" ht="11.25" hidden="1" customHeight="1">
      <c r="A9" s="1285"/>
      <c r="B9" s="1285"/>
      <c r="C9" s="1285"/>
      <c r="D9" s="1285"/>
      <c r="E9" s="3738"/>
      <c r="F9" s="3738"/>
      <c r="G9" s="3738"/>
      <c r="H9" s="3738"/>
      <c r="I9" s="3758"/>
      <c r="J9" s="3758"/>
      <c r="K9" s="3735"/>
      <c r="L9" s="1286"/>
      <c r="P9" s="3736"/>
      <c r="Q9" s="3736"/>
      <c r="R9" s="3801"/>
      <c r="S9" s="3796"/>
      <c r="T9" s="3817"/>
      <c r="U9" s="235"/>
      <c r="V9" s="1315"/>
      <c r="W9" s="1418"/>
      <c r="X9" s="1315"/>
      <c r="Y9" s="1418"/>
      <c r="Z9" s="1315"/>
      <c r="AA9" s="1315"/>
      <c r="AB9" s="1315"/>
      <c r="AC9" s="1315"/>
      <c r="AD9" s="3677"/>
      <c r="AE9" s="3780"/>
      <c r="AF9" s="3693"/>
      <c r="AG9" s="3819"/>
      <c r="AH9" s="3599"/>
      <c r="AI9" s="3780"/>
      <c r="AJ9" s="3693"/>
      <c r="AK9" s="3781"/>
      <c r="AL9" s="3599"/>
      <c r="AM9" s="3688"/>
      <c r="AN9" s="3693"/>
      <c r="AO9" s="3813"/>
      <c r="AP9" s="3815"/>
      <c r="AQ9" s="251"/>
      <c r="AR9" s="350"/>
      <c r="AS9" s="350" t="s">
        <v>543</v>
      </c>
      <c r="AT9" s="1315"/>
      <c r="AU9" s="1418"/>
      <c r="AV9" s="1315"/>
      <c r="AW9" s="1418"/>
      <c r="AX9" s="1315"/>
      <c r="AY9" s="1315"/>
      <c r="AZ9" s="1315"/>
      <c r="BA9" s="1315"/>
      <c r="BB9" s="1319"/>
      <c r="BC9" s="3733"/>
      <c r="BE9" s="434"/>
      <c r="BF9" s="434"/>
      <c r="BG9" s="434"/>
      <c r="BH9" s="434"/>
      <c r="BI9" s="1077">
        <v>0</v>
      </c>
    </row>
    <row r="10" spans="1:61" ht="11.25" hidden="1" customHeight="1">
      <c r="A10" s="1285"/>
      <c r="B10" s="1285"/>
      <c r="C10" s="1285"/>
      <c r="D10" s="1285"/>
      <c r="E10" s="3738"/>
      <c r="F10" s="3738"/>
      <c r="G10" s="3738"/>
      <c r="H10" s="3738"/>
      <c r="I10" s="3758"/>
      <c r="J10" s="3758"/>
      <c r="K10" s="3735"/>
      <c r="L10" s="1286"/>
      <c r="P10" s="3736"/>
      <c r="Q10" s="3736"/>
      <c r="R10" s="3801"/>
      <c r="S10" s="3796"/>
      <c r="T10" s="3817"/>
      <c r="U10" s="235"/>
      <c r="V10" s="1315"/>
      <c r="W10" s="1418"/>
      <c r="X10" s="1315"/>
      <c r="Y10" s="1418"/>
      <c r="Z10" s="1315"/>
      <c r="AA10" s="1315"/>
      <c r="AB10" s="1315"/>
      <c r="AC10" s="1315"/>
      <c r="AD10" s="3677"/>
      <c r="AE10" s="3780"/>
      <c r="AF10" s="3693"/>
      <c r="AG10" s="3819"/>
      <c r="AH10" s="3599"/>
      <c r="AI10" s="3780"/>
      <c r="AJ10" s="3693"/>
      <c r="AK10" s="3781"/>
      <c r="AL10" s="3599"/>
      <c r="AM10" s="251"/>
      <c r="AN10" s="1422"/>
      <c r="AO10" s="1422" t="s">
        <v>544</v>
      </c>
      <c r="AP10" s="350"/>
      <c r="AQ10" s="350"/>
      <c r="AR10" s="350"/>
      <c r="AS10" s="1315"/>
      <c r="AT10" s="1315"/>
      <c r="AU10" s="1418"/>
      <c r="AV10" s="1315"/>
      <c r="AW10" s="1418"/>
      <c r="AX10" s="1315"/>
      <c r="AY10" s="1315"/>
      <c r="AZ10" s="1315"/>
      <c r="BA10" s="1315"/>
      <c r="BB10" s="1319"/>
      <c r="BC10" s="3733"/>
      <c r="BE10" s="434"/>
      <c r="BF10" s="434"/>
      <c r="BG10" s="434"/>
      <c r="BH10" s="434"/>
      <c r="BI10" s="1077">
        <v>0</v>
      </c>
    </row>
    <row r="11" spans="1:61" ht="11.25" hidden="1" customHeight="1">
      <c r="A11" s="1285"/>
      <c r="B11" s="1285"/>
      <c r="C11" s="1285"/>
      <c r="D11" s="1285"/>
      <c r="E11" s="3738"/>
      <c r="F11" s="3738"/>
      <c r="G11" s="3738"/>
      <c r="H11" s="3738"/>
      <c r="I11" s="3758"/>
      <c r="J11" s="3758"/>
      <c r="K11" s="3735"/>
      <c r="L11" s="1286"/>
      <c r="P11" s="3736"/>
      <c r="Q11" s="3736"/>
      <c r="R11" s="3801"/>
      <c r="S11" s="3796"/>
      <c r="T11" s="3817"/>
      <c r="U11" s="235"/>
      <c r="V11" s="1315"/>
      <c r="W11" s="1418"/>
      <c r="X11" s="1315"/>
      <c r="Y11" s="1418"/>
      <c r="Z11" s="1315"/>
      <c r="AA11" s="1315"/>
      <c r="AB11" s="1315"/>
      <c r="AC11" s="1315"/>
      <c r="AD11" s="3677"/>
      <c r="AE11" s="3780"/>
      <c r="AF11" s="3693"/>
      <c r="AG11" s="3819"/>
      <c r="AH11" s="3599"/>
      <c r="AI11" s="229"/>
      <c r="AJ11" s="349"/>
      <c r="AK11" s="248" t="s">
        <v>545</v>
      </c>
      <c r="AL11" s="1315"/>
      <c r="AM11" s="1315"/>
      <c r="AN11" s="1315"/>
      <c r="AO11" s="1315"/>
      <c r="AP11" s="1315"/>
      <c r="AQ11" s="1315"/>
      <c r="AR11" s="1315"/>
      <c r="AS11" s="1315"/>
      <c r="AT11" s="1315"/>
      <c r="AU11" s="1418"/>
      <c r="AV11" s="1315"/>
      <c r="AW11" s="1418"/>
      <c r="AX11" s="1315"/>
      <c r="AY11" s="1315"/>
      <c r="AZ11" s="1315"/>
      <c r="BA11" s="1315"/>
      <c r="BB11" s="1319"/>
      <c r="BC11" s="3733"/>
      <c r="BE11" s="434"/>
      <c r="BF11" s="434"/>
      <c r="BG11" s="434"/>
      <c r="BH11" s="434"/>
      <c r="BI11" s="1077">
        <v>0</v>
      </c>
    </row>
    <row r="12" spans="1:61" ht="11.25" hidden="1" customHeight="1">
      <c r="A12" s="1285"/>
      <c r="B12" s="1285"/>
      <c r="C12" s="1285"/>
      <c r="D12" s="1285"/>
      <c r="E12" s="3738"/>
      <c r="F12" s="3738"/>
      <c r="G12" s="3738"/>
      <c r="H12" s="3738"/>
      <c r="I12" s="3758"/>
      <c r="J12" s="3758"/>
      <c r="K12" s="3735"/>
      <c r="L12" s="1286"/>
      <c r="P12" s="3736"/>
      <c r="Q12" s="3736"/>
      <c r="R12" s="3801"/>
      <c r="S12" s="3797"/>
      <c r="T12" s="3818"/>
      <c r="U12" s="235"/>
      <c r="V12" s="1315"/>
      <c r="W12" s="1316" t="str">
        <f>Z8&amp;"-"&amp;AB8</f>
        <v>-</v>
      </c>
      <c r="X12" s="1315"/>
      <c r="Y12" s="1316" t="str">
        <f>AB8&amp;"-"&amp;AD8</f>
        <v>-да</v>
      </c>
      <c r="Z12" s="1315"/>
      <c r="AA12" s="1315"/>
      <c r="AB12" s="1315"/>
      <c r="AC12" s="1315"/>
      <c r="AD12" s="3604"/>
      <c r="AE12" s="247"/>
      <c r="AF12" s="249"/>
      <c r="AG12" s="350" t="s">
        <v>546</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3733"/>
      <c r="BE12" s="434"/>
      <c r="BF12" s="434" t="str">
        <f t="shared" ref="BF12:BF18" si="1">IF(T12="","",T12)</f>
        <v/>
      </c>
      <c r="BG12" s="434"/>
      <c r="BH12" s="434"/>
      <c r="BI12" s="1077">
        <v>0</v>
      </c>
    </row>
    <row r="13" spans="1:61" ht="11.25" hidden="1" customHeight="1">
      <c r="A13" s="1285"/>
      <c r="B13" s="1285"/>
      <c r="C13" s="1285"/>
      <c r="D13" s="1285"/>
      <c r="E13" s="3738"/>
      <c r="F13" s="3738"/>
      <c r="G13" s="3738"/>
      <c r="H13" s="3738"/>
      <c r="I13" s="3758"/>
      <c r="J13" s="3735"/>
      <c r="K13" s="1285"/>
      <c r="L13" s="1286"/>
      <c r="P13" s="3736"/>
      <c r="Q13" s="3736"/>
      <c r="R13" s="290"/>
      <c r="S13" s="1200"/>
      <c r="T13" s="222" t="s">
        <v>509</v>
      </c>
      <c r="U13" s="301"/>
      <c r="V13" s="301"/>
      <c r="W13" s="301"/>
      <c r="X13" s="301"/>
      <c r="Y13" s="301"/>
      <c r="Z13" s="301"/>
      <c r="AA13" s="301"/>
      <c r="AB13" s="301"/>
      <c r="AC13" s="301"/>
      <c r="AD13" s="1427"/>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734"/>
      <c r="BE13" s="434"/>
      <c r="BF13" s="434" t="str">
        <f t="shared" si="1"/>
        <v>Добавить строку</v>
      </c>
      <c r="BG13" s="434"/>
      <c r="BH13" s="434"/>
      <c r="BI13" s="1077">
        <v>0</v>
      </c>
    </row>
    <row r="14" spans="1:61" s="1564" customFormat="1" ht="14.25" hidden="1" customHeight="1">
      <c r="A14" s="1265"/>
      <c r="B14" s="1265"/>
      <c r="C14" s="1265"/>
      <c r="D14" s="1265"/>
      <c r="E14" s="3738"/>
      <c r="F14" s="3738"/>
      <c r="G14" s="3738"/>
      <c r="H14" s="3738"/>
      <c r="I14" s="3735"/>
      <c r="J14" s="1265"/>
      <c r="K14" s="1265"/>
      <c r="L14" s="1268"/>
      <c r="M14" s="444"/>
      <c r="N14" s="444"/>
      <c r="O14" s="444"/>
      <c r="P14" s="3736"/>
      <c r="Q14" s="1403"/>
      <c r="R14" s="290"/>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4"/>
      <c r="BF14" s="434" t="str">
        <f t="shared" si="1"/>
        <v/>
      </c>
      <c r="BG14" s="434"/>
      <c r="BH14" s="434"/>
      <c r="BI14" s="445">
        <v>0</v>
      </c>
    </row>
    <row r="15" spans="1:61" s="1564" customFormat="1" ht="14.25" hidden="1" customHeight="1">
      <c r="A15" s="1265"/>
      <c r="B15" s="1265"/>
      <c r="C15" s="1265"/>
      <c r="D15" s="1265"/>
      <c r="E15" s="3738"/>
      <c r="F15" s="3738"/>
      <c r="G15" s="3738"/>
      <c r="H15" s="3737"/>
      <c r="I15" s="1265"/>
      <c r="J15" s="1265"/>
      <c r="K15" s="1265"/>
      <c r="L15" s="1268"/>
      <c r="M15" s="1237"/>
      <c r="N15" s="1237"/>
      <c r="O15" s="452"/>
      <c r="P15" s="314"/>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4"/>
      <c r="BF15" s="434" t="str">
        <f t="shared" si="1"/>
        <v/>
      </c>
      <c r="BG15" s="434"/>
      <c r="BH15" s="434"/>
      <c r="BI15" s="445">
        <v>0</v>
      </c>
    </row>
    <row r="16" spans="1:61" s="1564" customFormat="1" ht="14.25" hidden="1" customHeight="1">
      <c r="A16" s="1265"/>
      <c r="B16" s="1265"/>
      <c r="C16" s="1265"/>
      <c r="D16" s="1236"/>
      <c r="E16" s="3738"/>
      <c r="F16" s="3738"/>
      <c r="G16" s="3737"/>
      <c r="H16" s="1236"/>
      <c r="I16" s="1236"/>
      <c r="J16" s="1236"/>
      <c r="K16" s="1236"/>
      <c r="L16" s="141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2">
        <v>0</v>
      </c>
    </row>
    <row r="17" spans="1:61" s="1564" customFormat="1" ht="14.25" hidden="1" customHeight="1">
      <c r="A17" s="1265"/>
      <c r="B17" s="1265"/>
      <c r="C17" s="1236"/>
      <c r="D17" s="1236"/>
      <c r="E17" s="3738"/>
      <c r="F17" s="3737"/>
      <c r="G17" s="1236"/>
      <c r="H17" s="1236"/>
      <c r="I17" s="1236"/>
      <c r="J17" s="1236"/>
      <c r="K17" s="1236"/>
      <c r="L17" s="1416"/>
      <c r="M17" s="1243"/>
      <c r="N17" s="1243"/>
      <c r="P17" s="1238"/>
      <c r="Q17" s="1239"/>
      <c r="R17" s="1238"/>
      <c r="S17" s="1244"/>
      <c r="T17" s="1247" t="s">
        <v>460</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2">
        <v>0</v>
      </c>
    </row>
    <row r="18" spans="1:61" s="1564" customFormat="1" ht="14.25" hidden="1" customHeight="1">
      <c r="A18" s="1265"/>
      <c r="B18" s="1265"/>
      <c r="C18" s="1265"/>
      <c r="D18" s="1265"/>
      <c r="E18" s="3737"/>
      <c r="F18" s="1265"/>
      <c r="G18" s="1265"/>
      <c r="H18" s="1265"/>
      <c r="I18" s="1265"/>
      <c r="J18" s="1265"/>
      <c r="K18" s="1265"/>
      <c r="L18" s="1268"/>
      <c r="M18" s="1243"/>
      <c r="N18" s="1243"/>
      <c r="O18" s="452"/>
      <c r="P18" s="314"/>
      <c r="Q18" s="1266"/>
      <c r="R18" s="314"/>
      <c r="S18" s="1244"/>
      <c r="T18" s="1247" t="s">
        <v>461</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4"/>
      <c r="BF18" s="434" t="str">
        <f t="shared" si="1"/>
        <v>Добавить территорию для дифференциации</v>
      </c>
      <c r="BG18" s="434"/>
      <c r="BH18" s="434"/>
      <c r="BI18" s="445">
        <v>0</v>
      </c>
    </row>
    <row r="19" spans="1:61" ht="14.25" hidden="1" customHeight="1">
      <c r="AC19" s="262"/>
      <c r="BA19" s="262"/>
      <c r="BI19" s="1077">
        <v>0</v>
      </c>
    </row>
    <row r="20" spans="1:61" ht="14.25" hidden="1" customHeight="1">
      <c r="AD20" s="1246" t="s">
        <v>6</v>
      </c>
      <c r="AE20" s="1423"/>
      <c r="AF20" s="482">
        <v>1</v>
      </c>
      <c r="AG20" s="1424"/>
      <c r="AH20" s="1246" t="s">
        <v>6</v>
      </c>
      <c r="AI20" s="1423"/>
      <c r="AJ20" s="482">
        <v>1</v>
      </c>
      <c r="AK20" s="1424"/>
      <c r="AL20" s="1246" t="s">
        <v>6</v>
      </c>
      <c r="AM20" s="1425"/>
      <c r="AN20" s="482">
        <v>1</v>
      </c>
      <c r="AO20" s="1426"/>
      <c r="AP20" s="1246" t="s">
        <v>6</v>
      </c>
      <c r="AQ20" s="1425"/>
      <c r="AR20" s="482">
        <v>1</v>
      </c>
      <c r="AS20" s="1426"/>
      <c r="AT20" s="260"/>
      <c r="AU20" s="318"/>
      <c r="AV20" s="260"/>
      <c r="AW20" s="318"/>
      <c r="AX20" s="1629"/>
      <c r="AY20" s="1407" t="s">
        <v>50</v>
      </c>
      <c r="AZ20" s="1629"/>
      <c r="BA20" s="1407" t="s">
        <v>50</v>
      </c>
      <c r="BI20" s="1077">
        <v>0</v>
      </c>
    </row>
    <row r="21" spans="1:61" ht="14.25" hidden="1" customHeight="1">
      <c r="BD21" s="430"/>
      <c r="BE21" s="430"/>
      <c r="BF21" s="430"/>
      <c r="BG21" s="430"/>
      <c r="BH21" s="430"/>
      <c r="BI21" s="1077">
        <v>0</v>
      </c>
    </row>
    <row r="22" spans="1:61" ht="14.25" hidden="1" customHeight="1">
      <c r="O22" s="1289" t="s">
        <v>462</v>
      </c>
      <c r="Z22" s="1267"/>
      <c r="AB22" s="1267"/>
      <c r="AC22" s="262"/>
      <c r="AX22" s="1267"/>
      <c r="AZ22" s="1267"/>
      <c r="BA22" s="262"/>
      <c r="BD22" s="430"/>
      <c r="BE22" s="430"/>
      <c r="BF22" s="430"/>
      <c r="BG22" s="430"/>
      <c r="BH22" s="430"/>
      <c r="BI22" s="1077">
        <v>0</v>
      </c>
    </row>
    <row r="23" spans="1:61" ht="14.25" hidden="1" customHeight="1">
      <c r="AC23" s="262"/>
      <c r="BA23" s="262"/>
      <c r="BD23" s="430"/>
      <c r="BE23" s="430"/>
      <c r="BF23" s="430"/>
      <c r="BG23" s="430"/>
      <c r="BH23" s="430"/>
      <c r="BI23" s="1077">
        <v>0</v>
      </c>
    </row>
    <row r="24" spans="1:61" s="1431" customFormat="1" ht="14.25" hidden="1" customHeight="1">
      <c r="M24" s="1430"/>
      <c r="N24" s="1430"/>
      <c r="O24" s="1431" t="s">
        <v>463</v>
      </c>
      <c r="P24" s="1430"/>
      <c r="Q24" s="1432"/>
      <c r="R24" s="1432"/>
      <c r="AA24" s="1429" t="s">
        <v>465</v>
      </c>
      <c r="AC24" s="1429" t="s">
        <v>466</v>
      </c>
      <c r="AD24" s="1429" t="s">
        <v>510</v>
      </c>
      <c r="AH24" s="1429" t="s">
        <v>510</v>
      </c>
      <c r="AK24" s="1429" t="s">
        <v>547</v>
      </c>
      <c r="AL24" s="1429" t="s">
        <v>510</v>
      </c>
      <c r="AP24" s="1429" t="s">
        <v>510</v>
      </c>
      <c r="AY24" s="1429" t="s">
        <v>465</v>
      </c>
      <c r="BA24" s="1429" t="s">
        <v>466</v>
      </c>
      <c r="BD24" s="1433"/>
      <c r="BE24" s="1433"/>
      <c r="BF24" s="1433"/>
      <c r="BG24" s="1433"/>
      <c r="BH24" s="1433"/>
      <c r="BI24" s="1429">
        <v>0</v>
      </c>
    </row>
    <row r="25" spans="1:61" ht="14.25" hidden="1" customHeight="1">
      <c r="O25" s="1286"/>
      <c r="BD25" s="430"/>
      <c r="BE25" s="430"/>
      <c r="BF25" s="430"/>
      <c r="BG25" s="430"/>
      <c r="BH25" s="430"/>
      <c r="BI25" s="1077">
        <v>0</v>
      </c>
    </row>
    <row r="26" spans="1:61" ht="14.25" hidden="1" customHeight="1">
      <c r="O26" s="1286"/>
      <c r="BD26" s="430"/>
      <c r="BE26" s="430"/>
      <c r="BF26" s="430"/>
      <c r="BG26" s="430"/>
      <c r="BH26" s="430"/>
      <c r="BI26" s="1077">
        <v>0</v>
      </c>
    </row>
    <row r="27" spans="1:61" ht="14.65" customHeight="1">
      <c r="Q27" s="226"/>
      <c r="R27" s="310"/>
      <c r="S27" s="1197"/>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7">
        <v>14</v>
      </c>
    </row>
    <row r="28" spans="1:61" ht="14.65" customHeight="1">
      <c r="Q28" s="226"/>
      <c r="R28" s="310"/>
      <c r="S28" s="372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721"/>
      <c r="U28" s="3721"/>
      <c r="V28" s="3721"/>
      <c r="W28" s="3721"/>
      <c r="X28" s="3721"/>
      <c r="Y28" s="3721"/>
      <c r="Z28" s="3721"/>
      <c r="AA28" s="3721"/>
      <c r="AB28" s="3721"/>
      <c r="AC28" s="3721"/>
      <c r="AD28" s="3721"/>
      <c r="AE28" s="3721"/>
      <c r="AF28" s="3721"/>
      <c r="AG28" s="3721"/>
      <c r="AH28" s="3721"/>
      <c r="AI28" s="3721"/>
      <c r="AJ28" s="3721"/>
      <c r="AK28" s="3721"/>
      <c r="AL28" s="3721"/>
      <c r="AM28" s="3721"/>
      <c r="AN28" s="3721"/>
      <c r="AO28" s="3721"/>
      <c r="AP28" s="3721"/>
      <c r="AQ28" s="3721"/>
      <c r="AR28" s="3721"/>
      <c r="AS28" s="3721"/>
      <c r="AT28" s="3721"/>
      <c r="AU28" s="3721"/>
      <c r="AV28" s="3721"/>
      <c r="AW28" s="3721"/>
      <c r="AX28" s="3721"/>
      <c r="AY28" s="3721"/>
      <c r="AZ28" s="3721"/>
      <c r="BA28" s="1165"/>
      <c r="BI28" s="1077">
        <v>14</v>
      </c>
    </row>
    <row r="29" spans="1:61" ht="14.65" customHeight="1">
      <c r="Q29" s="226"/>
      <c r="R29" s="310"/>
      <c r="S29" s="3667" t="str">
        <f>IF(org=0,"Не определено",org)</f>
        <v>ООО "Смоленскрегионтеплоэнерго"</v>
      </c>
      <c r="T29" s="3667"/>
      <c r="U29" s="3667"/>
      <c r="V29" s="3667"/>
      <c r="W29" s="3667"/>
      <c r="X29" s="3667"/>
      <c r="Y29" s="3667"/>
      <c r="Z29" s="3667"/>
      <c r="AA29" s="3667"/>
      <c r="AB29" s="3667"/>
      <c r="AC29" s="3667"/>
      <c r="AD29" s="3667"/>
      <c r="AE29" s="3667"/>
      <c r="AF29" s="3667"/>
      <c r="AG29" s="3667"/>
      <c r="AH29" s="3667"/>
      <c r="AI29" s="3667"/>
      <c r="AJ29" s="3667"/>
      <c r="AK29" s="3667"/>
      <c r="AL29" s="3667"/>
      <c r="AM29" s="3667"/>
      <c r="AN29" s="3667"/>
      <c r="AO29" s="3667"/>
      <c r="AP29" s="3667"/>
      <c r="AQ29" s="3667"/>
      <c r="AR29" s="3667"/>
      <c r="AS29" s="3667"/>
      <c r="AT29" s="3667"/>
      <c r="AU29" s="3667"/>
      <c r="AV29" s="3667"/>
      <c r="AW29" s="3667"/>
      <c r="AX29" s="3667"/>
      <c r="AY29" s="3667"/>
      <c r="AZ29" s="3667"/>
      <c r="BA29" s="1165"/>
      <c r="BI29" s="1077">
        <v>14</v>
      </c>
    </row>
    <row r="30" spans="1:61" ht="14.25" hidden="1" customHeight="1">
      <c r="Q30" s="226"/>
      <c r="R30" s="310"/>
      <c r="S30" s="1197"/>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7">
        <v>0</v>
      </c>
    </row>
    <row r="31" spans="1:61" s="1742" customFormat="1" ht="25.5" hidden="1" customHeight="1">
      <c r="A31" s="1290"/>
      <c r="B31" s="1290"/>
      <c r="C31" s="1290"/>
      <c r="D31" s="1290"/>
      <c r="E31" s="1290"/>
      <c r="F31" s="1290"/>
      <c r="G31" s="1290"/>
      <c r="H31" s="1290"/>
      <c r="I31" s="1290"/>
      <c r="J31" s="1290"/>
      <c r="K31" s="1290"/>
      <c r="L31" s="1291"/>
      <c r="M31" s="1290"/>
      <c r="N31" s="1290"/>
      <c r="O31" s="1290"/>
      <c r="P31" s="1290"/>
      <c r="Q31" s="1290"/>
      <c r="S31" s="372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3729"/>
      <c r="U31" s="1294"/>
      <c r="V31" s="3730" t="str">
        <f>IF(TITLE_NAME_OR_PR_CHANGE="",IF(TITLE_NAME_OR_PR="","",TITLE_NAME_OR_PR),TITLE_NAME_OR_PR_CHANGE)</f>
        <v/>
      </c>
      <c r="W31" s="3730"/>
      <c r="X31" s="3730"/>
      <c r="Y31" s="3730"/>
      <c r="Z31" s="3730"/>
      <c r="AA31" s="3730"/>
      <c r="AB31" s="3730"/>
      <c r="AC31" s="261"/>
      <c r="AD31" s="3730" t="str">
        <f>IF(TITLE_NAME_OR_PR_CHANGE="",IF(TITLE_NAME_OR_PR="","",TITLE_NAME_OR_PR),TITLE_NAME_OR_PR_CHANGE)</f>
        <v/>
      </c>
      <c r="AE31" s="3730"/>
      <c r="AF31" s="3730"/>
      <c r="AG31" s="3730"/>
      <c r="AH31" s="3730"/>
      <c r="AI31" s="3730"/>
      <c r="AJ31" s="3730"/>
      <c r="AK31" s="3730"/>
      <c r="AL31" s="3730"/>
      <c r="AM31" s="3730"/>
      <c r="AN31" s="3730"/>
      <c r="AO31" s="3730"/>
      <c r="AP31" s="3730"/>
      <c r="AQ31" s="3730"/>
      <c r="AR31" s="3730"/>
      <c r="AS31" s="3730"/>
      <c r="AT31" s="3730"/>
      <c r="AU31" s="3730"/>
      <c r="AV31" s="3730"/>
      <c r="AW31" s="3730"/>
      <c r="AX31" s="3730"/>
      <c r="AY31" s="3730"/>
      <c r="AZ31" s="3730"/>
      <c r="BA31" s="261"/>
      <c r="BB31" s="261"/>
      <c r="BC31" s="215"/>
      <c r="BD31" s="302"/>
      <c r="BE31" s="302"/>
      <c r="BF31" s="302"/>
      <c r="BG31" s="302"/>
      <c r="BH31" s="302"/>
      <c r="BI31" s="352">
        <v>0</v>
      </c>
    </row>
    <row r="32" spans="1:61" s="1742" customFormat="1" ht="18.75" hidden="1" customHeight="1">
      <c r="A32" s="1290"/>
      <c r="B32" s="1290"/>
      <c r="C32" s="1290"/>
      <c r="D32" s="1290"/>
      <c r="E32" s="1290"/>
      <c r="F32" s="1290"/>
      <c r="G32" s="1290"/>
      <c r="H32" s="1290"/>
      <c r="I32" s="1290"/>
      <c r="J32" s="1290"/>
      <c r="K32" s="1290"/>
      <c r="L32" s="1291"/>
      <c r="M32" s="1290"/>
      <c r="N32" s="1290"/>
      <c r="O32" s="1290"/>
      <c r="P32" s="1290"/>
      <c r="Q32" s="1290"/>
      <c r="S32" s="3729" t="str">
        <f>"Дата документа об "&amp;IF(TITLE_DATE_PR_CHANGE="","утверждении","изменении")&amp;" тарифов"</f>
        <v>Дата документа об утверждении тарифов</v>
      </c>
      <c r="T32" s="3729"/>
      <c r="U32" s="1294"/>
      <c r="V32" s="3739" t="str">
        <f>IF(TITLE_DATE_PR_CHANGE="",IF(TITLE_DATE_PR="","",TITLE_DATE_PR),TITLE_DATE_PR_CHANGE)</f>
        <v/>
      </c>
      <c r="W32" s="3739"/>
      <c r="X32" s="3739"/>
      <c r="Y32" s="3739"/>
      <c r="Z32" s="3739"/>
      <c r="AA32" s="3739"/>
      <c r="AB32" s="3739"/>
      <c r="AC32" s="261"/>
      <c r="AD32" s="3739" t="str">
        <f>IF(TITLE_DATE_PR_CHANGE="",IF(TITLE_DATE_PR="","",TITLE_DATE_PR),TITLE_DATE_PR_CHANGE)</f>
        <v/>
      </c>
      <c r="AE32" s="3739"/>
      <c r="AF32" s="3739"/>
      <c r="AG32" s="3739"/>
      <c r="AH32" s="3739"/>
      <c r="AI32" s="3739"/>
      <c r="AJ32" s="3739"/>
      <c r="AK32" s="3739"/>
      <c r="AL32" s="3739"/>
      <c r="AM32" s="3739"/>
      <c r="AN32" s="3739"/>
      <c r="AO32" s="3739"/>
      <c r="AP32" s="3739"/>
      <c r="AQ32" s="3739"/>
      <c r="AR32" s="3739"/>
      <c r="AS32" s="3739"/>
      <c r="AT32" s="3739"/>
      <c r="AU32" s="3739"/>
      <c r="AV32" s="3739"/>
      <c r="AW32" s="3739"/>
      <c r="AX32" s="3739"/>
      <c r="AY32" s="3739"/>
      <c r="AZ32" s="3739"/>
      <c r="BA32" s="261"/>
      <c r="BB32" s="261"/>
      <c r="BC32" s="215"/>
      <c r="BD32" s="302"/>
      <c r="BE32" s="302"/>
      <c r="BF32" s="302"/>
      <c r="BG32" s="302"/>
      <c r="BH32" s="302"/>
      <c r="BI32" s="352">
        <v>0</v>
      </c>
    </row>
    <row r="33" spans="1:61" s="1742" customFormat="1" ht="18.75" hidden="1" customHeight="1">
      <c r="A33" s="1290"/>
      <c r="B33" s="1290"/>
      <c r="C33" s="1290"/>
      <c r="D33" s="1290"/>
      <c r="E33" s="1290"/>
      <c r="F33" s="1290"/>
      <c r="G33" s="1290"/>
      <c r="H33" s="1290"/>
      <c r="I33" s="1290"/>
      <c r="J33" s="1290"/>
      <c r="K33" s="1290"/>
      <c r="L33" s="1291"/>
      <c r="M33" s="1290"/>
      <c r="N33" s="1290"/>
      <c r="O33" s="1290"/>
      <c r="P33" s="1290"/>
      <c r="Q33" s="1290"/>
      <c r="S33" s="3729" t="str">
        <f>"Номер документа об "&amp;IF(TITLE_DATE_PR_CHANGE="","утверждении","изменении")&amp;" тарифов"</f>
        <v>Номер документа об утверждении тарифов</v>
      </c>
      <c r="T33" s="3729"/>
      <c r="U33" s="1294"/>
      <c r="V33" s="3730" t="str">
        <f>IF(TITLE_NUMBER_PR_CHANGE="",IF(TITLE_NUMBER_PR="","",TITLE_NUMBER_PR),TITLE_NUMBER_PR_CHANGE)</f>
        <v/>
      </c>
      <c r="W33" s="3730"/>
      <c r="X33" s="3730"/>
      <c r="Y33" s="3730"/>
      <c r="Z33" s="3730"/>
      <c r="AA33" s="3730"/>
      <c r="AB33" s="3730"/>
      <c r="AC33" s="261"/>
      <c r="AD33" s="3730" t="str">
        <f>IF(TITLE_NUMBER_PR_CHANGE="",IF(TITLE_NUMBER_PR="","",TITLE_NUMBER_PR),TITLE_NUMBER_PR_CHANGE)</f>
        <v/>
      </c>
      <c r="AE33" s="3730"/>
      <c r="AF33" s="3730"/>
      <c r="AG33" s="3730"/>
      <c r="AH33" s="3730"/>
      <c r="AI33" s="3730"/>
      <c r="AJ33" s="3730"/>
      <c r="AK33" s="3730"/>
      <c r="AL33" s="3730"/>
      <c r="AM33" s="3730"/>
      <c r="AN33" s="3730"/>
      <c r="AO33" s="3730"/>
      <c r="AP33" s="3730"/>
      <c r="AQ33" s="3730"/>
      <c r="AR33" s="3730"/>
      <c r="AS33" s="3730"/>
      <c r="AT33" s="3730"/>
      <c r="AU33" s="3730"/>
      <c r="AV33" s="3730"/>
      <c r="AW33" s="3730"/>
      <c r="AX33" s="3730"/>
      <c r="AY33" s="3730"/>
      <c r="AZ33" s="3730"/>
      <c r="BA33" s="261"/>
      <c r="BB33" s="261"/>
      <c r="BC33" s="215"/>
      <c r="BD33" s="302"/>
      <c r="BE33" s="302"/>
      <c r="BF33" s="302"/>
      <c r="BG33" s="302"/>
      <c r="BH33" s="302"/>
      <c r="BI33" s="352">
        <v>0</v>
      </c>
    </row>
    <row r="34" spans="1:61" s="1742" customFormat="1" ht="18.75" hidden="1" customHeight="1">
      <c r="A34" s="1290"/>
      <c r="B34" s="1290"/>
      <c r="C34" s="1290"/>
      <c r="D34" s="1290"/>
      <c r="E34" s="1290"/>
      <c r="F34" s="1290"/>
      <c r="G34" s="1290"/>
      <c r="H34" s="1290"/>
      <c r="I34" s="1290"/>
      <c r="J34" s="1290"/>
      <c r="K34" s="1290"/>
      <c r="L34" s="1291"/>
      <c r="M34" s="1290"/>
      <c r="N34" s="1290"/>
      <c r="O34" s="1290"/>
      <c r="P34" s="1290"/>
      <c r="Q34" s="1290"/>
      <c r="S34" s="3729" t="s">
        <v>30</v>
      </c>
      <c r="T34" s="3729"/>
      <c r="U34" s="1294"/>
      <c r="V34" s="3730" t="str">
        <f>IF(TITLE_IST_PUB_CHANGE="",IF(TITLE_IST_PUB="","",TITLE_IST_PUB),TITLE_IST_PUB_CHANGE)</f>
        <v/>
      </c>
      <c r="W34" s="3730"/>
      <c r="X34" s="3730"/>
      <c r="Y34" s="3730"/>
      <c r="Z34" s="3730"/>
      <c r="AA34" s="3730"/>
      <c r="AB34" s="3730"/>
      <c r="AC34" s="261"/>
      <c r="AD34" s="3730" t="str">
        <f>IF(TITLE_IST_PUB_CHANGE="",IF(TITLE_IST_PUB="","",TITLE_IST_PUB),TITLE_IST_PUB_CHANGE)</f>
        <v/>
      </c>
      <c r="AE34" s="3730"/>
      <c r="AF34" s="3730"/>
      <c r="AG34" s="3730"/>
      <c r="AH34" s="3730"/>
      <c r="AI34" s="3730"/>
      <c r="AJ34" s="3730"/>
      <c r="AK34" s="3730"/>
      <c r="AL34" s="3730"/>
      <c r="AM34" s="3730"/>
      <c r="AN34" s="3730"/>
      <c r="AO34" s="3730"/>
      <c r="AP34" s="3730"/>
      <c r="AQ34" s="3730"/>
      <c r="AR34" s="3730"/>
      <c r="AS34" s="3730"/>
      <c r="AT34" s="3730"/>
      <c r="AU34" s="3730"/>
      <c r="AV34" s="3730"/>
      <c r="AW34" s="3730"/>
      <c r="AX34" s="3730"/>
      <c r="AY34" s="3730"/>
      <c r="AZ34" s="3730"/>
      <c r="BA34" s="261"/>
      <c r="BB34" s="261"/>
      <c r="BC34" s="215"/>
      <c r="BD34" s="302"/>
      <c r="BE34" s="302"/>
      <c r="BF34" s="302"/>
      <c r="BG34" s="302"/>
      <c r="BH34" s="302"/>
      <c r="BI34" s="352">
        <v>0</v>
      </c>
    </row>
    <row r="35" spans="1:61" ht="14.25" hidden="1" customHeight="1">
      <c r="Q35" s="226"/>
      <c r="R35" s="310"/>
      <c r="S35" s="1197"/>
      <c r="T35" s="391"/>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7">
        <v>0</v>
      </c>
    </row>
    <row r="36" spans="1:61" s="1742" customFormat="1" ht="18.75" hidden="1" customHeight="1">
      <c r="A36" s="1290"/>
      <c r="B36" s="1290"/>
      <c r="C36" s="1290"/>
      <c r="D36" s="1290"/>
      <c r="E36" s="1290"/>
      <c r="F36" s="1290"/>
      <c r="G36" s="1290"/>
      <c r="H36" s="1290"/>
      <c r="I36" s="1290"/>
      <c r="J36" s="1290"/>
      <c r="K36" s="1290"/>
      <c r="L36" s="1291"/>
      <c r="M36" s="1290"/>
      <c r="N36" s="1290"/>
      <c r="O36" s="1290"/>
      <c r="P36" s="1290"/>
      <c r="Q36" s="1290"/>
      <c r="S36" s="3729" t="str">
        <f>"Дата подачи заявления об "&amp;IF(TITLE_DATE_PR_CHANGE="","утверждении","изменении")&amp;" тарифов"</f>
        <v>Дата подачи заявления об утверждении тарифов</v>
      </c>
      <c r="T36" s="3729"/>
      <c r="U36" s="1294"/>
      <c r="V36" s="3739" t="str">
        <f>IF(TITLE_DATE_PR_CHANGE="",IF(TITLE_DATE_PR="","",TITLE_DATE_PR),TITLE_DATE_PR_CHANGE)</f>
        <v/>
      </c>
      <c r="W36" s="3739"/>
      <c r="X36" s="3739"/>
      <c r="Y36" s="3739"/>
      <c r="Z36" s="3739"/>
      <c r="AA36" s="3739"/>
      <c r="AB36" s="3739"/>
      <c r="AC36" s="261"/>
      <c r="AD36" s="3739" t="str">
        <f>IF(TITLE_DATE_PR_CHANGE="",IF(TITLE_DATE_PR="","",TITLE_DATE_PR),TITLE_DATE_PR_CHANGE)</f>
        <v/>
      </c>
      <c r="AE36" s="3739"/>
      <c r="AF36" s="3739"/>
      <c r="AG36" s="3739"/>
      <c r="AH36" s="3739"/>
      <c r="AI36" s="3739"/>
      <c r="AJ36" s="3739"/>
      <c r="AK36" s="3739"/>
      <c r="AL36" s="3739"/>
      <c r="AM36" s="3739"/>
      <c r="AN36" s="3739"/>
      <c r="AO36" s="3739"/>
      <c r="AP36" s="3739"/>
      <c r="AQ36" s="3739"/>
      <c r="AR36" s="3739"/>
      <c r="AS36" s="3739"/>
      <c r="AT36" s="3739"/>
      <c r="AU36" s="3739"/>
      <c r="AV36" s="3739"/>
      <c r="AW36" s="3739"/>
      <c r="AX36" s="3739"/>
      <c r="AY36" s="3739"/>
      <c r="AZ36" s="3739"/>
      <c r="BA36" s="261"/>
      <c r="BB36" s="261"/>
      <c r="BC36" s="215"/>
      <c r="BD36" s="302"/>
      <c r="BE36" s="302"/>
      <c r="BF36" s="302"/>
      <c r="BG36" s="302"/>
      <c r="BH36" s="302"/>
      <c r="BI36" s="352">
        <v>0</v>
      </c>
    </row>
    <row r="37" spans="1:61" s="1742" customFormat="1" ht="18.75" hidden="1" customHeight="1">
      <c r="A37" s="1290"/>
      <c r="B37" s="1290"/>
      <c r="C37" s="1290"/>
      <c r="D37" s="1290"/>
      <c r="E37" s="1290"/>
      <c r="F37" s="1290"/>
      <c r="G37" s="1290"/>
      <c r="H37" s="1290"/>
      <c r="I37" s="1290"/>
      <c r="J37" s="1290"/>
      <c r="K37" s="1290"/>
      <c r="L37" s="1291"/>
      <c r="M37" s="1290"/>
      <c r="N37" s="1290"/>
      <c r="O37" s="1290"/>
      <c r="P37" s="1290"/>
      <c r="Q37" s="1290"/>
      <c r="S37" s="3729" t="str">
        <f>"Номер подачи заявления об "&amp;IF(TITLE_DATE_PR_CHANGE="","утверждении","изменении")&amp;" тарифов"</f>
        <v>Номер подачи заявления об утверждении тарифов</v>
      </c>
      <c r="T37" s="3729"/>
      <c r="U37" s="1294"/>
      <c r="V37" s="3730" t="str">
        <f>IF(TITLE_NUMBER_PR_CHANGE="",IF(TITLE_NUMBER_PR="","",TITLE_NUMBER_PR),TITLE_NUMBER_PR_CHANGE)</f>
        <v/>
      </c>
      <c r="W37" s="3730"/>
      <c r="X37" s="3730"/>
      <c r="Y37" s="3730"/>
      <c r="Z37" s="3730"/>
      <c r="AA37" s="3730"/>
      <c r="AB37" s="3730"/>
      <c r="AC37" s="261"/>
      <c r="AD37" s="3730" t="str">
        <f>IF(TITLE_NUMBER_PR_CHANGE="",IF(TITLE_NUMBER_PR="","",TITLE_NUMBER_PR),TITLE_NUMBER_PR_CHANGE)</f>
        <v/>
      </c>
      <c r="AE37" s="3730"/>
      <c r="AF37" s="3730"/>
      <c r="AG37" s="3730"/>
      <c r="AH37" s="3730"/>
      <c r="AI37" s="3730"/>
      <c r="AJ37" s="3730"/>
      <c r="AK37" s="3730"/>
      <c r="AL37" s="3730"/>
      <c r="AM37" s="3730"/>
      <c r="AN37" s="3730"/>
      <c r="AO37" s="3730"/>
      <c r="AP37" s="3730"/>
      <c r="AQ37" s="3730"/>
      <c r="AR37" s="3730"/>
      <c r="AS37" s="3730"/>
      <c r="AT37" s="3730"/>
      <c r="AU37" s="3730"/>
      <c r="AV37" s="3730"/>
      <c r="AW37" s="3730"/>
      <c r="AX37" s="3730"/>
      <c r="AY37" s="3730"/>
      <c r="AZ37" s="3730"/>
      <c r="BA37" s="261"/>
      <c r="BB37" s="261"/>
      <c r="BC37" s="215"/>
      <c r="BD37" s="302"/>
      <c r="BE37" s="302"/>
      <c r="BF37" s="302"/>
      <c r="BG37" s="302"/>
      <c r="BH37" s="302"/>
      <c r="BI37" s="352">
        <v>0</v>
      </c>
    </row>
    <row r="38" spans="1:61" s="1742" customFormat="1" ht="0" hidden="1" customHeight="1">
      <c r="A38" s="1290"/>
      <c r="B38" s="1290"/>
      <c r="C38" s="1290"/>
      <c r="D38" s="1290"/>
      <c r="E38" s="1290"/>
      <c r="F38" s="1290"/>
      <c r="G38" s="1290"/>
      <c r="H38" s="1290"/>
      <c r="I38" s="1290"/>
      <c r="J38" s="1290"/>
      <c r="K38" s="1290"/>
      <c r="L38" s="1291"/>
      <c r="M38" s="1290"/>
      <c r="N38" s="1290"/>
      <c r="O38" s="1290"/>
      <c r="P38" s="1290"/>
      <c r="Q38" s="1290"/>
      <c r="S38" s="258"/>
      <c r="T38" s="258"/>
      <c r="U38" s="1410"/>
      <c r="V38" s="261"/>
      <c r="W38" s="261"/>
      <c r="X38" s="261"/>
      <c r="Y38" s="261"/>
      <c r="Z38" s="261"/>
      <c r="AA38" s="261"/>
      <c r="AB38" s="261"/>
      <c r="AC38" s="213" t="s">
        <v>468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468</v>
      </c>
      <c r="BD38" s="302"/>
      <c r="BE38" s="302"/>
      <c r="BF38" s="302"/>
      <c r="BG38" s="302"/>
      <c r="BH38" s="302"/>
      <c r="BI38" s="352">
        <v>0</v>
      </c>
    </row>
    <row r="39" spans="1:61" ht="14.65" customHeight="1">
      <c r="Q39" s="226"/>
      <c r="R39" s="310"/>
      <c r="S39" s="1197"/>
      <c r="T39" s="297"/>
      <c r="U39" s="1166"/>
      <c r="V39" s="3731"/>
      <c r="W39" s="3731"/>
      <c r="X39" s="3731"/>
      <c r="Y39" s="3731"/>
      <c r="Z39" s="3731"/>
      <c r="AA39" s="3731"/>
      <c r="AB39" s="3731"/>
      <c r="AC39" s="3731"/>
      <c r="AD39" s="3731"/>
      <c r="AE39" s="3731"/>
      <c r="AF39" s="3731"/>
      <c r="AG39" s="3731"/>
      <c r="AH39" s="3731"/>
      <c r="AI39" s="3731"/>
      <c r="AJ39" s="3731"/>
      <c r="AK39" s="3731"/>
      <c r="AL39" s="3731"/>
      <c r="AM39" s="3731"/>
      <c r="AN39" s="3731"/>
      <c r="AO39" s="3731"/>
      <c r="AP39" s="3731"/>
      <c r="AQ39" s="3731"/>
      <c r="AR39" s="3731"/>
      <c r="AS39" s="3731"/>
      <c r="AT39" s="3731"/>
      <c r="AU39" s="3731"/>
      <c r="AV39" s="3731"/>
      <c r="AW39" s="3731"/>
      <c r="AX39" s="3731"/>
      <c r="AY39" s="3731"/>
      <c r="AZ39" s="3731"/>
      <c r="BA39" s="3731"/>
      <c r="BI39" s="1077">
        <v>14</v>
      </c>
    </row>
    <row r="40" spans="1:61" ht="14.65" customHeight="1">
      <c r="Q40" s="226"/>
      <c r="R40" s="310"/>
      <c r="S40" s="3618" t="s">
        <v>345</v>
      </c>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c r="AS40" s="3618"/>
      <c r="AT40" s="3618"/>
      <c r="AU40" s="3618"/>
      <c r="AV40" s="3618"/>
      <c r="AW40" s="3618"/>
      <c r="AX40" s="3618"/>
      <c r="AY40" s="3618"/>
      <c r="AZ40" s="3618"/>
      <c r="BA40" s="3618"/>
      <c r="BB40" s="3618"/>
      <c r="BC40" s="3618" t="s">
        <v>346</v>
      </c>
      <c r="BI40" s="1077">
        <v>14</v>
      </c>
    </row>
    <row r="41" spans="1:61" ht="14.65" customHeight="1">
      <c r="Q41" s="226"/>
      <c r="R41" s="310"/>
      <c r="S41" s="3745" t="s">
        <v>76</v>
      </c>
      <c r="T41" s="3697" t="s">
        <v>550</v>
      </c>
      <c r="U41" s="236"/>
      <c r="V41" s="3746" t="s">
        <v>470</v>
      </c>
      <c r="W41" s="3747"/>
      <c r="X41" s="3747"/>
      <c r="Y41" s="3747"/>
      <c r="Z41" s="3747"/>
      <c r="AA41" s="3747"/>
      <c r="AB41" s="3748"/>
      <c r="AC41" s="3749" t="s">
        <v>471</v>
      </c>
      <c r="AD41" s="3782" t="s">
        <v>551</v>
      </c>
      <c r="AE41" s="3763"/>
      <c r="AF41" s="3763"/>
      <c r="AG41" s="3783"/>
      <c r="AH41" s="3782" t="s">
        <v>552</v>
      </c>
      <c r="AI41" s="3763"/>
      <c r="AJ41" s="3763"/>
      <c r="AK41" s="3783"/>
      <c r="AL41" s="3782" t="s">
        <v>553</v>
      </c>
      <c r="AM41" s="3763"/>
      <c r="AN41" s="3763"/>
      <c r="AO41" s="3783"/>
      <c r="AP41" s="3782" t="s">
        <v>554</v>
      </c>
      <c r="AQ41" s="3763"/>
      <c r="AR41" s="3763"/>
      <c r="AS41" s="3783"/>
      <c r="AT41" s="3746" t="s">
        <v>470</v>
      </c>
      <c r="AU41" s="3747"/>
      <c r="AV41" s="3747"/>
      <c r="AW41" s="3747"/>
      <c r="AX41" s="3747"/>
      <c r="AY41" s="3747"/>
      <c r="AZ41" s="3748"/>
      <c r="BA41" s="3749" t="s">
        <v>471</v>
      </c>
      <c r="BB41" s="3752" t="s">
        <v>473</v>
      </c>
      <c r="BC41" s="3618"/>
      <c r="BI41" s="1077">
        <v>14</v>
      </c>
    </row>
    <row r="42" spans="1:61" ht="35.65" customHeight="1">
      <c r="Q42" s="226"/>
      <c r="R42" s="310"/>
      <c r="S42" s="3745"/>
      <c r="T42" s="3697"/>
      <c r="U42" s="957"/>
      <c r="V42" s="3683" t="s">
        <v>555</v>
      </c>
      <c r="W42" s="3684"/>
      <c r="X42" s="3683" t="s">
        <v>556</v>
      </c>
      <c r="Y42" s="3684"/>
      <c r="Z42" s="3683" t="s">
        <v>557</v>
      </c>
      <c r="AA42" s="3777"/>
      <c r="AB42" s="3684"/>
      <c r="AC42" s="3750"/>
      <c r="AD42" s="3784"/>
      <c r="AE42" s="3785"/>
      <c r="AF42" s="3785"/>
      <c r="AG42" s="3786"/>
      <c r="AH42" s="3784"/>
      <c r="AI42" s="3785"/>
      <c r="AJ42" s="3785"/>
      <c r="AK42" s="3786"/>
      <c r="AL42" s="3784"/>
      <c r="AM42" s="3785"/>
      <c r="AN42" s="3785"/>
      <c r="AO42" s="3786"/>
      <c r="AP42" s="3784"/>
      <c r="AQ42" s="3785"/>
      <c r="AR42" s="3785"/>
      <c r="AS42" s="3786"/>
      <c r="AT42" s="3683" t="s">
        <v>555</v>
      </c>
      <c r="AU42" s="3684"/>
      <c r="AV42" s="3683" t="s">
        <v>556</v>
      </c>
      <c r="AW42" s="3684"/>
      <c r="AX42" s="3683" t="s">
        <v>557</v>
      </c>
      <c r="AY42" s="3777"/>
      <c r="AZ42" s="3684"/>
      <c r="BA42" s="3750"/>
      <c r="BB42" s="3753"/>
      <c r="BC42" s="3618"/>
      <c r="BI42" s="1077">
        <v>34</v>
      </c>
    </row>
    <row r="43" spans="1:61" ht="14.65" customHeight="1">
      <c r="Q43" s="226"/>
      <c r="R43" s="310"/>
      <c r="S43" s="3745"/>
      <c r="T43" s="3697"/>
      <c r="U43" s="957"/>
      <c r="V43" s="3688"/>
      <c r="W43" s="3689"/>
      <c r="X43" s="3688"/>
      <c r="Y43" s="3689"/>
      <c r="Z43" s="3688"/>
      <c r="AA43" s="3778"/>
      <c r="AB43" s="3689"/>
      <c r="AC43" s="3750"/>
      <c r="AD43" s="3784"/>
      <c r="AE43" s="3785"/>
      <c r="AF43" s="3785"/>
      <c r="AG43" s="3786"/>
      <c r="AH43" s="3784"/>
      <c r="AI43" s="3785"/>
      <c r="AJ43" s="3785"/>
      <c r="AK43" s="3786"/>
      <c r="AL43" s="3784"/>
      <c r="AM43" s="3785"/>
      <c r="AN43" s="3785"/>
      <c r="AO43" s="3786"/>
      <c r="AP43" s="3784"/>
      <c r="AQ43" s="3785"/>
      <c r="AR43" s="3785"/>
      <c r="AS43" s="3786"/>
      <c r="AT43" s="3688"/>
      <c r="AU43" s="3689"/>
      <c r="AV43" s="3688"/>
      <c r="AW43" s="3689"/>
      <c r="AX43" s="3688"/>
      <c r="AY43" s="3778"/>
      <c r="AZ43" s="3689"/>
      <c r="BA43" s="3750"/>
      <c r="BB43" s="3753"/>
      <c r="BC43" s="3618"/>
      <c r="BI43" s="1077">
        <v>14</v>
      </c>
    </row>
    <row r="44" spans="1:61" ht="14.65" customHeight="1">
      <c r="A44" s="1292"/>
      <c r="B44" s="1292" t="s">
        <v>188</v>
      </c>
      <c r="C44" s="1292" t="s">
        <v>189</v>
      </c>
      <c r="D44" s="1292" t="s">
        <v>190</v>
      </c>
      <c r="E44" s="1286" t="s">
        <v>478</v>
      </c>
      <c r="F44" s="1286" t="s">
        <v>479</v>
      </c>
      <c r="G44" s="1286" t="s">
        <v>480</v>
      </c>
      <c r="H44" s="1286" t="s">
        <v>481</v>
      </c>
      <c r="I44" s="1286" t="s">
        <v>482</v>
      </c>
      <c r="J44" s="1286" t="s">
        <v>483</v>
      </c>
      <c r="K44" s="1286" t="s">
        <v>484</v>
      </c>
      <c r="L44" s="1286" t="s">
        <v>463</v>
      </c>
      <c r="Q44" s="226"/>
      <c r="R44" s="310"/>
      <c r="S44" s="3745"/>
      <c r="T44" s="3697"/>
      <c r="U44" s="237"/>
      <c r="V44" s="1401" t="s">
        <v>519</v>
      </c>
      <c r="W44" s="1401" t="s">
        <v>520</v>
      </c>
      <c r="X44" s="1401" t="s">
        <v>519</v>
      </c>
      <c r="Y44" s="1401" t="s">
        <v>520</v>
      </c>
      <c r="Z44" s="1411" t="s">
        <v>487</v>
      </c>
      <c r="AA44" s="3705" t="s">
        <v>488</v>
      </c>
      <c r="AB44" s="3707"/>
      <c r="AC44" s="3751"/>
      <c r="AD44" s="3787"/>
      <c r="AE44" s="3788"/>
      <c r="AF44" s="3788"/>
      <c r="AG44" s="3789"/>
      <c r="AH44" s="3787"/>
      <c r="AI44" s="3788"/>
      <c r="AJ44" s="3788"/>
      <c r="AK44" s="3789"/>
      <c r="AL44" s="3787"/>
      <c r="AM44" s="3788"/>
      <c r="AN44" s="3788"/>
      <c r="AO44" s="3789"/>
      <c r="AP44" s="3787"/>
      <c r="AQ44" s="3788"/>
      <c r="AR44" s="3788"/>
      <c r="AS44" s="3789"/>
      <c r="AT44" s="1401" t="s">
        <v>519</v>
      </c>
      <c r="AU44" s="1401" t="s">
        <v>520</v>
      </c>
      <c r="AV44" s="1401" t="s">
        <v>519</v>
      </c>
      <c r="AW44" s="1401" t="s">
        <v>520</v>
      </c>
      <c r="AX44" s="1411" t="s">
        <v>487</v>
      </c>
      <c r="AY44" s="3705" t="s">
        <v>488</v>
      </c>
      <c r="AZ44" s="3707"/>
      <c r="BA44" s="3751"/>
      <c r="BB44" s="3754"/>
      <c r="BC44" s="3618"/>
      <c r="BI44" s="1077">
        <v>14</v>
      </c>
    </row>
    <row r="45" spans="1:61" s="1563" customFormat="1" ht="0" hidden="1" customHeight="1">
      <c r="A45" s="1292"/>
      <c r="B45" s="1292"/>
      <c r="C45" s="1292"/>
      <c r="D45" s="1292"/>
      <c r="E45" s="1292"/>
      <c r="F45" s="1292"/>
      <c r="G45" s="1292"/>
      <c r="H45" s="1292"/>
      <c r="I45" s="1292"/>
      <c r="J45" s="1292"/>
      <c r="K45" s="1292"/>
      <c r="L45" s="1286"/>
      <c r="M45" s="1284"/>
      <c r="N45" s="1284"/>
      <c r="O45" s="1284"/>
      <c r="P45" s="444"/>
      <c r="Q45" s="1176"/>
      <c r="R45" s="1176">
        <v>1</v>
      </c>
      <c r="S45" s="1199" t="s">
        <v>164</v>
      </c>
      <c r="T45" s="1177" t="s">
        <v>89</v>
      </c>
      <c r="U45" s="1167" t="str">
        <f ca="1">OFFSET(U45,0,-1)</f>
        <v>2</v>
      </c>
      <c r="V45" s="1404">
        <f t="shared" ref="V45:AA45" ca="1" si="2">OFFSET(V45,0,-1)+1</f>
        <v>3</v>
      </c>
      <c r="W45" s="1404">
        <f t="shared" ca="1" si="2"/>
        <v>4</v>
      </c>
      <c r="X45" s="1404">
        <f t="shared" ca="1" si="2"/>
        <v>5</v>
      </c>
      <c r="Y45" s="1404">
        <f t="shared" ca="1" si="2"/>
        <v>6</v>
      </c>
      <c r="Z45" s="1404">
        <f t="shared" ca="1" si="2"/>
        <v>7</v>
      </c>
      <c r="AA45" s="3744">
        <f t="shared" ca="1" si="2"/>
        <v>8</v>
      </c>
      <c r="AB45" s="3744"/>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3744">
        <f ca="1">OFFSET(AY45,0,-1)+1</f>
        <v>3</v>
      </c>
      <c r="AZ45" s="3744"/>
      <c r="BA45" s="1404">
        <f ca="1">OFFSET(BA45,0,-2)+1</f>
        <v>4</v>
      </c>
      <c r="BB45" s="1167">
        <f ca="1">OFFSET(BB45,0,-1)</f>
        <v>4</v>
      </c>
      <c r="BC45" s="1404">
        <f ca="1">OFFSET(BC45,0,-1)+1</f>
        <v>5</v>
      </c>
      <c r="BD45" s="445"/>
      <c r="BE45" s="445"/>
      <c r="BF45" s="445"/>
      <c r="BG45" s="445"/>
      <c r="BH45" s="445"/>
      <c r="BI45" s="430">
        <v>0</v>
      </c>
    </row>
    <row r="46" spans="1:61" ht="21.95" customHeight="1">
      <c r="A46" s="1285" t="s">
        <v>306</v>
      </c>
      <c r="B46" s="1285"/>
      <c r="C46" s="1285"/>
      <c r="D46" s="1285"/>
      <c r="E46" s="3737">
        <v>1</v>
      </c>
      <c r="F46" s="1285"/>
      <c r="G46" s="1285"/>
      <c r="H46" s="1285"/>
      <c r="I46" s="1285"/>
      <c r="J46" s="1285"/>
      <c r="K46" s="1285"/>
      <c r="L46" s="1286"/>
      <c r="M46" s="1287"/>
      <c r="N46" s="1287"/>
      <c r="O46" s="1287"/>
      <c r="P46" s="1331"/>
      <c r="Q46" s="801"/>
      <c r="R46" s="289"/>
      <c r="S46" s="1415">
        <f>INDEX(PT_DIFFERENTIATION_NUM_NTAR,MATCH(A46,PT_DIFFERENTIATION_NTAR_ID,0))</f>
        <v>0</v>
      </c>
      <c r="T46" s="233" t="s">
        <v>176</v>
      </c>
      <c r="U46" s="235"/>
      <c r="V46" s="3724"/>
      <c r="W46" s="3724"/>
      <c r="X46" s="3724"/>
      <c r="Y46" s="3724"/>
      <c r="Z46" s="3724"/>
      <c r="AA46" s="3724"/>
      <c r="AB46" s="3724"/>
      <c r="AC46" s="3725"/>
      <c r="AD46" s="3723" t="str">
        <f>INDEX(PT_DIFFERENTIATION_NTAR,MATCH(A46,PT_DIFFERENTIATION_NTAR_ID,0))</f>
        <v/>
      </c>
      <c r="AE46" s="3724"/>
      <c r="AF46" s="3724"/>
      <c r="AG46" s="3724"/>
      <c r="AH46" s="3724"/>
      <c r="AI46" s="3724"/>
      <c r="AJ46" s="3724"/>
      <c r="AK46" s="3724"/>
      <c r="AL46" s="3724"/>
      <c r="AM46" s="3724"/>
      <c r="AN46" s="3724"/>
      <c r="AO46" s="3724"/>
      <c r="AP46" s="3724"/>
      <c r="AQ46" s="3724"/>
      <c r="AR46" s="3724"/>
      <c r="AS46" s="3724"/>
      <c r="AT46" s="3724"/>
      <c r="AU46" s="3724"/>
      <c r="AV46" s="3724"/>
      <c r="AW46" s="3724"/>
      <c r="AX46" s="3724"/>
      <c r="AY46" s="3724"/>
      <c r="AZ46" s="3724"/>
      <c r="BA46" s="3724"/>
      <c r="BB46" s="3725"/>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7">
        <v>21</v>
      </c>
    </row>
    <row r="47" spans="1:61" ht="21.95" customHeight="1">
      <c r="A47" s="1285" t="s">
        <v>306</v>
      </c>
      <c r="B47" s="1285" t="s">
        <v>307</v>
      </c>
      <c r="C47" s="1285"/>
      <c r="D47" s="1285"/>
      <c r="E47" s="3738"/>
      <c r="F47" s="3737">
        <v>1</v>
      </c>
      <c r="G47" s="1285"/>
      <c r="H47" s="1285"/>
      <c r="I47" s="1285"/>
      <c r="J47" s="1285"/>
      <c r="K47" s="1285"/>
      <c r="L47" s="1286"/>
      <c r="M47" s="1287"/>
      <c r="N47" s="1287"/>
      <c r="O47" s="1287"/>
      <c r="P47" s="1332"/>
      <c r="Q47" s="1333"/>
      <c r="R47" s="287"/>
      <c r="S47" s="1415" t="str">
        <f>INDEX(PT_DIFFERENTIATION_NUM_TER,MATCH(B47,PT_DIFFERENTIATION_TER_ID,0))</f>
        <v>.</v>
      </c>
      <c r="T47" s="243" t="s">
        <v>442</v>
      </c>
      <c r="U47" s="235"/>
      <c r="V47" s="3724"/>
      <c r="W47" s="3724"/>
      <c r="X47" s="3724"/>
      <c r="Y47" s="3724"/>
      <c r="Z47" s="3724"/>
      <c r="AA47" s="3724"/>
      <c r="AB47" s="3724"/>
      <c r="AC47" s="3725"/>
      <c r="AD47" s="3723" t="str">
        <f>INDEX(PT_DIFFERENTIATION_TER,MATCH(B47,PT_DIFFERENTIATION_TER_ID,0))</f>
        <v/>
      </c>
      <c r="AE47" s="3724"/>
      <c r="AF47" s="3724"/>
      <c r="AG47" s="3724"/>
      <c r="AH47" s="3724"/>
      <c r="AI47" s="3724"/>
      <c r="AJ47" s="3724"/>
      <c r="AK47" s="3724"/>
      <c r="AL47" s="3724"/>
      <c r="AM47" s="3724"/>
      <c r="AN47" s="3724"/>
      <c r="AO47" s="3724"/>
      <c r="AP47" s="3724"/>
      <c r="AQ47" s="3724"/>
      <c r="AR47" s="3724"/>
      <c r="AS47" s="3724"/>
      <c r="AT47" s="3724"/>
      <c r="AU47" s="3724"/>
      <c r="AV47" s="3724"/>
      <c r="AW47" s="3724"/>
      <c r="AX47" s="3724"/>
      <c r="AY47" s="3724"/>
      <c r="AZ47" s="3724"/>
      <c r="BA47" s="3724"/>
      <c r="BB47" s="3725"/>
      <c r="BC47" s="1180" t="s">
        <v>443</v>
      </c>
      <c r="BE47" s="434"/>
      <c r="BF47" s="434" t="str">
        <f t="shared" si="3"/>
        <v>Территория действия тарифа</v>
      </c>
      <c r="BG47" s="434"/>
      <c r="BH47" s="434"/>
      <c r="BI47" s="1077">
        <v>21</v>
      </c>
    </row>
    <row r="48" spans="1:61" ht="35.65" customHeight="1">
      <c r="A48" s="1285" t="s">
        <v>306</v>
      </c>
      <c r="B48" s="1285" t="s">
        <v>307</v>
      </c>
      <c r="C48" s="1285" t="s">
        <v>308</v>
      </c>
      <c r="D48" s="1285"/>
      <c r="E48" s="3738"/>
      <c r="F48" s="3738"/>
      <c r="G48" s="3737">
        <v>1</v>
      </c>
      <c r="H48" s="1285"/>
      <c r="I48" s="1285"/>
      <c r="J48" s="1285"/>
      <c r="K48" s="1285"/>
      <c r="L48" s="1286"/>
      <c r="M48" s="1287"/>
      <c r="N48" s="1287"/>
      <c r="O48" s="1287"/>
      <c r="P48" s="1334"/>
      <c r="Q48" s="1333"/>
      <c r="R48" s="287"/>
      <c r="S48" s="1415" t="str">
        <f>INDEX(PT_DIFFERENTIATION_NUM_CS,MATCH(C48,PT_DIFFERENTIATION_CS_ID,0))</f>
        <v>..</v>
      </c>
      <c r="T48" s="244" t="s">
        <v>573</v>
      </c>
      <c r="U48" s="235"/>
      <c r="V48" s="3724"/>
      <c r="W48" s="3724"/>
      <c r="X48" s="3724"/>
      <c r="Y48" s="3724"/>
      <c r="Z48" s="3724"/>
      <c r="AA48" s="3724"/>
      <c r="AB48" s="3724"/>
      <c r="AC48" s="3725"/>
      <c r="AD48" s="3723" t="str">
        <f>INDEX(PT_DIFFERENTIATION_CS,MATCH(C48,PT_DIFFERENTIATION_CS_ID,0))</f>
        <v/>
      </c>
      <c r="AE48" s="3724"/>
      <c r="AF48" s="3724"/>
      <c r="AG48" s="3724"/>
      <c r="AH48" s="3724"/>
      <c r="AI48" s="3724"/>
      <c r="AJ48" s="3724"/>
      <c r="AK48" s="3724"/>
      <c r="AL48" s="3724"/>
      <c r="AM48" s="3724"/>
      <c r="AN48" s="3724"/>
      <c r="AO48" s="3724"/>
      <c r="AP48" s="3724"/>
      <c r="AQ48" s="3724"/>
      <c r="AR48" s="3724"/>
      <c r="AS48" s="3724"/>
      <c r="AT48" s="3724"/>
      <c r="AU48" s="3724"/>
      <c r="AV48" s="3724"/>
      <c r="AW48" s="3724"/>
      <c r="AX48" s="3724"/>
      <c r="AY48" s="3724"/>
      <c r="AZ48" s="3724"/>
      <c r="BA48" s="3724"/>
      <c r="BB48" s="3725"/>
      <c r="BC48" s="1180" t="s">
        <v>574</v>
      </c>
      <c r="BE48" s="434"/>
      <c r="BF48" s="434" t="str">
        <f t="shared" si="3"/>
        <v>Наименование централизованной системы горячего водоснабжения</v>
      </c>
      <c r="BG48" s="434"/>
      <c r="BH48" s="434"/>
      <c r="BI48" s="1077">
        <v>34</v>
      </c>
    </row>
    <row r="49" spans="1:61" s="1564" customFormat="1" ht="0" hidden="1" customHeight="1">
      <c r="A49" s="1265" t="s">
        <v>306</v>
      </c>
      <c r="B49" s="1265" t="s">
        <v>307</v>
      </c>
      <c r="C49" s="1265" t="s">
        <v>308</v>
      </c>
      <c r="D49" s="1265" t="s">
        <v>587</v>
      </c>
      <c r="E49" s="3738"/>
      <c r="F49" s="3738"/>
      <c r="G49" s="3738"/>
      <c r="H49" s="3737">
        <v>1</v>
      </c>
      <c r="I49" s="1265"/>
      <c r="J49" s="1265"/>
      <c r="K49" s="1265"/>
      <c r="L49" s="1268"/>
      <c r="M49" s="1237"/>
      <c r="N49" s="1237"/>
      <c r="O49" s="1237"/>
      <c r="P49" s="1419"/>
      <c r="Q49" s="1420"/>
      <c r="R49" s="291"/>
      <c r="S49" s="968"/>
      <c r="T49" s="1421"/>
      <c r="U49" s="1306"/>
      <c r="V49" s="3767"/>
      <c r="W49" s="3767"/>
      <c r="X49" s="3767"/>
      <c r="Y49" s="3767"/>
      <c r="Z49" s="3767"/>
      <c r="AA49" s="3767"/>
      <c r="AB49" s="3767"/>
      <c r="AC49" s="3768"/>
      <c r="AD49" s="3766"/>
      <c r="AE49" s="3767"/>
      <c r="AF49" s="3767"/>
      <c r="AG49" s="3767"/>
      <c r="AH49" s="3767"/>
      <c r="AI49" s="3767"/>
      <c r="AJ49" s="3767"/>
      <c r="AK49" s="3767"/>
      <c r="AL49" s="3767"/>
      <c r="AM49" s="3767"/>
      <c r="AN49" s="3767"/>
      <c r="AO49" s="3767"/>
      <c r="AP49" s="3767"/>
      <c r="AQ49" s="3767"/>
      <c r="AR49" s="3767"/>
      <c r="AS49" s="3767"/>
      <c r="AT49" s="3767"/>
      <c r="AU49" s="3767"/>
      <c r="AV49" s="3767"/>
      <c r="AW49" s="3767"/>
      <c r="AX49" s="3767"/>
      <c r="AY49" s="3767"/>
      <c r="AZ49" s="3767"/>
      <c r="BA49" s="3767"/>
      <c r="BB49" s="3768"/>
      <c r="BC49" s="1307" t="s">
        <v>447</v>
      </c>
      <c r="BE49" s="434"/>
      <c r="BF49" s="434" t="str">
        <f t="shared" si="3"/>
        <v/>
      </c>
      <c r="BG49" s="434"/>
      <c r="BH49" s="434"/>
      <c r="BI49" s="445">
        <v>0</v>
      </c>
    </row>
    <row r="50" spans="1:61" s="1564" customFormat="1" ht="0" hidden="1" customHeight="1">
      <c r="A50" s="1265" t="s">
        <v>306</v>
      </c>
      <c r="B50" s="1265" t="s">
        <v>307</v>
      </c>
      <c r="C50" s="1265" t="s">
        <v>308</v>
      </c>
      <c r="D50" s="1265" t="s">
        <v>587</v>
      </c>
      <c r="E50" s="3738"/>
      <c r="F50" s="3738"/>
      <c r="G50" s="3738"/>
      <c r="H50" s="3738"/>
      <c r="I50" s="3735" t="str">
        <f>S49&amp;".1"</f>
        <v>.1</v>
      </c>
      <c r="J50" s="1265"/>
      <c r="K50" s="1265"/>
      <c r="L50" s="1268" t="s">
        <v>448</v>
      </c>
      <c r="M50" s="444"/>
      <c r="N50" s="444"/>
      <c r="O50" s="444"/>
      <c r="P50" s="3736">
        <v>1</v>
      </c>
      <c r="Q50" s="1403"/>
      <c r="R50" s="290"/>
      <c r="S50" s="968"/>
      <c r="T50" s="1305"/>
      <c r="U50" s="1306"/>
      <c r="V50" s="3767"/>
      <c r="W50" s="3767"/>
      <c r="X50" s="3767"/>
      <c r="Y50" s="3767"/>
      <c r="Z50" s="3767"/>
      <c r="AA50" s="3767"/>
      <c r="AB50" s="3767"/>
      <c r="AC50" s="3768"/>
      <c r="AD50" s="3766"/>
      <c r="AE50" s="3767"/>
      <c r="AF50" s="3767"/>
      <c r="AG50" s="3767"/>
      <c r="AH50" s="3767"/>
      <c r="AI50" s="3767"/>
      <c r="AJ50" s="3767"/>
      <c r="AK50" s="3767"/>
      <c r="AL50" s="3767"/>
      <c r="AM50" s="3767"/>
      <c r="AN50" s="3767"/>
      <c r="AO50" s="3767"/>
      <c r="AP50" s="3767"/>
      <c r="AQ50" s="3767"/>
      <c r="AR50" s="3767"/>
      <c r="AS50" s="3767"/>
      <c r="AT50" s="3767"/>
      <c r="AU50" s="3767"/>
      <c r="AV50" s="3767"/>
      <c r="AW50" s="3767"/>
      <c r="AX50" s="3767"/>
      <c r="AY50" s="3767"/>
      <c r="AZ50" s="3767"/>
      <c r="BA50" s="3767"/>
      <c r="BB50" s="3768"/>
      <c r="BC50" s="1307"/>
      <c r="BE50" s="434"/>
      <c r="BF50" s="434" t="str">
        <f t="shared" si="3"/>
        <v/>
      </c>
      <c r="BG50" s="434"/>
      <c r="BH50" s="434"/>
      <c r="BI50" s="445">
        <v>0</v>
      </c>
    </row>
    <row r="51" spans="1:61" s="1564" customFormat="1" ht="0" hidden="1" customHeight="1">
      <c r="A51" s="1265" t="s">
        <v>306</v>
      </c>
      <c r="B51" s="1265" t="s">
        <v>307</v>
      </c>
      <c r="C51" s="1265" t="s">
        <v>308</v>
      </c>
      <c r="D51" s="1265" t="s">
        <v>587</v>
      </c>
      <c r="E51" s="3738"/>
      <c r="F51" s="3738"/>
      <c r="G51" s="3738"/>
      <c r="H51" s="3738"/>
      <c r="I51" s="3758"/>
      <c r="J51" s="3735" t="str">
        <f>S49&amp;".1"</f>
        <v>.1</v>
      </c>
      <c r="K51" s="1265"/>
      <c r="L51" s="1268"/>
      <c r="M51" s="444"/>
      <c r="N51" s="444"/>
      <c r="O51" s="444"/>
      <c r="P51" s="3736"/>
      <c r="Q51" s="3736">
        <v>1</v>
      </c>
      <c r="R51" s="291"/>
      <c r="S51" s="968"/>
      <c r="T51" s="1321"/>
      <c r="U51" s="1306"/>
      <c r="V51" s="3767"/>
      <c r="W51" s="3767"/>
      <c r="X51" s="3767"/>
      <c r="Y51" s="3767"/>
      <c r="Z51" s="3767"/>
      <c r="AA51" s="3767"/>
      <c r="AB51" s="3767"/>
      <c r="AC51" s="3768"/>
      <c r="AD51" s="3766"/>
      <c r="AE51" s="3767"/>
      <c r="AF51" s="3767"/>
      <c r="AG51" s="3767"/>
      <c r="AH51" s="3767"/>
      <c r="AI51" s="3767"/>
      <c r="AJ51" s="3767"/>
      <c r="AK51" s="3767"/>
      <c r="AL51" s="3767"/>
      <c r="AM51" s="3767"/>
      <c r="AN51" s="3820"/>
      <c r="AO51" s="3820"/>
      <c r="AP51" s="3767"/>
      <c r="AQ51" s="3767"/>
      <c r="AR51" s="3767"/>
      <c r="AS51" s="3767"/>
      <c r="AT51" s="3767"/>
      <c r="AU51" s="3767"/>
      <c r="AV51" s="3767"/>
      <c r="AW51" s="3767"/>
      <c r="AX51" s="3767"/>
      <c r="AY51" s="3767"/>
      <c r="AZ51" s="3767"/>
      <c r="BA51" s="3767"/>
      <c r="BB51" s="3768"/>
      <c r="BC51" s="1307"/>
      <c r="BE51" s="434"/>
      <c r="BF51" s="434" t="str">
        <f t="shared" si="3"/>
        <v/>
      </c>
      <c r="BG51" s="434"/>
      <c r="BH51" s="434"/>
      <c r="BI51" s="445">
        <v>0</v>
      </c>
    </row>
    <row r="52" spans="1:61" ht="11.45" customHeight="1">
      <c r="A52" s="1285" t="s">
        <v>306</v>
      </c>
      <c r="B52" s="1285" t="s">
        <v>307</v>
      </c>
      <c r="C52" s="1285" t="s">
        <v>308</v>
      </c>
      <c r="D52" s="1285" t="s">
        <v>587</v>
      </c>
      <c r="E52" s="3738"/>
      <c r="F52" s="3738"/>
      <c r="G52" s="3738"/>
      <c r="H52" s="3738"/>
      <c r="I52" s="3758"/>
      <c r="J52" s="3758"/>
      <c r="K52" s="3735" t="str">
        <f>S48&amp;".1"</f>
        <v>...1</v>
      </c>
      <c r="L52" s="1286"/>
      <c r="P52" s="3736"/>
      <c r="Q52" s="3736"/>
      <c r="R52" s="291">
        <v>1</v>
      </c>
      <c r="S52" s="3795" t="str">
        <f>$K52</f>
        <v>...1</v>
      </c>
      <c r="T52" s="3816"/>
      <c r="U52" s="235"/>
      <c r="V52" s="685"/>
      <c r="W52" s="1179"/>
      <c r="X52" s="685"/>
      <c r="Y52" s="1179"/>
      <c r="Z52" s="1627"/>
      <c r="AA52" s="1391" t="s">
        <v>50</v>
      </c>
      <c r="AB52" s="1627"/>
      <c r="AC52" s="1391" t="s">
        <v>50</v>
      </c>
      <c r="AD52" s="3676" t="s">
        <v>50</v>
      </c>
      <c r="AE52" s="3780"/>
      <c r="AF52" s="3693">
        <v>1</v>
      </c>
      <c r="AG52" s="3819"/>
      <c r="AH52" s="3599" t="s">
        <v>50</v>
      </c>
      <c r="AI52" s="3780"/>
      <c r="AJ52" s="3693">
        <v>1</v>
      </c>
      <c r="AK52" s="3781" t="s">
        <v>9</v>
      </c>
      <c r="AL52" s="3599" t="s">
        <v>50</v>
      </c>
      <c r="AM52" s="3683"/>
      <c r="AN52" s="3693">
        <v>1</v>
      </c>
      <c r="AO52" s="3813"/>
      <c r="AP52" s="3814" t="s">
        <v>50</v>
      </c>
      <c r="AQ52" s="246"/>
      <c r="AR52" s="1408">
        <v>1</v>
      </c>
      <c r="AS52" s="1414" t="s">
        <v>9</v>
      </c>
      <c r="AT52" s="685"/>
      <c r="AU52" s="1179"/>
      <c r="AV52" s="685"/>
      <c r="AW52" s="1179"/>
      <c r="AX52" s="1627"/>
      <c r="AY52" s="1391" t="s">
        <v>50</v>
      </c>
      <c r="AZ52" s="1627"/>
      <c r="BA52" s="1391" t="s">
        <v>50</v>
      </c>
      <c r="BB52" s="1270"/>
      <c r="BC52" s="3732" t="s">
        <v>542</v>
      </c>
      <c r="BE52" s="434"/>
      <c r="BF52" s="434" t="str">
        <f t="shared" si="3"/>
        <v/>
      </c>
      <c r="BG52" s="434"/>
      <c r="BH52" s="434"/>
      <c r="BI52" s="1077">
        <v>11</v>
      </c>
    </row>
    <row r="53" spans="1:61" ht="11.45" customHeight="1">
      <c r="A53" s="1285"/>
      <c r="B53" s="1285"/>
      <c r="C53" s="1285"/>
      <c r="D53" s="1285"/>
      <c r="E53" s="3738"/>
      <c r="F53" s="3738"/>
      <c r="G53" s="3738"/>
      <c r="H53" s="3738"/>
      <c r="I53" s="3758"/>
      <c r="J53" s="3758"/>
      <c r="K53" s="3735"/>
      <c r="L53" s="1286"/>
      <c r="P53" s="3736"/>
      <c r="Q53" s="3736"/>
      <c r="R53" s="291"/>
      <c r="S53" s="3796"/>
      <c r="T53" s="3817"/>
      <c r="U53" s="235"/>
      <c r="V53" s="1315"/>
      <c r="W53" s="1418"/>
      <c r="X53" s="1315"/>
      <c r="Y53" s="1418"/>
      <c r="Z53" s="1315"/>
      <c r="AA53" s="1315"/>
      <c r="AB53" s="1315"/>
      <c r="AC53" s="1315"/>
      <c r="AD53" s="3677"/>
      <c r="AE53" s="3780"/>
      <c r="AF53" s="3693"/>
      <c r="AG53" s="3819"/>
      <c r="AH53" s="3599"/>
      <c r="AI53" s="3780"/>
      <c r="AJ53" s="3693"/>
      <c r="AK53" s="3781"/>
      <c r="AL53" s="3599"/>
      <c r="AM53" s="3688"/>
      <c r="AN53" s="3693"/>
      <c r="AO53" s="3813"/>
      <c r="AP53" s="3815"/>
      <c r="AQ53" s="251"/>
      <c r="AR53" s="350"/>
      <c r="AS53" s="350" t="s">
        <v>543</v>
      </c>
      <c r="AT53" s="1315"/>
      <c r="AU53" s="1418"/>
      <c r="AV53" s="1315"/>
      <c r="AW53" s="1418"/>
      <c r="AX53" s="1315"/>
      <c r="AY53" s="1315"/>
      <c r="AZ53" s="1315"/>
      <c r="BA53" s="1315"/>
      <c r="BB53" s="1319"/>
      <c r="BC53" s="3733"/>
      <c r="BE53" s="434"/>
      <c r="BF53" s="434"/>
      <c r="BG53" s="434"/>
      <c r="BH53" s="434"/>
      <c r="BI53" s="1077">
        <v>11</v>
      </c>
    </row>
    <row r="54" spans="1:61" ht="11.45" customHeight="1">
      <c r="A54" s="1285" t="s">
        <v>306</v>
      </c>
      <c r="B54" s="1285"/>
      <c r="C54" s="1285"/>
      <c r="D54" s="1285"/>
      <c r="E54" s="3738"/>
      <c r="F54" s="3738"/>
      <c r="G54" s="3738"/>
      <c r="H54" s="3738"/>
      <c r="I54" s="3758"/>
      <c r="J54" s="3758"/>
      <c r="K54" s="3735"/>
      <c r="L54" s="1286"/>
      <c r="P54" s="3736"/>
      <c r="Q54" s="3736"/>
      <c r="R54" s="291"/>
      <c r="S54" s="3796"/>
      <c r="T54" s="3817"/>
      <c r="U54" s="235"/>
      <c r="V54" s="1315"/>
      <c r="W54" s="1418"/>
      <c r="X54" s="1315"/>
      <c r="Y54" s="1418"/>
      <c r="Z54" s="1315"/>
      <c r="AA54" s="1315"/>
      <c r="AB54" s="1315"/>
      <c r="AC54" s="1315"/>
      <c r="AD54" s="3677"/>
      <c r="AE54" s="3780"/>
      <c r="AF54" s="3693"/>
      <c r="AG54" s="3819"/>
      <c r="AH54" s="3599"/>
      <c r="AI54" s="3780"/>
      <c r="AJ54" s="3693"/>
      <c r="AK54" s="3781"/>
      <c r="AL54" s="3599"/>
      <c r="AM54" s="251"/>
      <c r="AN54" s="1422"/>
      <c r="AO54" s="1422" t="s">
        <v>544</v>
      </c>
      <c r="AP54" s="350"/>
      <c r="AQ54" s="350"/>
      <c r="AR54" s="350"/>
      <c r="AS54" s="1315"/>
      <c r="AT54" s="1315"/>
      <c r="AU54" s="1418"/>
      <c r="AV54" s="1315"/>
      <c r="AW54" s="1418"/>
      <c r="AX54" s="1315"/>
      <c r="AY54" s="1315"/>
      <c r="AZ54" s="1315"/>
      <c r="BA54" s="1315"/>
      <c r="BB54" s="1319"/>
      <c r="BC54" s="3733"/>
      <c r="BE54" s="434"/>
      <c r="BF54" s="434"/>
      <c r="BG54" s="434"/>
      <c r="BH54" s="434"/>
      <c r="BI54" s="1077">
        <v>11</v>
      </c>
    </row>
    <row r="55" spans="1:61" ht="11.45" customHeight="1">
      <c r="A55" s="1285" t="s">
        <v>306</v>
      </c>
      <c r="B55" s="1285"/>
      <c r="C55" s="1285"/>
      <c r="D55" s="1285"/>
      <c r="E55" s="3738"/>
      <c r="F55" s="3738"/>
      <c r="G55" s="3738"/>
      <c r="H55" s="3738"/>
      <c r="I55" s="3758"/>
      <c r="J55" s="3758"/>
      <c r="K55" s="3735"/>
      <c r="L55" s="1286"/>
      <c r="P55" s="3736"/>
      <c r="Q55" s="3736"/>
      <c r="R55" s="291"/>
      <c r="S55" s="3796"/>
      <c r="T55" s="3817"/>
      <c r="U55" s="235"/>
      <c r="V55" s="1315"/>
      <c r="W55" s="1418"/>
      <c r="X55" s="1315"/>
      <c r="Y55" s="1418"/>
      <c r="Z55" s="1315"/>
      <c r="AA55" s="1315"/>
      <c r="AB55" s="1315"/>
      <c r="AC55" s="1315"/>
      <c r="AD55" s="3677"/>
      <c r="AE55" s="3780"/>
      <c r="AF55" s="3693"/>
      <c r="AG55" s="3819"/>
      <c r="AH55" s="3599"/>
      <c r="AI55" s="229"/>
      <c r="AJ55" s="349"/>
      <c r="AK55" s="248" t="s">
        <v>545</v>
      </c>
      <c r="AL55" s="1315"/>
      <c r="AM55" s="1315"/>
      <c r="AN55" s="1315"/>
      <c r="AO55" s="1315"/>
      <c r="AP55" s="1315"/>
      <c r="AQ55" s="1315"/>
      <c r="AR55" s="1315"/>
      <c r="AS55" s="1315"/>
      <c r="AT55" s="1315"/>
      <c r="AU55" s="1418"/>
      <c r="AV55" s="1315"/>
      <c r="AW55" s="1418"/>
      <c r="AX55" s="1315"/>
      <c r="AY55" s="1315"/>
      <c r="AZ55" s="1315"/>
      <c r="BA55" s="1315"/>
      <c r="BB55" s="1319"/>
      <c r="BC55" s="3733"/>
      <c r="BE55" s="434"/>
      <c r="BF55" s="434"/>
      <c r="BG55" s="434"/>
      <c r="BH55" s="434"/>
      <c r="BI55" s="1077">
        <v>11</v>
      </c>
    </row>
    <row r="56" spans="1:61" ht="11.45" customHeight="1">
      <c r="A56" s="1285" t="s">
        <v>306</v>
      </c>
      <c r="B56" s="1285" t="s">
        <v>307</v>
      </c>
      <c r="C56" s="1285" t="s">
        <v>308</v>
      </c>
      <c r="D56" s="1285" t="s">
        <v>587</v>
      </c>
      <c r="E56" s="3738"/>
      <c r="F56" s="3738"/>
      <c r="G56" s="3738"/>
      <c r="H56" s="3738"/>
      <c r="I56" s="3758"/>
      <c r="J56" s="3758"/>
      <c r="K56" s="3735"/>
      <c r="L56" s="1286"/>
      <c r="P56" s="3736"/>
      <c r="Q56" s="3736"/>
      <c r="R56" s="291"/>
      <c r="S56" s="3797"/>
      <c r="T56" s="3818"/>
      <c r="U56" s="235"/>
      <c r="V56" s="1315"/>
      <c r="W56" s="1316" t="str">
        <f>Z52&amp;"-"&amp;AB52</f>
        <v>-</v>
      </c>
      <c r="X56" s="1315"/>
      <c r="Y56" s="1316" t="str">
        <f>AB52&amp;"-"&amp;AD52</f>
        <v>-да</v>
      </c>
      <c r="Z56" s="1315"/>
      <c r="AA56" s="1315"/>
      <c r="AB56" s="1315"/>
      <c r="AC56" s="1315"/>
      <c r="AD56" s="3604"/>
      <c r="AE56" s="247"/>
      <c r="AF56" s="249"/>
      <c r="AG56" s="350" t="s">
        <v>546</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3733"/>
      <c r="BE56" s="434"/>
      <c r="BF56" s="434" t="str">
        <f t="shared" ref="BF56:BF63" si="4">IF(T56="","",T56)</f>
        <v/>
      </c>
      <c r="BG56" s="434"/>
      <c r="BH56" s="434"/>
      <c r="BI56" s="1077">
        <v>11</v>
      </c>
    </row>
    <row r="57" spans="1:61" ht="11.45" customHeight="1">
      <c r="A57" s="1285" t="s">
        <v>306</v>
      </c>
      <c r="B57" s="1285" t="s">
        <v>307</v>
      </c>
      <c r="C57" s="1285" t="s">
        <v>308</v>
      </c>
      <c r="D57" s="1285" t="s">
        <v>587</v>
      </c>
      <c r="E57" s="3738"/>
      <c r="F57" s="3738"/>
      <c r="G57" s="3738"/>
      <c r="H57" s="3738"/>
      <c r="I57" s="3758"/>
      <c r="J57" s="3735"/>
      <c r="K57" s="1285"/>
      <c r="L57" s="1286"/>
      <c r="P57" s="3736"/>
      <c r="Q57" s="3736"/>
      <c r="R57" s="290"/>
      <c r="S57" s="1200"/>
      <c r="T57" s="222" t="s">
        <v>509</v>
      </c>
      <c r="U57" s="301"/>
      <c r="V57" s="301"/>
      <c r="W57" s="301"/>
      <c r="X57" s="301"/>
      <c r="Y57" s="301"/>
      <c r="Z57" s="301"/>
      <c r="AA57" s="301"/>
      <c r="AB57" s="301"/>
      <c r="AC57" s="259"/>
      <c r="AD57" s="1427"/>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734"/>
      <c r="BE57" s="434"/>
      <c r="BF57" s="434" t="str">
        <f t="shared" si="4"/>
        <v>Добавить строку</v>
      </c>
      <c r="BG57" s="434"/>
      <c r="BH57" s="434"/>
      <c r="BI57" s="1077">
        <v>11</v>
      </c>
    </row>
    <row r="58" spans="1:61" s="1564" customFormat="1" ht="0" hidden="1" customHeight="1">
      <c r="A58" s="1265" t="s">
        <v>306</v>
      </c>
      <c r="B58" s="1265" t="s">
        <v>307</v>
      </c>
      <c r="C58" s="1265" t="s">
        <v>308</v>
      </c>
      <c r="D58" s="1265" t="s">
        <v>587</v>
      </c>
      <c r="E58" s="3738"/>
      <c r="F58" s="3738"/>
      <c r="G58" s="3738"/>
      <c r="H58" s="3738"/>
      <c r="I58" s="3735"/>
      <c r="J58" s="1265"/>
      <c r="K58" s="1265"/>
      <c r="L58" s="1268"/>
      <c r="M58" s="444"/>
      <c r="N58" s="444"/>
      <c r="O58" s="444"/>
      <c r="P58" s="3736"/>
      <c r="Q58" s="1403"/>
      <c r="R58" s="290"/>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4"/>
      <c r="BF58" s="434" t="str">
        <f t="shared" si="4"/>
        <v/>
      </c>
      <c r="BG58" s="434"/>
      <c r="BH58" s="434"/>
      <c r="BI58" s="445">
        <v>0</v>
      </c>
    </row>
    <row r="59" spans="1:61" s="1564" customFormat="1" ht="0" hidden="1" customHeight="1">
      <c r="A59" s="1265" t="s">
        <v>306</v>
      </c>
      <c r="B59" s="1265" t="s">
        <v>307</v>
      </c>
      <c r="C59" s="1265" t="s">
        <v>308</v>
      </c>
      <c r="D59" s="1265" t="s">
        <v>587</v>
      </c>
      <c r="E59" s="3738"/>
      <c r="F59" s="3738"/>
      <c r="G59" s="3738"/>
      <c r="H59" s="3737"/>
      <c r="I59" s="1265"/>
      <c r="J59" s="1265"/>
      <c r="K59" s="1265"/>
      <c r="L59" s="1268"/>
      <c r="M59" s="1237"/>
      <c r="N59" s="1237"/>
      <c r="O59" s="452"/>
      <c r="P59" s="314"/>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4"/>
      <c r="BF59" s="434" t="str">
        <f t="shared" si="4"/>
        <v/>
      </c>
      <c r="BG59" s="434"/>
      <c r="BH59" s="434"/>
      <c r="BI59" s="445">
        <v>0</v>
      </c>
    </row>
    <row r="60" spans="1:61" s="1564" customFormat="1" ht="0" hidden="1" customHeight="1">
      <c r="A60" s="1265" t="s">
        <v>306</v>
      </c>
      <c r="B60" s="1265" t="s">
        <v>307</v>
      </c>
      <c r="C60" s="1265" t="s">
        <v>308</v>
      </c>
      <c r="D60" s="1236"/>
      <c r="E60" s="3738"/>
      <c r="F60" s="3738"/>
      <c r="G60" s="3737"/>
      <c r="H60" s="1236"/>
      <c r="I60" s="1236"/>
      <c r="J60" s="1236"/>
      <c r="K60" s="1236"/>
      <c r="L60" s="141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2">
        <v>0</v>
      </c>
    </row>
    <row r="61" spans="1:61" s="1564" customFormat="1" ht="0" hidden="1" customHeight="1">
      <c r="A61" s="1265" t="s">
        <v>306</v>
      </c>
      <c r="B61" s="1265" t="s">
        <v>307</v>
      </c>
      <c r="C61" s="1236"/>
      <c r="D61" s="1236"/>
      <c r="E61" s="3738"/>
      <c r="F61" s="3737"/>
      <c r="G61" s="1236"/>
      <c r="H61" s="1236"/>
      <c r="I61" s="1236"/>
      <c r="J61" s="1236"/>
      <c r="K61" s="1236"/>
      <c r="L61" s="1416"/>
      <c r="M61" s="1243"/>
      <c r="N61" s="1243"/>
      <c r="P61" s="1238"/>
      <c r="Q61" s="1239"/>
      <c r="R61" s="1238"/>
      <c r="S61" s="1244"/>
      <c r="T61" s="1247" t="s">
        <v>460</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2">
        <v>0</v>
      </c>
    </row>
    <row r="62" spans="1:61" s="1564" customFormat="1" ht="0" hidden="1" customHeight="1">
      <c r="A62" s="1265" t="s">
        <v>306</v>
      </c>
      <c r="B62" s="1265"/>
      <c r="C62" s="1265"/>
      <c r="D62" s="1265"/>
      <c r="E62" s="3737"/>
      <c r="F62" s="1265"/>
      <c r="G62" s="1265"/>
      <c r="H62" s="1265"/>
      <c r="I62" s="1265"/>
      <c r="J62" s="1265"/>
      <c r="K62" s="1265"/>
      <c r="L62" s="1268"/>
      <c r="M62" s="1243"/>
      <c r="N62" s="1243"/>
      <c r="O62" s="452"/>
      <c r="P62" s="314"/>
      <c r="Q62" s="1266"/>
      <c r="R62" s="314"/>
      <c r="S62" s="1244"/>
      <c r="T62" s="1247" t="s">
        <v>461</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4"/>
      <c r="BF62" s="434" t="str">
        <f t="shared" si="4"/>
        <v>Добавить территорию для дифференциации</v>
      </c>
      <c r="BG62" s="434"/>
      <c r="BH62" s="434"/>
      <c r="BI62" s="445">
        <v>0</v>
      </c>
    </row>
    <row r="63" spans="1:61" s="1564" customFormat="1" ht="0" hidden="1" customHeight="1">
      <c r="A63" s="1236"/>
      <c r="B63" s="1236"/>
      <c r="C63" s="1236"/>
      <c r="D63" s="1236"/>
      <c r="E63" s="1265"/>
      <c r="F63" s="1236"/>
      <c r="G63" s="1236"/>
      <c r="H63" s="1236"/>
      <c r="I63" s="1236"/>
      <c r="J63" s="1236"/>
      <c r="K63" s="1236"/>
      <c r="L63" s="1416"/>
      <c r="M63" s="1243"/>
      <c r="N63" s="1243"/>
      <c r="P63" s="1238"/>
      <c r="Q63" s="1239"/>
      <c r="R63" s="1238"/>
      <c r="S63" s="1244"/>
      <c r="T63" s="1247" t="s">
        <v>489</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2">
        <v>0</v>
      </c>
    </row>
    <row r="64" spans="1:61" ht="11.45" customHeight="1">
      <c r="M64" s="1082"/>
      <c r="N64" s="1082"/>
      <c r="O64" s="471"/>
      <c r="P64" s="1082"/>
      <c r="Q64" s="1082"/>
      <c r="R64" s="1077"/>
      <c r="S64" s="1077"/>
      <c r="BD64" s="1077"/>
      <c r="BE64" s="1077"/>
      <c r="BF64" s="1077"/>
      <c r="BG64" s="1077"/>
      <c r="BH64" s="1077"/>
      <c r="BI64" s="1077">
        <v>11</v>
      </c>
    </row>
    <row r="65" spans="1:61" ht="19.899999999999999" customHeight="1">
      <c r="O65" s="471"/>
      <c r="S65" s="1175"/>
      <c r="T65" s="3757"/>
      <c r="U65" s="3757"/>
      <c r="V65" s="3757"/>
      <c r="W65" s="3757"/>
      <c r="X65" s="3757"/>
      <c r="Y65" s="3757"/>
      <c r="Z65" s="3757"/>
      <c r="AA65" s="3757"/>
      <c r="AB65" s="3757"/>
      <c r="AC65" s="3757"/>
      <c r="AD65" s="3757"/>
      <c r="AE65" s="3757"/>
      <c r="AF65" s="3757"/>
      <c r="AG65" s="3757"/>
      <c r="AH65" s="3757"/>
      <c r="AI65" s="3757"/>
      <c r="AJ65" s="3757"/>
      <c r="AK65" s="3757"/>
      <c r="AL65" s="3757"/>
      <c r="AM65" s="3757"/>
      <c r="AN65" s="3757"/>
      <c r="AO65" s="3757"/>
      <c r="AP65" s="3757"/>
      <c r="AQ65" s="3757"/>
      <c r="AR65" s="3757"/>
      <c r="AS65" s="3757"/>
      <c r="AT65" s="3757"/>
      <c r="AU65" s="3757"/>
      <c r="AV65" s="3757"/>
      <c r="AW65" s="3757"/>
      <c r="AX65" s="3757"/>
      <c r="AY65" s="3757"/>
      <c r="AZ65" s="3757"/>
      <c r="BA65" s="3757"/>
      <c r="BB65" s="3757"/>
      <c r="BC65" s="3757"/>
      <c r="BI65" s="1077">
        <v>19</v>
      </c>
    </row>
    <row r="66" spans="1:61" ht="14.65" customHeight="1">
      <c r="O66" s="471"/>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c r="BI66" s="1077">
        <v>14</v>
      </c>
    </row>
    <row r="67" spans="1:61" ht="19.899999999999999" customHeight="1">
      <c r="O67" s="471"/>
      <c r="S67" s="1175"/>
      <c r="T67" s="3757"/>
      <c r="U67" s="3757"/>
      <c r="V67" s="3757"/>
      <c r="W67" s="3757"/>
      <c r="X67" s="3757"/>
      <c r="Y67" s="3757"/>
      <c r="Z67" s="3757"/>
      <c r="AA67" s="3757"/>
      <c r="AB67" s="3757"/>
      <c r="AC67" s="3757"/>
      <c r="AD67" s="3757"/>
      <c r="AE67" s="3757"/>
      <c r="AF67" s="3757"/>
      <c r="AG67" s="3757"/>
      <c r="AH67" s="3757"/>
      <c r="AI67" s="3757"/>
      <c r="AJ67" s="3757"/>
      <c r="AK67" s="3757"/>
      <c r="AL67" s="3757"/>
      <c r="AM67" s="3757"/>
      <c r="AN67" s="3757"/>
      <c r="AO67" s="3757"/>
      <c r="AP67" s="3757"/>
      <c r="AQ67" s="3757"/>
      <c r="AR67" s="3757"/>
      <c r="AS67" s="3757"/>
      <c r="AT67" s="3757"/>
      <c r="AU67" s="3757"/>
      <c r="AV67" s="3757"/>
      <c r="AW67" s="3757"/>
      <c r="AX67" s="3757"/>
      <c r="AY67" s="3757"/>
      <c r="AZ67" s="3757"/>
      <c r="BA67" s="3757"/>
      <c r="BB67" s="3757"/>
      <c r="BC67" s="3757"/>
      <c r="BI67" s="1077">
        <v>19</v>
      </c>
    </row>
    <row r="68" spans="1:61" ht="14.65" customHeight="1">
      <c r="O68" s="471"/>
      <c r="BI68" s="1077">
        <v>14</v>
      </c>
    </row>
    <row r="69" spans="1:61" ht="14.25" hidden="1" customHeight="1">
      <c r="A69" s="1082" t="s">
        <v>70</v>
      </c>
      <c r="B69" s="1082">
        <v>0</v>
      </c>
      <c r="C69" s="1082">
        <v>0</v>
      </c>
      <c r="D69" s="1082">
        <v>0</v>
      </c>
      <c r="E69" s="1082">
        <v>0</v>
      </c>
      <c r="F69" s="1082">
        <v>0</v>
      </c>
      <c r="G69" s="1082">
        <v>0</v>
      </c>
      <c r="H69" s="1082">
        <v>0</v>
      </c>
      <c r="I69" s="1082">
        <v>0</v>
      </c>
      <c r="J69" s="1082">
        <v>0</v>
      </c>
      <c r="K69" s="1082">
        <v>0</v>
      </c>
      <c r="L69" s="1400">
        <v>0</v>
      </c>
      <c r="M69" s="1284">
        <v>0</v>
      </c>
      <c r="N69" s="1284">
        <v>0</v>
      </c>
      <c r="O69" s="1284">
        <v>0</v>
      </c>
      <c r="P69" s="1284">
        <v>0</v>
      </c>
      <c r="Q69" s="1293">
        <v>0</v>
      </c>
      <c r="R69" s="279">
        <v>3</v>
      </c>
      <c r="S69" s="515">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5">
        <v>10</v>
      </c>
      <c r="BE69" s="445">
        <v>10</v>
      </c>
      <c r="BF69" s="445">
        <v>10</v>
      </c>
      <c r="BG69" s="445">
        <v>10</v>
      </c>
      <c r="BH69" s="445">
        <v>10</v>
      </c>
      <c r="BI69" s="1077">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483"/>
  <sheetViews>
    <sheetView showGridLines="0" zoomScale="105" workbookViewId="0">
      <pane xSplit="8" ySplit="29" topLeftCell="I287" activePane="bottomRight" state="frozen"/>
      <selection pane="topRight" activeCell="I1" sqref="I1"/>
      <selection pane="bottomLeft" activeCell="A30" sqref="A30"/>
      <selection pane="bottomRight" activeCell="I290" sqref="I290"/>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4" style="1557" customWidth="1"/>
    <col min="7" max="7" width="10" style="1557" customWidth="1"/>
    <col min="8" max="8" width="40.7109375" style="1557" hidden="1" customWidth="1"/>
    <col min="9" max="9" width="40.7109375" style="1557" customWidth="1"/>
    <col min="10" max="10" width="102" style="1557" customWidth="1"/>
    <col min="11" max="11" width="9" style="1288" customWidth="1"/>
    <col min="12" max="12" width="5" style="1564" customWidth="1"/>
    <col min="13" max="13" width="3" style="1564" customWidth="1"/>
    <col min="14" max="17" width="3" style="1288" customWidth="1"/>
    <col min="18" max="18" width="10" style="1564" customWidth="1"/>
    <col min="19" max="19" width="34" style="1288" customWidth="1"/>
    <col min="20" max="20" width="9" style="1288" customWidth="1"/>
    <col min="21" max="21" width="8" style="670" customWidth="1"/>
    <col min="22" max="26" width="8" style="1288" customWidth="1"/>
    <col min="27" max="31" width="8" style="1554" customWidth="1"/>
    <col min="32" max="32" width="9.140625" style="1557" hidden="1"/>
  </cols>
  <sheetData>
    <row r="1" spans="1:32" ht="22.5" hidden="1" customHeight="1">
      <c r="AF1" s="1553" t="s">
        <v>1</v>
      </c>
    </row>
    <row r="2" spans="1:32" ht="23.25" hidden="1" customHeight="1">
      <c r="B2" s="3592"/>
      <c r="C2" s="1089" t="s">
        <v>588</v>
      </c>
      <c r="D2" s="1560"/>
      <c r="E2" s="480">
        <f>B2</f>
        <v>0</v>
      </c>
      <c r="F2" s="481"/>
      <c r="G2" s="1568" t="s">
        <v>589</v>
      </c>
      <c r="H2" s="1568" t="s">
        <v>589</v>
      </c>
      <c r="I2" s="1568" t="s">
        <v>589</v>
      </c>
      <c r="J2" s="224" t="s">
        <v>590</v>
      </c>
      <c r="K2" s="477"/>
      <c r="AF2" s="1553">
        <v>0</v>
      </c>
    </row>
    <row r="3" spans="1:32" s="1564" customFormat="1" ht="0.75" hidden="1" customHeight="1">
      <c r="B3" s="3592"/>
      <c r="C3" s="1089"/>
      <c r="D3" s="482"/>
      <c r="E3" s="483"/>
      <c r="F3" s="484" t="s">
        <v>591</v>
      </c>
      <c r="G3" s="485"/>
      <c r="H3" s="939">
        <f>H4*H5+H6</f>
        <v>0</v>
      </c>
      <c r="I3" s="485">
        <f>I4*I5+I6</f>
        <v>0</v>
      </c>
      <c r="J3" s="486"/>
      <c r="AF3" s="1558">
        <v>0</v>
      </c>
    </row>
    <row r="4" spans="1:32" ht="23.25" hidden="1" customHeight="1">
      <c r="B4" s="3592"/>
      <c r="C4" s="1089"/>
      <c r="D4" s="1560"/>
      <c r="E4" s="480" t="str">
        <f>B2&amp;".1"</f>
        <v>.1</v>
      </c>
      <c r="F4" s="487" t="s">
        <v>592</v>
      </c>
      <c r="G4" s="488"/>
      <c r="H4" s="475"/>
      <c r="I4" s="475"/>
      <c r="J4" s="224" t="s">
        <v>593</v>
      </c>
      <c r="K4" s="477"/>
      <c r="AF4" s="1553">
        <v>0</v>
      </c>
    </row>
    <row r="5" spans="1:32" ht="18.75" hidden="1" customHeight="1">
      <c r="B5" s="3592"/>
      <c r="C5" s="1089"/>
      <c r="D5" s="1560"/>
      <c r="E5" s="480" t="str">
        <f>B2&amp;".2"</f>
        <v>.2</v>
      </c>
      <c r="F5" s="487" t="s">
        <v>594</v>
      </c>
      <c r="G5" s="1568" t="s">
        <v>595</v>
      </c>
      <c r="H5" s="475"/>
      <c r="I5" s="475"/>
      <c r="J5" s="224"/>
      <c r="K5" s="477"/>
      <c r="AF5" s="1553">
        <v>0</v>
      </c>
    </row>
    <row r="6" spans="1:32" ht="18.75" hidden="1" customHeight="1">
      <c r="B6" s="3592"/>
      <c r="C6" s="1089"/>
      <c r="D6" s="1560"/>
      <c r="E6" s="480" t="str">
        <f>B2&amp;".3"</f>
        <v>.3</v>
      </c>
      <c r="F6" s="487" t="s">
        <v>596</v>
      </c>
      <c r="G6" s="1568" t="s">
        <v>595</v>
      </c>
      <c r="H6" s="475"/>
      <c r="I6" s="475"/>
      <c r="J6" s="224"/>
      <c r="K6" s="477"/>
      <c r="AF6" s="1553">
        <v>0</v>
      </c>
    </row>
    <row r="7" spans="1:32" ht="18.75" hidden="1" customHeight="1">
      <c r="B7" s="3592"/>
      <c r="C7" s="1089"/>
      <c r="D7" s="1560"/>
      <c r="E7" s="480" t="str">
        <f>B2&amp;".4"</f>
        <v>.4</v>
      </c>
      <c r="F7" s="487" t="s">
        <v>597</v>
      </c>
      <c r="G7" s="1568" t="s">
        <v>589</v>
      </c>
      <c r="H7" s="489"/>
      <c r="I7" s="489"/>
      <c r="J7" s="224"/>
      <c r="K7" s="477"/>
      <c r="AF7" s="1553">
        <v>0</v>
      </c>
    </row>
    <row r="8" spans="1:32" s="1288" customFormat="1" ht="11.25" hidden="1" customHeight="1">
      <c r="A8" s="913"/>
      <c r="C8" s="1558"/>
      <c r="D8" s="471"/>
      <c r="H8" s="1082">
        <v>4</v>
      </c>
      <c r="I8" s="1082">
        <v>4</v>
      </c>
      <c r="L8" s="1558"/>
      <c r="M8" s="1558"/>
      <c r="R8" s="1558"/>
      <c r="AF8" s="1082">
        <v>0</v>
      </c>
    </row>
    <row r="9" spans="1:32" s="1288" customFormat="1" ht="22.5" hidden="1" customHeight="1">
      <c r="A9" s="913"/>
      <c r="C9" s="1558"/>
      <c r="D9" s="472"/>
      <c r="E9" s="1570"/>
      <c r="F9" s="474"/>
      <c r="G9" s="1568" t="s">
        <v>595</v>
      </c>
      <c r="H9" s="475"/>
      <c r="I9" s="475"/>
      <c r="J9" s="476" t="s">
        <v>598</v>
      </c>
      <c r="K9" s="477"/>
      <c r="L9" s="1558"/>
      <c r="M9" s="1558"/>
      <c r="R9" s="1558"/>
      <c r="U9" s="478"/>
      <c r="AA9" s="1554"/>
      <c r="AB9" s="1554"/>
      <c r="AC9" s="1554"/>
      <c r="AD9" s="1554"/>
      <c r="AE9" s="1554"/>
      <c r="AF9" s="1082">
        <v>0</v>
      </c>
    </row>
    <row r="10" spans="1:32" ht="11.25" hidden="1" customHeight="1">
      <c r="AF10" s="1553">
        <v>0</v>
      </c>
    </row>
    <row r="11" spans="1:32" ht="18.75" hidden="1" customHeight="1">
      <c r="D11" s="1560"/>
      <c r="E11" s="480"/>
      <c r="F11" s="474"/>
      <c r="G11" s="1568" t="s">
        <v>599</v>
      </c>
      <c r="H11" s="475"/>
      <c r="I11" s="475"/>
      <c r="J11" s="224" t="s">
        <v>600</v>
      </c>
      <c r="K11" s="477"/>
      <c r="AF11" s="1553">
        <v>0</v>
      </c>
    </row>
    <row r="12" spans="1:32" ht="11.25" hidden="1" customHeight="1">
      <c r="AF12" s="1553">
        <v>0</v>
      </c>
    </row>
    <row r="13" spans="1:32" ht="22.5" hidden="1" customHeight="1">
      <c r="D13" s="1560"/>
      <c r="E13" s="480"/>
      <c r="F13" s="474"/>
      <c r="G13" s="895" t="s">
        <v>601</v>
      </c>
      <c r="H13" s="479"/>
      <c r="I13" s="479"/>
      <c r="J13" s="679" t="s">
        <v>602</v>
      </c>
      <c r="K13" s="477"/>
      <c r="AF13" s="1553">
        <v>0</v>
      </c>
    </row>
    <row r="14" spans="1:32" ht="11.25" hidden="1" customHeight="1">
      <c r="AF14" s="1553">
        <v>0</v>
      </c>
    </row>
    <row r="15" spans="1:32" ht="22.5" hidden="1" customHeight="1">
      <c r="D15" s="1560"/>
      <c r="E15" s="480"/>
      <c r="F15" s="474"/>
      <c r="G15" s="1568" t="s">
        <v>603</v>
      </c>
      <c r="H15" s="479"/>
      <c r="I15" s="479"/>
      <c r="J15" s="224" t="s">
        <v>604</v>
      </c>
      <c r="K15" s="477"/>
      <c r="AF15" s="1553">
        <v>0</v>
      </c>
    </row>
    <row r="16" spans="1:32" ht="11.25" hidden="1" customHeight="1">
      <c r="AF16" s="1553">
        <v>0</v>
      </c>
    </row>
    <row r="17" spans="1:32" ht="22.5" hidden="1" customHeight="1">
      <c r="D17" s="1560"/>
      <c r="E17" s="480"/>
      <c r="F17" s="474"/>
      <c r="G17" s="1568" t="s">
        <v>605</v>
      </c>
      <c r="H17" s="479"/>
      <c r="I17" s="479"/>
      <c r="J17" s="224" t="s">
        <v>606</v>
      </c>
      <c r="K17" s="477"/>
      <c r="AF17" s="1553">
        <v>0</v>
      </c>
    </row>
    <row r="18" spans="1:32" ht="11.25" hidden="1" customHeight="1">
      <c r="AF18" s="1553">
        <v>0</v>
      </c>
    </row>
    <row r="19" spans="1:32" s="1554" customFormat="1" ht="11.25" hidden="1" customHeight="1">
      <c r="A19" s="913"/>
      <c r="B19" s="1082"/>
      <c r="C19" s="1558"/>
      <c r="D19" s="296"/>
      <c r="J19" s="1554">
        <v>4</v>
      </c>
      <c r="K19" s="1082"/>
      <c r="L19" s="1558"/>
      <c r="M19" s="1558"/>
      <c r="N19" s="1082"/>
      <c r="O19" s="1082"/>
      <c r="P19" s="1082"/>
      <c r="Q19" s="1082"/>
      <c r="R19" s="1558"/>
      <c r="S19" s="1082"/>
      <c r="T19" s="1082"/>
      <c r="U19" s="478"/>
      <c r="V19" s="1082"/>
      <c r="W19" s="1082"/>
      <c r="X19" s="1082"/>
      <c r="Y19" s="1082"/>
      <c r="Z19" s="1082"/>
      <c r="AF19" s="1554">
        <v>0</v>
      </c>
    </row>
    <row r="20" spans="1:32" ht="11.45" customHeight="1">
      <c r="AF20" s="1553">
        <v>11</v>
      </c>
    </row>
    <row r="21" spans="1:32" ht="25.15" customHeight="1">
      <c r="E21" s="372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721"/>
      <c r="G21" s="3721"/>
      <c r="H21" s="3721"/>
      <c r="I21" s="3721"/>
      <c r="J21" s="490"/>
      <c r="AF21" s="1553">
        <v>24</v>
      </c>
    </row>
    <row r="22" spans="1:32" ht="25.15" customHeight="1">
      <c r="E22" s="3667" t="str">
        <f>IF(org=0,"Не определено",org)</f>
        <v>ООО "Смоленскрегионтеплоэнерго"</v>
      </c>
      <c r="F22" s="3667"/>
      <c r="G22" s="3667"/>
      <c r="H22" s="3667"/>
      <c r="I22" s="3667"/>
      <c r="AF22" s="1553">
        <v>24</v>
      </c>
    </row>
    <row r="23" spans="1:32" ht="11.45" customHeight="1">
      <c r="E23" s="1058"/>
      <c r="F23" s="1058"/>
      <c r="G23" s="1058"/>
      <c r="H23" s="1058"/>
      <c r="I23" s="1058"/>
      <c r="AF23" s="1553">
        <v>11</v>
      </c>
    </row>
    <row r="24" spans="1:32" s="1564" customFormat="1" ht="1.1499999999999999" customHeight="1">
      <c r="A24" s="1089"/>
      <c r="H24" s="816"/>
      <c r="I24" s="816" t="s">
        <v>169</v>
      </c>
      <c r="AF24" s="1558">
        <v>1</v>
      </c>
    </row>
    <row r="25" spans="1:32" ht="11.45" customHeight="1">
      <c r="E25" s="645"/>
      <c r="F25" s="3822" t="s">
        <v>160</v>
      </c>
      <c r="G25" s="3823"/>
      <c r="H25" s="1574" t="str">
        <f>IF(H24="","",INDEX(DIFFERENTIATION_UNMERGE_VD,MATCH(H24,DIFFERENTIATION_ID_DIFF,0)))</f>
        <v/>
      </c>
      <c r="I25" s="1574"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3618"/>
      <c r="AF25" s="1553">
        <v>11</v>
      </c>
    </row>
    <row r="26" spans="1:32" ht="11.45" customHeight="1">
      <c r="E26" s="645"/>
      <c r="F26" s="3822" t="s">
        <v>607</v>
      </c>
      <c r="G26" s="3823"/>
      <c r="H26" s="1574" t="str">
        <f>IF(H24="","",INDEX(DIFFERENTIATION_UNMERGE_AREA,MATCH(H24,DIFFERENTIATION_ID_DIFF,0)))</f>
        <v/>
      </c>
      <c r="I26" s="1574" t="str">
        <f>IF(I24="","",INDEX(DIFFERENTIATION_UNMERGE_AREA,MATCH(I24,DIFFERENTIATION_ID_DIFF,0)))</f>
        <v>без дифференциации</v>
      </c>
      <c r="J26" s="3618"/>
      <c r="AF26" s="1553">
        <v>11</v>
      </c>
    </row>
    <row r="27" spans="1:32" ht="11.45" customHeight="1">
      <c r="E27" s="645"/>
      <c r="F27" s="3822" t="s">
        <v>608</v>
      </c>
      <c r="G27" s="3823"/>
      <c r="H27" s="1574" t="str">
        <f>IF(H24="","",INDEX(DIFFERENTIATION_UNMERGE_SYSTEM,MATCH(H24,DIFFERENTIATION_ID_DIFF,0)))</f>
        <v/>
      </c>
      <c r="I27" s="1574" t="str">
        <f>IF(I24="","",INDEX(DIFFERENTIATION_UNMERGE_SYSTEM,MATCH(I24,DIFFERENTIATION_ID_DIFF,0)))</f>
        <v>без дифференциации</v>
      </c>
      <c r="J27" s="3618"/>
      <c r="AF27" s="1553">
        <v>11</v>
      </c>
    </row>
    <row r="28" spans="1:32" ht="11.45" customHeight="1">
      <c r="E28" s="3824" t="s">
        <v>345</v>
      </c>
      <c r="F28" s="3825"/>
      <c r="G28" s="3825"/>
      <c r="H28" s="1567"/>
      <c r="I28" s="1567"/>
      <c r="J28" s="3618"/>
      <c r="AF28" s="1553">
        <v>11</v>
      </c>
    </row>
    <row r="29" spans="1:32" ht="24" customHeight="1">
      <c r="E29" s="1568" t="s">
        <v>76</v>
      </c>
      <c r="F29" s="1575" t="s">
        <v>347</v>
      </c>
      <c r="G29" s="1575" t="s">
        <v>609</v>
      </c>
      <c r="H29" s="1575" t="s">
        <v>348</v>
      </c>
      <c r="I29" s="1575" t="s">
        <v>348</v>
      </c>
      <c r="J29" s="3618"/>
      <c r="AF29" s="1553">
        <v>23</v>
      </c>
    </row>
    <row r="30" spans="1:32" ht="20.25" customHeight="1">
      <c r="D30" s="1560"/>
      <c r="E30" s="480">
        <f>FHD_NUM_P_1</f>
        <v>1</v>
      </c>
      <c r="F30" s="1769" t="str">
        <f>FHD_P_1</f>
        <v>Выручка от регулируемого вида деятельности с распределением по видам деятельности</v>
      </c>
      <c r="G30" s="1767" t="s">
        <v>595</v>
      </c>
      <c r="H30" s="491"/>
      <c r="I30" s="491">
        <v>4252356.6500000004</v>
      </c>
      <c r="J30" s="224" t="str">
        <f>FHD_NOTE_P_1</f>
        <v>Указывается выручка от регулируемого вида деятельности с распределением по видам деятельности.</v>
      </c>
      <c r="K30" s="477"/>
      <c r="AF30" s="1553">
        <v>19</v>
      </c>
    </row>
    <row r="31" spans="1:32" ht="31.5" customHeight="1">
      <c r="D31" s="1560"/>
      <c r="E31" s="480">
        <f>FHD_NUM_P_2</f>
        <v>2</v>
      </c>
      <c r="F31" s="1769" t="str">
        <f>FHD_P_2</f>
        <v>Себестоимость производимых товаров (оказываемых услуг) по регулируемому виду деятельности, включая:</v>
      </c>
      <c r="G31" s="1767" t="s">
        <v>595</v>
      </c>
      <c r="H31" s="492">
        <f>SUMIF($K32:$K88,$K31,H32:H88)</f>
        <v>0</v>
      </c>
      <c r="I31" s="492">
        <f>SUMIF($K32:$K88,$K31,I32:I88)</f>
        <v>4155361.9300000006</v>
      </c>
      <c r="J31" s="224" t="str">
        <f>FHD_NOTE_P_2</f>
        <v>Указывается суммарная себестоимость производимых товаров.</v>
      </c>
      <c r="K31" s="1558" t="s">
        <v>610</v>
      </c>
      <c r="AF31" s="1553">
        <v>11</v>
      </c>
    </row>
    <row r="32" spans="1:32" ht="36" customHeight="1">
      <c r="D32" s="1560"/>
      <c r="E32" s="480" t="str">
        <f>FHD_NUM_P_3</f>
        <v>2.1</v>
      </c>
      <c r="F32" s="1446" t="str">
        <f>FHD_P_3</f>
        <v>Расходы на приобретаемую тепловую энергию (мощность), теплоноситель</v>
      </c>
      <c r="G32" s="1767" t="s">
        <v>595</v>
      </c>
      <c r="H32" s="491"/>
      <c r="I32" s="491">
        <v>111930.54</v>
      </c>
      <c r="J32" s="224" t="str">
        <f>FHD_NOTE_P_3</f>
        <v/>
      </c>
      <c r="K32" s="1558" t="str">
        <f t="shared" ref="K32:K39" si="0">IF((LEN(E32)-LEN(SUBSTITUTE(E32,".","")))/LEN(".")=1,"p","")</f>
        <v>p</v>
      </c>
      <c r="AF32" s="1553">
        <v>11</v>
      </c>
    </row>
    <row r="33" spans="1:32" ht="30" customHeight="1">
      <c r="A33" s="3826" t="s">
        <v>611</v>
      </c>
      <c r="D33" s="1560"/>
      <c r="E33" s="480" t="str">
        <f>FHD_NUM_P_4</f>
        <v>2.2</v>
      </c>
      <c r="F33" s="144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67" t="s">
        <v>595</v>
      </c>
      <c r="H33" s="492">
        <f>SUMIF($F34:$F52,$F3,H34:H52)</f>
        <v>0</v>
      </c>
      <c r="I33" s="492">
        <f>SUMIF($F34:$F52,$F3,I34:I52)</f>
        <v>1550076.6400000001</v>
      </c>
      <c r="J33" s="224" t="str">
        <f>FHD_NOTE_P_4</f>
        <v>Указываются суммарные расходы на приобретение топлива всех видов.</v>
      </c>
      <c r="K33" s="1558" t="str">
        <f t="shared" si="0"/>
        <v>p</v>
      </c>
      <c r="AF33" s="1553">
        <v>0</v>
      </c>
    </row>
    <row r="34" spans="1:32" s="1563" customFormat="1" ht="0.75" customHeight="1">
      <c r="A34" s="3826"/>
      <c r="B34" s="3829" t="str">
        <f>E33&amp;".0"</f>
        <v>2.2.0</v>
      </c>
      <c r="C34" s="1089"/>
      <c r="D34" s="494"/>
      <c r="E34" s="495"/>
      <c r="F34" s="496"/>
      <c r="G34" s="497"/>
      <c r="H34" s="431"/>
      <c r="I34" s="431"/>
      <c r="J34" s="498"/>
      <c r="K34" s="1558" t="str">
        <f t="shared" si="0"/>
        <v/>
      </c>
      <c r="L34" s="1558"/>
      <c r="M34" s="1558"/>
      <c r="N34" s="1558"/>
      <c r="O34" s="1558"/>
      <c r="P34" s="1558"/>
      <c r="Q34" s="1558"/>
      <c r="R34" s="1558"/>
      <c r="S34" s="1558"/>
      <c r="T34" s="1558"/>
      <c r="U34" s="499"/>
      <c r="V34" s="1558"/>
      <c r="W34" s="1558"/>
      <c r="X34" s="1558"/>
      <c r="Y34" s="1558"/>
      <c r="Z34" s="1558"/>
      <c r="AA34" s="500"/>
      <c r="AB34" s="500"/>
      <c r="AC34" s="500"/>
      <c r="AD34" s="500"/>
      <c r="AE34" s="500"/>
      <c r="AF34" s="1563">
        <v>0</v>
      </c>
    </row>
    <row r="35" spans="1:32" s="1563" customFormat="1" ht="0.75" customHeight="1">
      <c r="A35" s="3826"/>
      <c r="B35" s="3829"/>
      <c r="C35" s="1089"/>
      <c r="D35" s="494"/>
      <c r="E35" s="501"/>
      <c r="F35" s="502"/>
      <c r="G35" s="497"/>
      <c r="H35" s="503"/>
      <c r="I35" s="503"/>
      <c r="J35" s="498"/>
      <c r="K35" s="1558" t="str">
        <f t="shared" si="0"/>
        <v/>
      </c>
      <c r="L35" s="1558"/>
      <c r="M35" s="1558"/>
      <c r="N35" s="1558"/>
      <c r="O35" s="1558"/>
      <c r="P35" s="1558"/>
      <c r="Q35" s="1558"/>
      <c r="R35" s="1558"/>
      <c r="S35" s="1558"/>
      <c r="T35" s="1558"/>
      <c r="U35" s="499"/>
      <c r="V35" s="1558"/>
      <c r="W35" s="1558"/>
      <c r="X35" s="1558"/>
      <c r="Y35" s="1558"/>
      <c r="Z35" s="1558"/>
      <c r="AA35" s="500"/>
      <c r="AB35" s="500"/>
      <c r="AC35" s="500"/>
      <c r="AD35" s="500"/>
      <c r="AE35" s="500"/>
      <c r="AF35" s="1563">
        <v>0</v>
      </c>
    </row>
    <row r="36" spans="1:32" s="1563" customFormat="1" ht="0.75" customHeight="1">
      <c r="A36" s="3826"/>
      <c r="B36" s="3829"/>
      <c r="C36" s="1089"/>
      <c r="D36" s="494"/>
      <c r="E36" s="501"/>
      <c r="F36" s="502"/>
      <c r="G36" s="497"/>
      <c r="H36" s="503"/>
      <c r="I36" s="503"/>
      <c r="J36" s="498"/>
      <c r="K36" s="1558" t="str">
        <f t="shared" si="0"/>
        <v/>
      </c>
      <c r="L36" s="1558"/>
      <c r="M36" s="1558"/>
      <c r="N36" s="1558"/>
      <c r="O36" s="1558"/>
      <c r="P36" s="1558"/>
      <c r="Q36" s="1558"/>
      <c r="R36" s="1558"/>
      <c r="S36" s="1558"/>
      <c r="T36" s="1558"/>
      <c r="U36" s="499"/>
      <c r="V36" s="1558"/>
      <c r="W36" s="1558"/>
      <c r="X36" s="1558"/>
      <c r="Y36" s="1558"/>
      <c r="Z36" s="1558"/>
      <c r="AA36" s="500"/>
      <c r="AB36" s="500"/>
      <c r="AC36" s="500"/>
      <c r="AD36" s="500"/>
      <c r="AE36" s="500"/>
      <c r="AF36" s="1563">
        <v>0</v>
      </c>
    </row>
    <row r="37" spans="1:32" s="1563" customFormat="1" ht="0.75" customHeight="1">
      <c r="A37" s="3826"/>
      <c r="B37" s="3829"/>
      <c r="C37" s="1089"/>
      <c r="D37" s="494"/>
      <c r="E37" s="501"/>
      <c r="F37" s="502"/>
      <c r="G37" s="497"/>
      <c r="H37" s="503"/>
      <c r="I37" s="503"/>
      <c r="J37" s="498"/>
      <c r="K37" s="1558" t="str">
        <f t="shared" si="0"/>
        <v/>
      </c>
      <c r="L37" s="1558"/>
      <c r="M37" s="1558"/>
      <c r="N37" s="1558"/>
      <c r="O37" s="1558"/>
      <c r="P37" s="1558"/>
      <c r="Q37" s="1558"/>
      <c r="R37" s="1558"/>
      <c r="S37" s="1558"/>
      <c r="T37" s="1558"/>
      <c r="U37" s="499"/>
      <c r="V37" s="1558"/>
      <c r="W37" s="1558"/>
      <c r="X37" s="1558"/>
      <c r="Y37" s="1558"/>
      <c r="Z37" s="1558"/>
      <c r="AA37" s="500"/>
      <c r="AB37" s="500"/>
      <c r="AC37" s="500"/>
      <c r="AD37" s="500"/>
      <c r="AE37" s="500"/>
      <c r="AF37" s="1563">
        <v>0</v>
      </c>
    </row>
    <row r="38" spans="1:32" s="1563" customFormat="1" ht="0.75" customHeight="1">
      <c r="A38" s="3826"/>
      <c r="B38" s="3829"/>
      <c r="C38" s="1089"/>
      <c r="D38" s="494"/>
      <c r="E38" s="501"/>
      <c r="F38" s="502"/>
      <c r="G38" s="497"/>
      <c r="H38" s="503"/>
      <c r="I38" s="503"/>
      <c r="J38" s="498"/>
      <c r="K38" s="1558" t="str">
        <f t="shared" si="0"/>
        <v/>
      </c>
      <c r="L38" s="1558"/>
      <c r="M38" s="1558"/>
      <c r="N38" s="1558"/>
      <c r="O38" s="1558"/>
      <c r="P38" s="1558"/>
      <c r="Q38" s="1558"/>
      <c r="R38" s="1558"/>
      <c r="S38" s="1558"/>
      <c r="T38" s="1558"/>
      <c r="U38" s="499"/>
      <c r="V38" s="1558"/>
      <c r="W38" s="1558"/>
      <c r="X38" s="1558"/>
      <c r="Y38" s="1558"/>
      <c r="Z38" s="1558"/>
      <c r="AA38" s="500"/>
      <c r="AB38" s="500"/>
      <c r="AC38" s="500"/>
      <c r="AD38" s="500"/>
      <c r="AE38" s="500"/>
      <c r="AF38" s="1563">
        <v>0</v>
      </c>
    </row>
    <row r="39" spans="1:32" s="1563" customFormat="1" ht="0.75" customHeight="1">
      <c r="A39" s="3826"/>
      <c r="B39" s="3829"/>
      <c r="C39" s="1089"/>
      <c r="D39" s="494"/>
      <c r="E39" s="501"/>
      <c r="F39" s="502"/>
      <c r="G39" s="497"/>
      <c r="H39" s="431"/>
      <c r="I39" s="431"/>
      <c r="J39" s="498"/>
      <c r="K39" s="1558" t="str">
        <f t="shared" si="0"/>
        <v/>
      </c>
      <c r="L39" s="1558"/>
      <c r="M39" s="1558"/>
      <c r="N39" s="1558"/>
      <c r="O39" s="1558"/>
      <c r="P39" s="1558"/>
      <c r="Q39" s="1558"/>
      <c r="R39" s="1558"/>
      <c r="S39" s="1558"/>
      <c r="T39" s="1558"/>
      <c r="U39" s="499"/>
      <c r="V39" s="1558"/>
      <c r="W39" s="1558"/>
      <c r="X39" s="1558"/>
      <c r="Y39" s="1558"/>
      <c r="Z39" s="1558"/>
      <c r="AA39" s="500"/>
      <c r="AB39" s="500"/>
      <c r="AC39" s="500"/>
      <c r="AD39" s="500"/>
      <c r="AE39" s="500"/>
      <c r="AF39" s="1563">
        <v>0</v>
      </c>
    </row>
    <row r="40" spans="1:32" s="1739" customFormat="1" ht="23.25" customHeight="1">
      <c r="A40" s="3827"/>
      <c r="B40" s="3592" t="str">
        <f>E33&amp;".1"</f>
        <v>2.2.1</v>
      </c>
      <c r="C40" s="1246" t="s">
        <v>588</v>
      </c>
      <c r="D40" s="617" t="s">
        <v>90</v>
      </c>
      <c r="E40" s="480" t="str">
        <f>B40</f>
        <v>2.2.1</v>
      </c>
      <c r="F40" s="481" t="s">
        <v>612</v>
      </c>
      <c r="G40" s="1989" t="s">
        <v>589</v>
      </c>
      <c r="H40" s="1989" t="s">
        <v>589</v>
      </c>
      <c r="I40" s="1989" t="s">
        <v>589</v>
      </c>
      <c r="J40" s="1447" t="s">
        <v>590</v>
      </c>
      <c r="K40" s="668"/>
      <c r="L40" s="1564"/>
      <c r="M40" s="1564"/>
      <c r="N40" s="1288"/>
      <c r="O40" s="1288"/>
      <c r="P40" s="1288"/>
      <c r="Q40" s="1288"/>
      <c r="R40" s="1564"/>
      <c r="S40" s="1288"/>
      <c r="T40" s="1288"/>
      <c r="U40" s="670"/>
      <c r="V40" s="1288"/>
      <c r="W40" s="1288"/>
      <c r="X40" s="1288"/>
      <c r="Y40" s="1288"/>
      <c r="Z40" s="1288"/>
      <c r="AA40" s="1554"/>
      <c r="AB40" s="1554"/>
      <c r="AC40" s="1554"/>
      <c r="AD40" s="1554"/>
      <c r="AE40" s="1554"/>
      <c r="AF40" s="1557">
        <v>0</v>
      </c>
    </row>
    <row r="41" spans="1:32" s="556" customFormat="1" ht="0.75" hidden="1" customHeight="1">
      <c r="A41" s="3828"/>
      <c r="B41" s="3592" t="str">
        <f>E33&amp;".0"</f>
        <v>2.2.0</v>
      </c>
      <c r="C41" s="1246"/>
      <c r="D41" s="1246"/>
      <c r="E41" s="483"/>
      <c r="F41" s="484" t="s">
        <v>591</v>
      </c>
      <c r="G41" s="1295"/>
      <c r="H41" s="1295">
        <f>H42*H43+H44</f>
        <v>0</v>
      </c>
      <c r="I41" s="1295">
        <f>I42*I43+I44</f>
        <v>1541362.37</v>
      </c>
      <c r="J41" s="1298"/>
      <c r="K41" s="1564"/>
      <c r="L41" s="1564"/>
      <c r="M41" s="1564"/>
      <c r="N41" s="1564"/>
      <c r="O41" s="1564"/>
      <c r="P41" s="1564"/>
      <c r="Q41" s="1564"/>
      <c r="R41" s="1564"/>
      <c r="S41" s="1564"/>
      <c r="T41" s="1564"/>
      <c r="U41" s="1564"/>
      <c r="V41" s="1564"/>
      <c r="W41" s="1564"/>
      <c r="X41" s="1564"/>
      <c r="Y41" s="1564"/>
      <c r="Z41" s="1564"/>
      <c r="AA41" s="1564"/>
      <c r="AB41" s="1564"/>
      <c r="AC41" s="1564"/>
      <c r="AD41" s="1564"/>
      <c r="AE41" s="1564"/>
      <c r="AF41" s="1564">
        <v>0</v>
      </c>
    </row>
    <row r="42" spans="1:32" s="1739" customFormat="1" ht="23.25" customHeight="1">
      <c r="A42" s="3827"/>
      <c r="B42" s="3592" t="str">
        <f>E33&amp;".0"</f>
        <v>2.2.0</v>
      </c>
      <c r="C42" s="1246"/>
      <c r="D42" s="1986"/>
      <c r="E42" s="480" t="str">
        <f>B40&amp;".1"</f>
        <v>2.2.1.1</v>
      </c>
      <c r="F42" s="487" t="s">
        <v>592</v>
      </c>
      <c r="G42" s="488" t="s">
        <v>613</v>
      </c>
      <c r="H42" s="685"/>
      <c r="I42" s="685">
        <v>194511.67</v>
      </c>
      <c r="J42" s="1447" t="s">
        <v>593</v>
      </c>
      <c r="K42" s="668"/>
      <c r="L42" s="1564"/>
      <c r="M42" s="1564"/>
      <c r="N42" s="1288"/>
      <c r="O42" s="1288"/>
      <c r="P42" s="1288"/>
      <c r="Q42" s="1288"/>
      <c r="R42" s="1564"/>
      <c r="S42" s="1288"/>
      <c r="T42" s="1288"/>
      <c r="U42" s="670"/>
      <c r="V42" s="1288"/>
      <c r="W42" s="1288"/>
      <c r="X42" s="1288"/>
      <c r="Y42" s="1288"/>
      <c r="Z42" s="1288"/>
      <c r="AA42" s="1554"/>
      <c r="AB42" s="1554"/>
      <c r="AC42" s="1554"/>
      <c r="AD42" s="1554"/>
      <c r="AE42" s="1554"/>
      <c r="AF42" s="1557">
        <v>0</v>
      </c>
    </row>
    <row r="43" spans="1:32" s="1739" customFormat="1" ht="18.75" customHeight="1">
      <c r="A43" s="3827"/>
      <c r="B43" s="3592" t="str">
        <f>E33&amp;".0"</f>
        <v>2.2.0</v>
      </c>
      <c r="C43" s="1246"/>
      <c r="D43" s="1986"/>
      <c r="E43" s="480" t="str">
        <f>B40&amp;".2"</f>
        <v>2.2.1.2</v>
      </c>
      <c r="F43" s="487" t="s">
        <v>594</v>
      </c>
      <c r="G43" s="1989" t="s">
        <v>595</v>
      </c>
      <c r="H43" s="685"/>
      <c r="I43" s="685">
        <f>(1538090.36+3272.01)/I42</f>
        <v>7.9242668062024251</v>
      </c>
      <c r="J43" s="1447"/>
      <c r="K43" s="668"/>
      <c r="L43" s="1564"/>
      <c r="M43" s="1564"/>
      <c r="N43" s="1288"/>
      <c r="O43" s="1288"/>
      <c r="P43" s="1288"/>
      <c r="Q43" s="1288"/>
      <c r="R43" s="1564"/>
      <c r="S43" s="1288"/>
      <c r="T43" s="1288"/>
      <c r="U43" s="670"/>
      <c r="V43" s="1288"/>
      <c r="W43" s="1288"/>
      <c r="X43" s="1288"/>
      <c r="Y43" s="1288"/>
      <c r="Z43" s="1288"/>
      <c r="AA43" s="1554"/>
      <c r="AB43" s="1554"/>
      <c r="AC43" s="1554"/>
      <c r="AD43" s="1554"/>
      <c r="AE43" s="1554"/>
      <c r="AF43" s="1557">
        <v>0</v>
      </c>
    </row>
    <row r="44" spans="1:32" s="1739" customFormat="1" ht="18.75" customHeight="1">
      <c r="A44" s="3827"/>
      <c r="B44" s="3592" t="str">
        <f>E33&amp;".0"</f>
        <v>2.2.0</v>
      </c>
      <c r="C44" s="1246"/>
      <c r="D44" s="1986"/>
      <c r="E44" s="480" t="str">
        <f>B40&amp;".3"</f>
        <v>2.2.1.3</v>
      </c>
      <c r="F44" s="487" t="s">
        <v>596</v>
      </c>
      <c r="G44" s="1989" t="s">
        <v>595</v>
      </c>
      <c r="H44" s="685"/>
      <c r="I44" s="685">
        <v>0</v>
      </c>
      <c r="J44" s="1447"/>
      <c r="K44" s="668"/>
      <c r="L44" s="1564"/>
      <c r="M44" s="1564"/>
      <c r="N44" s="1288"/>
      <c r="O44" s="1288"/>
      <c r="P44" s="1288"/>
      <c r="Q44" s="1288"/>
      <c r="R44" s="1564"/>
      <c r="S44" s="1288"/>
      <c r="T44" s="1288"/>
      <c r="U44" s="670"/>
      <c r="V44" s="1288"/>
      <c r="W44" s="1288"/>
      <c r="X44" s="1288"/>
      <c r="Y44" s="1288"/>
      <c r="Z44" s="1288"/>
      <c r="AA44" s="1554"/>
      <c r="AB44" s="1554"/>
      <c r="AC44" s="1554"/>
      <c r="AD44" s="1554"/>
      <c r="AE44" s="1554"/>
      <c r="AF44" s="1557">
        <v>0</v>
      </c>
    </row>
    <row r="45" spans="1:32" s="1739" customFormat="1" ht="18.75" customHeight="1">
      <c r="A45" s="3827"/>
      <c r="B45" s="3592" t="str">
        <f>E33&amp;".0"</f>
        <v>2.2.0</v>
      </c>
      <c r="C45" s="1246"/>
      <c r="D45" s="1986"/>
      <c r="E45" s="480" t="str">
        <f>B40&amp;".4"</f>
        <v>2.2.1.4</v>
      </c>
      <c r="F45" s="487" t="s">
        <v>597</v>
      </c>
      <c r="G45" s="1989" t="s">
        <v>589</v>
      </c>
      <c r="H45" s="489"/>
      <c r="I45" s="489" t="s">
        <v>614</v>
      </c>
      <c r="J45" s="1447"/>
      <c r="K45" s="668"/>
      <c r="L45" s="1564"/>
      <c r="M45" s="1564"/>
      <c r="N45" s="1288"/>
      <c r="O45" s="1288"/>
      <c r="P45" s="1288"/>
      <c r="Q45" s="1288"/>
      <c r="R45" s="1564"/>
      <c r="S45" s="1288"/>
      <c r="T45" s="1288"/>
      <c r="U45" s="670"/>
      <c r="V45" s="1288"/>
      <c r="W45" s="1288"/>
      <c r="X45" s="1288"/>
      <c r="Y45" s="1288"/>
      <c r="Z45" s="1288"/>
      <c r="AA45" s="1554"/>
      <c r="AB45" s="1554"/>
      <c r="AC45" s="1554"/>
      <c r="AD45" s="1554"/>
      <c r="AE45" s="1554"/>
      <c r="AF45" s="1557">
        <v>0</v>
      </c>
    </row>
    <row r="46" spans="1:32" s="1739" customFormat="1" ht="23.25" customHeight="1">
      <c r="A46" s="3827"/>
      <c r="B46" s="3592" t="str">
        <f>E33&amp;".2"</f>
        <v>2.2.2</v>
      </c>
      <c r="C46" s="1246" t="s">
        <v>588</v>
      </c>
      <c r="D46" s="617" t="s">
        <v>90</v>
      </c>
      <c r="E46" s="480" t="str">
        <f>B46</f>
        <v>2.2.2</v>
      </c>
      <c r="F46" s="481" t="s">
        <v>615</v>
      </c>
      <c r="G46" s="1989" t="s">
        <v>589</v>
      </c>
      <c r="H46" s="1989" t="s">
        <v>589</v>
      </c>
      <c r="I46" s="1989" t="s">
        <v>589</v>
      </c>
      <c r="J46" s="1447" t="s">
        <v>590</v>
      </c>
      <c r="K46" s="668"/>
      <c r="L46" s="1564"/>
      <c r="M46" s="1564"/>
      <c r="N46" s="1288"/>
      <c r="O46" s="1288"/>
      <c r="P46" s="1288"/>
      <c r="Q46" s="1288"/>
      <c r="R46" s="1564"/>
      <c r="S46" s="1288"/>
      <c r="T46" s="1288"/>
      <c r="U46" s="670"/>
      <c r="V46" s="1288"/>
      <c r="W46" s="1288"/>
      <c r="X46" s="1288"/>
      <c r="Y46" s="1288"/>
      <c r="Z46" s="1288"/>
      <c r="AA46" s="1554"/>
      <c r="AB46" s="1554"/>
      <c r="AC46" s="1554"/>
      <c r="AD46" s="1554"/>
      <c r="AE46" s="1554"/>
      <c r="AF46" s="1557">
        <v>0</v>
      </c>
    </row>
    <row r="47" spans="1:32" s="556" customFormat="1" ht="0.75" hidden="1" customHeight="1">
      <c r="A47" s="3828"/>
      <c r="B47" s="3592" t="str">
        <f>E33&amp;".1"</f>
        <v>2.2.1</v>
      </c>
      <c r="C47" s="1246"/>
      <c r="D47" s="1246"/>
      <c r="E47" s="483"/>
      <c r="F47" s="484" t="s">
        <v>591</v>
      </c>
      <c r="G47" s="1295"/>
      <c r="H47" s="1295">
        <f>H48*H49+H50</f>
        <v>0</v>
      </c>
      <c r="I47" s="1295">
        <f>I48*I49+I50</f>
        <v>8714.27</v>
      </c>
      <c r="J47" s="1298"/>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v>0</v>
      </c>
    </row>
    <row r="48" spans="1:32" s="1739" customFormat="1" ht="23.25" customHeight="1">
      <c r="A48" s="3827"/>
      <c r="B48" s="3592" t="str">
        <f>E33&amp;".1"</f>
        <v>2.2.1</v>
      </c>
      <c r="C48" s="1246"/>
      <c r="D48" s="1986"/>
      <c r="E48" s="480" t="str">
        <f>B46&amp;".1"</f>
        <v>2.2.2.1</v>
      </c>
      <c r="F48" s="487" t="s">
        <v>592</v>
      </c>
      <c r="G48" s="488" t="s">
        <v>616</v>
      </c>
      <c r="H48" s="685"/>
      <c r="I48" s="685">
        <v>1276.5899999999999</v>
      </c>
      <c r="J48" s="1447" t="s">
        <v>593</v>
      </c>
      <c r="K48" s="668"/>
      <c r="L48" s="1564"/>
      <c r="M48" s="1564"/>
      <c r="N48" s="1288"/>
      <c r="O48" s="1288"/>
      <c r="P48" s="1288"/>
      <c r="Q48" s="1288"/>
      <c r="R48" s="1564"/>
      <c r="S48" s="1288"/>
      <c r="T48" s="1288"/>
      <c r="U48" s="670"/>
      <c r="V48" s="1288"/>
      <c r="W48" s="1288"/>
      <c r="X48" s="1288"/>
      <c r="Y48" s="1288"/>
      <c r="Z48" s="1288"/>
      <c r="AA48" s="1554"/>
      <c r="AB48" s="1554"/>
      <c r="AC48" s="1554"/>
      <c r="AD48" s="1554"/>
      <c r="AE48" s="1554"/>
      <c r="AF48" s="1557">
        <v>0</v>
      </c>
    </row>
    <row r="49" spans="1:32" s="1739" customFormat="1" ht="18.75" customHeight="1">
      <c r="A49" s="3827"/>
      <c r="B49" s="3592" t="str">
        <f>E33&amp;".1"</f>
        <v>2.2.1</v>
      </c>
      <c r="C49" s="1246"/>
      <c r="D49" s="1986"/>
      <c r="E49" s="480" t="str">
        <f>B46&amp;".2"</f>
        <v>2.2.2.2</v>
      </c>
      <c r="F49" s="487" t="s">
        <v>594</v>
      </c>
      <c r="G49" s="1989" t="s">
        <v>595</v>
      </c>
      <c r="H49" s="685"/>
      <c r="I49" s="685">
        <f>8714.27/I48</f>
        <v>6.8262088846066478</v>
      </c>
      <c r="J49" s="1447"/>
      <c r="K49" s="668"/>
      <c r="L49" s="1564"/>
      <c r="M49" s="1564"/>
      <c r="N49" s="1288"/>
      <c r="O49" s="1288"/>
      <c r="P49" s="1288"/>
      <c r="Q49" s="1288"/>
      <c r="R49" s="1564"/>
      <c r="S49" s="1288"/>
      <c r="T49" s="1288"/>
      <c r="U49" s="670"/>
      <c r="V49" s="1288"/>
      <c r="W49" s="1288"/>
      <c r="X49" s="1288"/>
      <c r="Y49" s="1288"/>
      <c r="Z49" s="1288"/>
      <c r="AA49" s="1554"/>
      <c r="AB49" s="1554"/>
      <c r="AC49" s="1554"/>
      <c r="AD49" s="1554"/>
      <c r="AE49" s="1554"/>
      <c r="AF49" s="1557">
        <v>0</v>
      </c>
    </row>
    <row r="50" spans="1:32" s="1739" customFormat="1" ht="18.75" customHeight="1">
      <c r="A50" s="3827"/>
      <c r="B50" s="3592" t="str">
        <f>E33&amp;".1"</f>
        <v>2.2.1</v>
      </c>
      <c r="C50" s="1246"/>
      <c r="D50" s="1986"/>
      <c r="E50" s="480" t="str">
        <f>B46&amp;".3"</f>
        <v>2.2.2.3</v>
      </c>
      <c r="F50" s="487" t="s">
        <v>596</v>
      </c>
      <c r="G50" s="1989" t="s">
        <v>595</v>
      </c>
      <c r="H50" s="685"/>
      <c r="I50" s="685">
        <v>0</v>
      </c>
      <c r="J50" s="1447"/>
      <c r="K50" s="668"/>
      <c r="L50" s="1564"/>
      <c r="M50" s="1564"/>
      <c r="N50" s="1288"/>
      <c r="O50" s="1288"/>
      <c r="P50" s="1288"/>
      <c r="Q50" s="1288"/>
      <c r="R50" s="1564"/>
      <c r="S50" s="1288"/>
      <c r="T50" s="1288"/>
      <c r="U50" s="670"/>
      <c r="V50" s="1288"/>
      <c r="W50" s="1288"/>
      <c r="X50" s="1288"/>
      <c r="Y50" s="1288"/>
      <c r="Z50" s="1288"/>
      <c r="AA50" s="1554"/>
      <c r="AB50" s="1554"/>
      <c r="AC50" s="1554"/>
      <c r="AD50" s="1554"/>
      <c r="AE50" s="1554"/>
      <c r="AF50" s="1557">
        <v>0</v>
      </c>
    </row>
    <row r="51" spans="1:32" s="1739" customFormat="1" ht="18.75" customHeight="1">
      <c r="A51" s="3827"/>
      <c r="B51" s="3592" t="str">
        <f>E33&amp;".1"</f>
        <v>2.2.1</v>
      </c>
      <c r="C51" s="1246"/>
      <c r="D51" s="1986"/>
      <c r="E51" s="480" t="str">
        <f>B46&amp;".4"</f>
        <v>2.2.2.4</v>
      </c>
      <c r="F51" s="487" t="s">
        <v>597</v>
      </c>
      <c r="G51" s="1989" t="s">
        <v>589</v>
      </c>
      <c r="H51" s="489"/>
      <c r="I51" s="489" t="s">
        <v>617</v>
      </c>
      <c r="J51" s="1447"/>
      <c r="K51" s="668"/>
      <c r="L51" s="1564"/>
      <c r="M51" s="1564"/>
      <c r="N51" s="1288"/>
      <c r="O51" s="1288"/>
      <c r="P51" s="1288"/>
      <c r="Q51" s="1288"/>
      <c r="R51" s="1564"/>
      <c r="S51" s="1288"/>
      <c r="T51" s="1288"/>
      <c r="U51" s="670"/>
      <c r="V51" s="1288"/>
      <c r="W51" s="1288"/>
      <c r="X51" s="1288"/>
      <c r="Y51" s="1288"/>
      <c r="Z51" s="1288"/>
      <c r="AA51" s="1554"/>
      <c r="AB51" s="1554"/>
      <c r="AC51" s="1554"/>
      <c r="AD51" s="1554"/>
      <c r="AE51" s="1554"/>
      <c r="AF51" s="1557">
        <v>0</v>
      </c>
    </row>
    <row r="52" spans="1:32" s="1288" customFormat="1" ht="15" customHeight="1">
      <c r="A52" s="3826"/>
      <c r="C52" s="1558"/>
      <c r="D52" s="1555"/>
      <c r="E52" s="504"/>
      <c r="F52" s="505" t="s">
        <v>618</v>
      </c>
      <c r="G52" s="506"/>
      <c r="H52" s="507"/>
      <c r="I52" s="507"/>
      <c r="J52" s="236"/>
      <c r="K52" s="1558" t="str">
        <f t="shared" ref="K52:K82" si="1">IF((LEN(E52)-LEN(SUBSTITUTE(E52,".","")))/LEN(".")=1,"p","")</f>
        <v/>
      </c>
      <c r="L52" s="1558"/>
      <c r="M52" s="1558"/>
      <c r="R52" s="1558"/>
      <c r="U52" s="478"/>
      <c r="AA52" s="1554"/>
      <c r="AB52" s="1554"/>
      <c r="AC52" s="1554"/>
      <c r="AD52" s="1554"/>
      <c r="AE52" s="1554"/>
      <c r="AF52" s="1082">
        <v>0</v>
      </c>
    </row>
    <row r="53" spans="1:32" ht="11.25" hidden="1" customHeight="1">
      <c r="A53" s="3826" t="s">
        <v>619</v>
      </c>
      <c r="D53" s="1560"/>
      <c r="E53" s="480" t="str">
        <f>FHD_NUM_P_5</f>
        <v/>
      </c>
      <c r="F53" s="1446" t="str">
        <f>FHD_P_5</f>
        <v/>
      </c>
      <c r="G53" s="1767" t="s">
        <v>595</v>
      </c>
      <c r="H53" s="491"/>
      <c r="I53" s="491"/>
      <c r="J53" s="224" t="str">
        <f>FHD_NOTE_P_5</f>
        <v/>
      </c>
      <c r="K53" s="1558" t="str">
        <f t="shared" si="1"/>
        <v/>
      </c>
      <c r="AF53" s="1553">
        <v>0</v>
      </c>
    </row>
    <row r="54" spans="1:32" ht="11.25" hidden="1" customHeight="1">
      <c r="A54" s="3826"/>
      <c r="D54" s="1560"/>
      <c r="E54" s="480" t="str">
        <f>FHD_NUM_P_6</f>
        <v/>
      </c>
      <c r="F54" s="1446" t="str">
        <f>FHD_P_6</f>
        <v/>
      </c>
      <c r="G54" s="1767" t="s">
        <v>595</v>
      </c>
      <c r="H54" s="491"/>
      <c r="I54" s="491"/>
      <c r="J54" s="224" t="str">
        <f>FHD_NOTE_P_6</f>
        <v/>
      </c>
      <c r="K54" s="1558" t="str">
        <f t="shared" si="1"/>
        <v/>
      </c>
      <c r="AF54" s="1553">
        <v>0</v>
      </c>
    </row>
    <row r="55" spans="1:32" ht="11.25" hidden="1" customHeight="1">
      <c r="A55" s="3826"/>
      <c r="D55" s="1560"/>
      <c r="E55" s="480" t="str">
        <f>FHD_NUM_P_7</f>
        <v/>
      </c>
      <c r="F55" s="1446" t="str">
        <f>FHD_P_7</f>
        <v/>
      </c>
      <c r="G55" s="1767" t="s">
        <v>595</v>
      </c>
      <c r="H55" s="491"/>
      <c r="I55" s="491"/>
      <c r="J55" s="224" t="str">
        <f>FHD_NOTE_P_7</f>
        <v/>
      </c>
      <c r="K55" s="1558" t="str">
        <f t="shared" si="1"/>
        <v/>
      </c>
      <c r="AF55" s="1553">
        <v>0</v>
      </c>
    </row>
    <row r="56" spans="1:32" ht="27" customHeight="1">
      <c r="D56" s="1560"/>
      <c r="E56" s="480" t="str">
        <f>FHD_NUM_P_8</f>
        <v>2.3</v>
      </c>
      <c r="F56" s="1446" t="str">
        <f>FHD_P_8</f>
        <v>Расходы на приобретаемую электрическую энергию (мощность), используемую в технологическом процессе</v>
      </c>
      <c r="G56" s="1767" t="s">
        <v>595</v>
      </c>
      <c r="H56" s="491"/>
      <c r="I56" s="491">
        <v>408517.74</v>
      </c>
      <c r="J56" s="224" t="str">
        <f>FHD_NOTE_P_8</f>
        <v/>
      </c>
      <c r="K56" s="1558" t="str">
        <f t="shared" si="1"/>
        <v>p</v>
      </c>
      <c r="AF56" s="1553">
        <v>11</v>
      </c>
    </row>
    <row r="57" spans="1:32" ht="11.45" customHeight="1">
      <c r="D57" s="1560"/>
      <c r="E57" s="480" t="str">
        <f>FHD_NUM_P_9</f>
        <v>2.3.1</v>
      </c>
      <c r="F57" s="1572" t="str">
        <f>FHD_P_9</f>
        <v>Средневзвешенная стоимость 1 кВт.ч (с учетом мощности)</v>
      </c>
      <c r="G57" s="1767" t="s">
        <v>620</v>
      </c>
      <c r="H57" s="491"/>
      <c r="I57" s="491">
        <f>I56/I58</f>
        <v>8.0465262649724671</v>
      </c>
      <c r="J57" s="224" t="str">
        <f>FHD_NOTE_P_9</f>
        <v/>
      </c>
      <c r="K57" s="1558" t="str">
        <f t="shared" si="1"/>
        <v/>
      </c>
      <c r="AF57" s="1553">
        <v>11</v>
      </c>
    </row>
    <row r="58" spans="1:32" s="1288" customFormat="1" ht="11.45" customHeight="1">
      <c r="A58" s="913"/>
      <c r="C58" s="1558"/>
      <c r="D58" s="508"/>
      <c r="E58" s="480" t="str">
        <f>FHD_NUM_P_10</f>
        <v>2.3.2</v>
      </c>
      <c r="F58" s="1572" t="str">
        <f>FHD_P_10</f>
        <v>Объём приобретения электрической энергии</v>
      </c>
      <c r="G58" s="1767" t="s">
        <v>621</v>
      </c>
      <c r="H58" s="491"/>
      <c r="I58" s="491">
        <v>50769.453370000003</v>
      </c>
      <c r="J58" s="224" t="str">
        <f>FHD_NOTE_P_10</f>
        <v/>
      </c>
      <c r="K58" s="1558" t="str">
        <f t="shared" si="1"/>
        <v/>
      </c>
      <c r="L58" s="1558"/>
      <c r="M58" s="1558"/>
      <c r="R58" s="1558"/>
      <c r="U58" s="478"/>
      <c r="AA58" s="1554"/>
      <c r="AB58" s="1554"/>
      <c r="AC58" s="1554"/>
      <c r="AD58" s="1554"/>
      <c r="AE58" s="1554"/>
      <c r="AF58" s="1082">
        <v>11</v>
      </c>
    </row>
    <row r="59" spans="1:32" s="1288" customFormat="1" ht="26.25" customHeight="1">
      <c r="A59" s="915" t="s">
        <v>622</v>
      </c>
      <c r="C59" s="1558"/>
      <c r="D59" s="509"/>
      <c r="E59" s="480" t="str">
        <f>FHD_NUM_P_11</f>
        <v>2.4</v>
      </c>
      <c r="F59" s="1446" t="str">
        <f>FHD_P_11</f>
        <v>Расходы на приобретение холодной воды, используемой в технологическом процессе</v>
      </c>
      <c r="G59" s="1767" t="s">
        <v>595</v>
      </c>
      <c r="H59" s="491"/>
      <c r="I59" s="491">
        <f>27332.85+2033.34</f>
        <v>29366.19</v>
      </c>
      <c r="J59" s="224" t="str">
        <f>FHD_NOTE_P_11</f>
        <v/>
      </c>
      <c r="K59" s="1558" t="str">
        <f t="shared" si="1"/>
        <v>p</v>
      </c>
      <c r="L59" s="1558"/>
      <c r="M59" s="1558"/>
      <c r="R59" s="1558"/>
      <c r="U59" s="478"/>
      <c r="AA59" s="1554"/>
      <c r="AB59" s="1554"/>
      <c r="AC59" s="1554"/>
      <c r="AD59" s="1554"/>
      <c r="AE59" s="1554"/>
      <c r="AF59" s="1082">
        <v>0</v>
      </c>
    </row>
    <row r="60" spans="1:32" s="1288" customFormat="1" ht="18.75" customHeight="1">
      <c r="A60" s="915" t="s">
        <v>623</v>
      </c>
      <c r="C60" s="1558"/>
      <c r="D60" s="1560"/>
      <c r="E60" s="480" t="str">
        <f>FHD_NUM_P_12</f>
        <v>2.5</v>
      </c>
      <c r="F60" s="1446" t="str">
        <f>FHD_P_12</f>
        <v>Расходы на  химические реагенты, используемые в технологическом процессе</v>
      </c>
      <c r="G60" s="1767" t="s">
        <v>595</v>
      </c>
      <c r="H60" s="511"/>
      <c r="I60" s="511">
        <v>8967.2999999999993</v>
      </c>
      <c r="J60" s="224" t="str">
        <f>FHD_NOTE_P_12</f>
        <v/>
      </c>
      <c r="K60" s="1558" t="str">
        <f t="shared" si="1"/>
        <v>p</v>
      </c>
      <c r="L60" s="1558"/>
      <c r="M60" s="1558"/>
      <c r="R60" s="1558"/>
      <c r="U60" s="478"/>
      <c r="AA60" s="1554"/>
      <c r="AB60" s="1554"/>
      <c r="AC60" s="1554"/>
      <c r="AD60" s="1554"/>
      <c r="AE60" s="1554"/>
      <c r="AF60" s="1082">
        <v>18</v>
      </c>
    </row>
    <row r="61" spans="1:32" s="1287" customFormat="1" ht="33" customHeight="1">
      <c r="A61" s="914"/>
      <c r="C61" s="664"/>
      <c r="D61" s="607"/>
      <c r="E61" s="480" t="str">
        <f>FHD_NUM_P_13</f>
        <v>2.6</v>
      </c>
      <c r="F61" s="144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67" t="s">
        <v>595</v>
      </c>
      <c r="H61" s="491"/>
      <c r="I61" s="491">
        <f>I62+I63</f>
        <v>906365.41999999993</v>
      </c>
      <c r="J61" s="224" t="str">
        <f>FHD_NOTE_P_13</f>
        <v/>
      </c>
      <c r="K61" s="1558" t="str">
        <f t="shared" si="1"/>
        <v>p</v>
      </c>
      <c r="L61" s="664"/>
      <c r="M61" s="664"/>
      <c r="R61" s="664"/>
      <c r="U61" s="665"/>
      <c r="AA61" s="666"/>
      <c r="AB61" s="666"/>
      <c r="AC61" s="666"/>
      <c r="AD61" s="666"/>
      <c r="AE61" s="666"/>
      <c r="AF61" s="663">
        <v>11</v>
      </c>
    </row>
    <row r="62" spans="1:32" s="1287" customFormat="1" ht="11.45" customHeight="1">
      <c r="A62" s="914"/>
      <c r="C62" s="664"/>
      <c r="D62" s="607"/>
      <c r="E62" s="480" t="str">
        <f>FHD_NUM_P_14</f>
        <v>2.6.1</v>
      </c>
      <c r="F62" s="1572" t="str">
        <f>FHD_P_14</f>
        <v>Расходы на оплату труда основного производственного персонала</v>
      </c>
      <c r="G62" s="1767" t="s">
        <v>595</v>
      </c>
      <c r="H62" s="491"/>
      <c r="I62" s="491">
        <f>508503.04+187207.54</f>
        <v>695710.58</v>
      </c>
      <c r="J62" s="224" t="str">
        <f>FHD_NOTE_P_14</f>
        <v/>
      </c>
      <c r="K62" s="1558" t="str">
        <f t="shared" si="1"/>
        <v/>
      </c>
      <c r="L62" s="664"/>
      <c r="M62" s="664"/>
      <c r="R62" s="664"/>
      <c r="U62" s="665"/>
      <c r="AA62" s="666"/>
      <c r="AB62" s="666"/>
      <c r="AC62" s="666"/>
      <c r="AD62" s="666"/>
      <c r="AE62" s="666"/>
      <c r="AF62" s="663">
        <v>11</v>
      </c>
    </row>
    <row r="63" spans="1:32" s="1287" customFormat="1" ht="21.75" customHeight="1">
      <c r="A63" s="914"/>
      <c r="C63" s="664"/>
      <c r="D63" s="607"/>
      <c r="E63" s="480" t="str">
        <f>FHD_NUM_P_15</f>
        <v>2.6.2</v>
      </c>
      <c r="F63" s="1572" t="str">
        <f>FHD_P_15</f>
        <v>Страховые взносы на обязательное социальное страхование, выплачиваемые из фонда оплаты труда основного производственного персонала</v>
      </c>
      <c r="G63" s="1767" t="s">
        <v>595</v>
      </c>
      <c r="H63" s="491"/>
      <c r="I63" s="491">
        <f>154176.01+56478.83</f>
        <v>210654.84000000003</v>
      </c>
      <c r="J63" s="224" t="str">
        <f>FHD_NOTE_P_15</f>
        <v/>
      </c>
      <c r="K63" s="1558" t="str">
        <f t="shared" si="1"/>
        <v/>
      </c>
      <c r="L63" s="664"/>
      <c r="M63" s="664"/>
      <c r="R63" s="664"/>
      <c r="U63" s="665"/>
      <c r="AA63" s="666"/>
      <c r="AB63" s="666"/>
      <c r="AC63" s="666"/>
      <c r="AD63" s="666"/>
      <c r="AE63" s="666"/>
      <c r="AF63" s="663">
        <v>11</v>
      </c>
    </row>
    <row r="64" spans="1:32" s="1288" customFormat="1" ht="49.5" customHeight="1">
      <c r="A64" s="913"/>
      <c r="C64" s="1558"/>
      <c r="D64" s="1560"/>
      <c r="E64" s="480" t="str">
        <f>FHD_NUM_P_16</f>
        <v>2.7</v>
      </c>
      <c r="F64" s="144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767" t="s">
        <v>595</v>
      </c>
      <c r="H64" s="491"/>
      <c r="I64" s="491">
        <f>I65+I66</f>
        <v>394851.35</v>
      </c>
      <c r="J64" s="224" t="str">
        <f>FHD_NOTE_P_16</f>
        <v/>
      </c>
      <c r="K64" s="1558" t="str">
        <f t="shared" si="1"/>
        <v>p</v>
      </c>
      <c r="L64" s="1558"/>
      <c r="M64" s="1564"/>
      <c r="N64" s="471"/>
      <c r="O64" s="471"/>
      <c r="R64" s="1558"/>
      <c r="U64" s="478"/>
      <c r="AA64" s="1554"/>
      <c r="AB64" s="1554"/>
      <c r="AC64" s="1554"/>
      <c r="AD64" s="1554"/>
      <c r="AE64" s="1554"/>
      <c r="AF64" s="1082">
        <v>11</v>
      </c>
    </row>
    <row r="65" spans="1:32" s="1288" customFormat="1" ht="11.45" customHeight="1">
      <c r="A65" s="913"/>
      <c r="C65" s="1558"/>
      <c r="D65" s="1560"/>
      <c r="E65" s="480" t="str">
        <f>FHD_NUM_P_17</f>
        <v>2.7.1</v>
      </c>
      <c r="F65" s="1572" t="str">
        <f>FHD_P_17</f>
        <v>Расходы на оплату труда административно-управленческого персонала</v>
      </c>
      <c r="G65" s="1767" t="s">
        <v>595</v>
      </c>
      <c r="H65" s="491"/>
      <c r="I65" s="491">
        <f>120401.34+184410.42</f>
        <v>304811.76</v>
      </c>
      <c r="J65" s="224" t="str">
        <f>FHD_NOTE_P_17</f>
        <v/>
      </c>
      <c r="K65" s="1558" t="str">
        <f t="shared" si="1"/>
        <v/>
      </c>
      <c r="L65" s="1558"/>
      <c r="M65" s="1564"/>
      <c r="N65" s="471"/>
      <c r="O65" s="471"/>
      <c r="R65" s="1558"/>
      <c r="U65" s="478"/>
      <c r="AA65" s="1554"/>
      <c r="AB65" s="1554"/>
      <c r="AC65" s="1554"/>
      <c r="AD65" s="1554"/>
      <c r="AE65" s="1554"/>
      <c r="AF65" s="1082">
        <v>11</v>
      </c>
    </row>
    <row r="66" spans="1:32" s="1288" customFormat="1" ht="11.45" customHeight="1">
      <c r="A66" s="913"/>
      <c r="C66" s="1558"/>
      <c r="D66" s="1560"/>
      <c r="E66" s="480" t="str">
        <f>FHD_NUM_P_18</f>
        <v>2.7.2</v>
      </c>
      <c r="F66" s="1572"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767" t="s">
        <v>595</v>
      </c>
      <c r="H66" s="491"/>
      <c r="I66" s="491">
        <f>300694.43-I63</f>
        <v>90039.589999999967</v>
      </c>
      <c r="J66" s="224" t="str">
        <f>FHD_NOTE_P_18</f>
        <v/>
      </c>
      <c r="K66" s="1558" t="str">
        <f t="shared" si="1"/>
        <v/>
      </c>
      <c r="L66" s="1558"/>
      <c r="M66" s="1564"/>
      <c r="N66" s="471"/>
      <c r="O66" s="471"/>
      <c r="R66" s="1558"/>
      <c r="U66" s="478"/>
      <c r="AA66" s="1554"/>
      <c r="AB66" s="1554"/>
      <c r="AC66" s="1554"/>
      <c r="AD66" s="1554"/>
      <c r="AE66" s="1554"/>
      <c r="AF66" s="1082">
        <v>11</v>
      </c>
    </row>
    <row r="67" spans="1:32" s="1288" customFormat="1" ht="35.25" customHeight="1">
      <c r="A67" s="913"/>
      <c r="C67" s="1558"/>
      <c r="D67" s="509"/>
      <c r="E67" s="480" t="str">
        <f>FHD_NUM_P_19</f>
        <v>2.8</v>
      </c>
      <c r="F67" s="1446" t="str">
        <f>FHD_P_19</f>
        <v>Расходы на амортизацию основных средств и нематериальных активов</v>
      </c>
      <c r="G67" s="1767" t="s">
        <v>595</v>
      </c>
      <c r="H67" s="491"/>
      <c r="I67" s="491">
        <v>162422.32999999999</v>
      </c>
      <c r="J67" s="224" t="str">
        <f>FHD_NOTE_P_19</f>
        <v/>
      </c>
      <c r="K67" s="1558" t="str">
        <f t="shared" si="1"/>
        <v>p</v>
      </c>
      <c r="L67" s="1558"/>
      <c r="M67" s="1558"/>
      <c r="R67" s="1558"/>
      <c r="U67" s="478"/>
      <c r="AA67" s="1554"/>
      <c r="AB67" s="1554"/>
      <c r="AC67" s="1554"/>
      <c r="AD67" s="1554"/>
      <c r="AE67" s="1554"/>
      <c r="AF67" s="1082">
        <v>11</v>
      </c>
    </row>
    <row r="68" spans="1:32" s="1288" customFormat="1" ht="11.45" customHeight="1">
      <c r="A68" s="913"/>
      <c r="C68" s="1558"/>
      <c r="D68" s="509"/>
      <c r="E68" s="480" t="str">
        <f>FHD_NUM_P_20</f>
        <v>2.8.1</v>
      </c>
      <c r="F68" s="1572" t="str">
        <f>FHD_P_20</f>
        <v>Расходы на амортизацию основных средств</v>
      </c>
      <c r="G68" s="1767" t="s">
        <v>595</v>
      </c>
      <c r="H68" s="491"/>
      <c r="I68" s="491">
        <f>I67</f>
        <v>162422.32999999999</v>
      </c>
      <c r="J68" s="224" t="str">
        <f>FHD_NOTE_P_20</f>
        <v/>
      </c>
      <c r="K68" s="1558" t="str">
        <f t="shared" si="1"/>
        <v/>
      </c>
      <c r="L68" s="1558"/>
      <c r="M68" s="1558"/>
      <c r="R68" s="1558"/>
      <c r="U68" s="478"/>
      <c r="AA68" s="1554"/>
      <c r="AB68" s="1554"/>
      <c r="AC68" s="1554"/>
      <c r="AD68" s="1554"/>
      <c r="AE68" s="1554"/>
      <c r="AF68" s="1082">
        <v>11</v>
      </c>
    </row>
    <row r="69" spans="1:32" s="1288" customFormat="1" ht="11.45" customHeight="1">
      <c r="A69" s="913"/>
      <c r="C69" s="1558"/>
      <c r="D69" s="509"/>
      <c r="E69" s="480" t="str">
        <f>FHD_NUM_P_21</f>
        <v>2.8.2</v>
      </c>
      <c r="F69" s="1572" t="str">
        <f>FHD_P_21</f>
        <v>Расходы на амортизацию нематериальных активов</v>
      </c>
      <c r="G69" s="1767" t="s">
        <v>595</v>
      </c>
      <c r="H69" s="491"/>
      <c r="I69" s="491">
        <v>0</v>
      </c>
      <c r="J69" s="224" t="str">
        <f>FHD_NOTE_P_21</f>
        <v/>
      </c>
      <c r="K69" s="1558" t="str">
        <f t="shared" si="1"/>
        <v/>
      </c>
      <c r="L69" s="1558"/>
      <c r="M69" s="1558"/>
      <c r="R69" s="1558"/>
      <c r="U69" s="478"/>
      <c r="AA69" s="1554"/>
      <c r="AB69" s="1554"/>
      <c r="AC69" s="1554"/>
      <c r="AD69" s="1554"/>
      <c r="AE69" s="1554"/>
      <c r="AF69" s="1082">
        <v>11</v>
      </c>
    </row>
    <row r="70" spans="1:32" s="1288" customFormat="1" ht="39" customHeight="1">
      <c r="A70" s="913"/>
      <c r="C70" s="1558"/>
      <c r="D70" s="1560"/>
      <c r="E70" s="480" t="str">
        <f>FHD_NUM_P_22</f>
        <v>2.9</v>
      </c>
      <c r="F70" s="1446" t="str">
        <f>FHD_P_22</f>
        <v>Расходы на аренду имущества, используемого для осуществления регулируемого вида деятельности</v>
      </c>
      <c r="G70" s="1767" t="s">
        <v>595</v>
      </c>
      <c r="H70" s="491"/>
      <c r="I70" s="491">
        <v>46579.41</v>
      </c>
      <c r="J70" s="224" t="str">
        <f>FHD_NOTE_P_22</f>
        <v/>
      </c>
      <c r="K70" s="1558" t="str">
        <f t="shared" si="1"/>
        <v>p</v>
      </c>
      <c r="L70" s="1558"/>
      <c r="M70" s="1558"/>
      <c r="R70" s="1558"/>
      <c r="U70" s="478"/>
      <c r="AA70" s="1554"/>
      <c r="AB70" s="1554"/>
      <c r="AC70" s="1554"/>
      <c r="AD70" s="1554"/>
      <c r="AE70" s="1554"/>
      <c r="AF70" s="1082">
        <v>11</v>
      </c>
    </row>
    <row r="71" spans="1:32" s="1288" customFormat="1" ht="11.45" customHeight="1">
      <c r="A71" s="913"/>
      <c r="C71" s="1558"/>
      <c r="D71" s="509"/>
      <c r="E71" s="480" t="str">
        <f>FHD_NUM_P_23</f>
        <v>2.10</v>
      </c>
      <c r="F71" s="1446" t="str">
        <f>FHD_P_23</f>
        <v>Общепроизводственные расходы, в том числе:</v>
      </c>
      <c r="G71" s="1767" t="s">
        <v>595</v>
      </c>
      <c r="H71" s="491"/>
      <c r="I71" s="491">
        <f>57072.57+7533.95</f>
        <v>64606.52</v>
      </c>
      <c r="J71" s="224" t="str">
        <f>FHD_NOTE_P_23</f>
        <v>Указывается общая сумма общепроизводственных расходов.</v>
      </c>
      <c r="K71" s="1558" t="str">
        <f t="shared" si="1"/>
        <v>p</v>
      </c>
      <c r="L71" s="1558"/>
      <c r="M71" s="1558"/>
      <c r="R71" s="1558"/>
      <c r="U71" s="478"/>
      <c r="AA71" s="1554"/>
      <c r="AB71" s="1554"/>
      <c r="AC71" s="1554"/>
      <c r="AD71" s="1554"/>
      <c r="AE71" s="1554"/>
      <c r="AF71" s="1082">
        <v>11</v>
      </c>
    </row>
    <row r="72" spans="1:32" s="1288" customFormat="1" ht="11.45" customHeight="1">
      <c r="A72" s="913"/>
      <c r="C72" s="1558"/>
      <c r="D72" s="509"/>
      <c r="E72" s="480" t="str">
        <f>FHD_NUM_P_24</f>
        <v>2.10.1</v>
      </c>
      <c r="F72" s="1572" t="str">
        <f>FHD_P_24</f>
        <v>Расходы на текущий ремонт</v>
      </c>
      <c r="G72" s="1767" t="s">
        <v>595</v>
      </c>
      <c r="H72" s="491"/>
      <c r="I72" s="491">
        <v>4040.79</v>
      </c>
      <c r="J72" s="224" t="str">
        <f>FHD_NOTE_P_24</f>
        <v>Указываются расходы на текущий ремонт, отнесенные к общепроизводственным расходам.</v>
      </c>
      <c r="K72" s="1558" t="str">
        <f t="shared" si="1"/>
        <v/>
      </c>
      <c r="L72" s="1558"/>
      <c r="M72" s="1558"/>
      <c r="R72" s="1558"/>
      <c r="U72" s="478"/>
      <c r="AA72" s="1554"/>
      <c r="AB72" s="1554"/>
      <c r="AC72" s="1554"/>
      <c r="AD72" s="1554"/>
      <c r="AE72" s="1554"/>
      <c r="AF72" s="1082">
        <v>11</v>
      </c>
    </row>
    <row r="73" spans="1:32" s="1288" customFormat="1" ht="11.45" customHeight="1">
      <c r="A73" s="913"/>
      <c r="C73" s="1558"/>
      <c r="D73" s="509"/>
      <c r="E73" s="480" t="str">
        <f>FHD_NUM_P_25</f>
        <v>2.10.2</v>
      </c>
      <c r="F73" s="1572" t="str">
        <f>FHD_P_25</f>
        <v>Расходы на капитальный ремонт</v>
      </c>
      <c r="G73" s="1767" t="s">
        <v>595</v>
      </c>
      <c r="H73" s="491"/>
      <c r="I73" s="491">
        <v>0</v>
      </c>
      <c r="J73" s="224" t="str">
        <f>FHD_NOTE_P_25</f>
        <v>Указываются расходы на капитальный ремонт, отнесенные к общепроизводственным расходам.</v>
      </c>
      <c r="K73" s="1558" t="str">
        <f t="shared" si="1"/>
        <v/>
      </c>
      <c r="L73" s="1558"/>
      <c r="M73" s="1558"/>
      <c r="R73" s="1558"/>
      <c r="U73" s="478"/>
      <c r="AA73" s="1554"/>
      <c r="AB73" s="1554"/>
      <c r="AC73" s="1554"/>
      <c r="AD73" s="1554"/>
      <c r="AE73" s="1554"/>
      <c r="AF73" s="1082">
        <v>11</v>
      </c>
    </row>
    <row r="74" spans="1:32" s="1288" customFormat="1" ht="11.45" customHeight="1">
      <c r="A74" s="913"/>
      <c r="C74" s="1558"/>
      <c r="D74" s="1560"/>
      <c r="E74" s="480" t="str">
        <f>FHD_NUM_P_26</f>
        <v>2.11</v>
      </c>
      <c r="F74" s="1446" t="str">
        <f>FHD_P_26</f>
        <v>Общехозяйственные расходы, в том числе:</v>
      </c>
      <c r="G74" s="1767" t="s">
        <v>595</v>
      </c>
      <c r="H74" s="491"/>
      <c r="I74" s="491">
        <f>29737.05+30635.19+36353.03</f>
        <v>96725.26999999999</v>
      </c>
      <c r="J74" s="224" t="str">
        <f>FHD_NOTE_P_26</f>
        <v>Указывается общая сумма общехозяйственных расходов.</v>
      </c>
      <c r="K74" s="1558" t="str">
        <f t="shared" si="1"/>
        <v>p</v>
      </c>
      <c r="L74" s="1558"/>
      <c r="M74" s="1558"/>
      <c r="R74" s="1558"/>
      <c r="U74" s="478"/>
      <c r="AA74" s="1554"/>
      <c r="AB74" s="1554"/>
      <c r="AC74" s="1554"/>
      <c r="AD74" s="1554"/>
      <c r="AE74" s="1554"/>
      <c r="AF74" s="1082">
        <v>11</v>
      </c>
    </row>
    <row r="75" spans="1:32" s="1288" customFormat="1" ht="11.45" customHeight="1">
      <c r="A75" s="913"/>
      <c r="C75" s="1558"/>
      <c r="D75" s="1560"/>
      <c r="E75" s="480" t="str">
        <f>FHD_NUM_P_27</f>
        <v>2.11.1</v>
      </c>
      <c r="F75" s="1572" t="str">
        <f>FHD_P_27</f>
        <v>Расходы на текущий ремонт</v>
      </c>
      <c r="G75" s="1767" t="s">
        <v>595</v>
      </c>
      <c r="H75" s="491"/>
      <c r="I75" s="491">
        <f>816.18+3998.57</f>
        <v>4814.75</v>
      </c>
      <c r="J75" s="224" t="str">
        <f>FHD_NOTE_P_27</f>
        <v>Указываются расходы на текущий ремонт, отнесенные к общехозяйственным расходам.</v>
      </c>
      <c r="K75" s="1558" t="str">
        <f t="shared" si="1"/>
        <v/>
      </c>
      <c r="L75" s="1558"/>
      <c r="M75" s="1558"/>
      <c r="R75" s="1558"/>
      <c r="U75" s="478"/>
      <c r="AA75" s="1554"/>
      <c r="AB75" s="1554"/>
      <c r="AC75" s="1554"/>
      <c r="AD75" s="1554"/>
      <c r="AE75" s="1554"/>
      <c r="AF75" s="1082">
        <v>11</v>
      </c>
    </row>
    <row r="76" spans="1:32" s="1288" customFormat="1" ht="11.45" customHeight="1">
      <c r="A76" s="913"/>
      <c r="C76" s="1558"/>
      <c r="D76" s="1560"/>
      <c r="E76" s="480" t="str">
        <f>FHD_NUM_P_28</f>
        <v>2.11.2</v>
      </c>
      <c r="F76" s="1572" t="str">
        <f>FHD_P_28</f>
        <v>Расходы на капитальный ремонт</v>
      </c>
      <c r="G76" s="1767" t="s">
        <v>595</v>
      </c>
      <c r="H76" s="491"/>
      <c r="I76" s="491">
        <v>0</v>
      </c>
      <c r="J76" s="224" t="str">
        <f>FHD_NOTE_P_28</f>
        <v>Указываются расходы на капитальный ремонт, отнесенные к общехозяйственным расходам.</v>
      </c>
      <c r="K76" s="1558" t="str">
        <f t="shared" si="1"/>
        <v/>
      </c>
      <c r="L76" s="1558"/>
      <c r="M76" s="1558"/>
      <c r="R76" s="1558"/>
      <c r="U76" s="478"/>
      <c r="AA76" s="1554"/>
      <c r="AB76" s="1554"/>
      <c r="AC76" s="1554"/>
      <c r="AD76" s="1554"/>
      <c r="AE76" s="1554"/>
      <c r="AF76" s="1082">
        <v>11</v>
      </c>
    </row>
    <row r="77" spans="1:32" s="1288" customFormat="1" ht="11.45" customHeight="1">
      <c r="A77" s="913"/>
      <c r="C77" s="1558"/>
      <c r="D77" s="1560"/>
      <c r="E77" s="480" t="str">
        <f>FHD_NUM_P_29</f>
        <v>2.12</v>
      </c>
      <c r="F77" s="1446" t="str">
        <f>FHD_P_29</f>
        <v>Расходы на капитальный и текущий ремонт основных средств</v>
      </c>
      <c r="G77" s="1767" t="s">
        <v>595</v>
      </c>
      <c r="H77" s="491"/>
      <c r="I77" s="491">
        <v>105181.18</v>
      </c>
      <c r="J77"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7" s="1558" t="str">
        <f t="shared" si="1"/>
        <v>p</v>
      </c>
      <c r="L77" s="1558"/>
      <c r="M77" s="1558"/>
      <c r="R77" s="1558"/>
      <c r="U77" s="478"/>
      <c r="AA77" s="1554"/>
      <c r="AB77" s="1554"/>
      <c r="AC77" s="1554"/>
      <c r="AD77" s="1554"/>
      <c r="AE77" s="1554"/>
      <c r="AF77" s="1082">
        <v>11</v>
      </c>
    </row>
    <row r="78" spans="1:32" s="1288" customFormat="1" ht="31.5" customHeight="1">
      <c r="A78" s="913"/>
      <c r="C78" s="1558"/>
      <c r="D78" s="1560"/>
      <c r="E78" s="480" t="str">
        <f>FHD_NUM_P_30</f>
        <v>2.12.1</v>
      </c>
      <c r="F78" s="157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67" t="s">
        <v>351</v>
      </c>
      <c r="H78" s="1571" t="s">
        <v>624</v>
      </c>
      <c r="I78" s="1571" t="s">
        <v>624</v>
      </c>
      <c r="J78" s="224" t="str">
        <f>FHD_NOTE_P_30</f>
        <v/>
      </c>
      <c r="K78" s="1558" t="str">
        <f t="shared" si="1"/>
        <v/>
      </c>
      <c r="L78" s="1558">
        <f>IFERROR(MATCH("есть",B_FHD_FLAG_INDEX_1,0),0)</f>
        <v>0</v>
      </c>
      <c r="M78" s="1558"/>
      <c r="R78" s="1558"/>
      <c r="U78" s="478"/>
      <c r="AA78" s="1554"/>
      <c r="AB78" s="1554"/>
      <c r="AC78" s="1554"/>
      <c r="AD78" s="1554"/>
      <c r="AE78" s="1554"/>
      <c r="AF78" s="1082">
        <v>11</v>
      </c>
    </row>
    <row r="79" spans="1:32" s="1288" customFormat="1" ht="23.25" hidden="1" customHeight="1">
      <c r="A79" s="3826" t="s">
        <v>625</v>
      </c>
      <c r="C79" s="1558"/>
      <c r="D79" s="1560"/>
      <c r="E79" s="480" t="str">
        <f>FHD_NUM_P_31</f>
        <v/>
      </c>
      <c r="F79" s="1446" t="str">
        <f>FHD_P_31</f>
        <v/>
      </c>
      <c r="G79" s="1767" t="s">
        <v>595</v>
      </c>
      <c r="H79" s="491"/>
      <c r="I79" s="491"/>
      <c r="J79" s="224" t="str">
        <f>FHD_NOTE_P_31</f>
        <v/>
      </c>
      <c r="K79" s="1558" t="str">
        <f t="shared" si="1"/>
        <v/>
      </c>
      <c r="L79" s="1558"/>
      <c r="M79" s="1558"/>
      <c r="R79" s="1558"/>
      <c r="U79" s="478"/>
      <c r="AA79" s="1554"/>
      <c r="AB79" s="1554"/>
      <c r="AC79" s="1554"/>
      <c r="AD79" s="1554"/>
      <c r="AE79" s="1554"/>
      <c r="AF79" s="1082">
        <v>22</v>
      </c>
    </row>
    <row r="80" spans="1:32" s="1288" customFormat="1" ht="47.25" hidden="1" customHeight="1">
      <c r="A80" s="3826"/>
      <c r="C80" s="1558"/>
      <c r="D80" s="1560"/>
      <c r="E80" s="480" t="str">
        <f>FHD_NUM_P_32</f>
        <v/>
      </c>
      <c r="F80" s="1572" t="str">
        <f>FHD_P_32</f>
        <v/>
      </c>
      <c r="G80" s="1767" t="s">
        <v>351</v>
      </c>
      <c r="H80" s="1571" t="s">
        <v>624</v>
      </c>
      <c r="I80" s="1571" t="s">
        <v>624</v>
      </c>
      <c r="J80" s="224" t="str">
        <f>FHD_NOTE_P_32</f>
        <v/>
      </c>
      <c r="K80" s="1558" t="str">
        <f t="shared" si="1"/>
        <v/>
      </c>
      <c r="L80" s="1558">
        <f>IFERROR(MATCH("есть",B_FHD_FLAG_INDEX_2,0),0)</f>
        <v>0</v>
      </c>
      <c r="M80" s="1558"/>
      <c r="R80" s="1558"/>
      <c r="U80" s="478"/>
      <c r="AA80" s="1554"/>
      <c r="AB80" s="1554"/>
      <c r="AC80" s="1554"/>
      <c r="AD80" s="1554"/>
      <c r="AE80" s="1554"/>
      <c r="AF80" s="1082">
        <v>45</v>
      </c>
    </row>
    <row r="81" spans="1:32" s="1288" customFormat="1" ht="11.45" customHeight="1">
      <c r="A81" s="913"/>
      <c r="C81" s="1558"/>
      <c r="D81" s="1560"/>
      <c r="E81" s="480" t="str">
        <f>FHD_NUM_P_33</f>
        <v>2.13</v>
      </c>
      <c r="F81" s="1446"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68" t="s">
        <v>595</v>
      </c>
      <c r="H81" s="513">
        <f>SUM(H82:H88)</f>
        <v>0</v>
      </c>
      <c r="I81" s="513">
        <f>SUM(I82:I88)</f>
        <v>269772.04000000004</v>
      </c>
      <c r="J81"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81" s="1558" t="str">
        <f t="shared" si="1"/>
        <v>p</v>
      </c>
      <c r="L81" s="1558"/>
      <c r="M81" s="1558"/>
      <c r="R81" s="1558"/>
      <c r="U81" s="478"/>
      <c r="AA81" s="1554"/>
      <c r="AB81" s="1554"/>
      <c r="AC81" s="1554"/>
      <c r="AD81" s="1554"/>
      <c r="AE81" s="1554"/>
      <c r="AF81" s="1082">
        <v>11</v>
      </c>
    </row>
    <row r="82" spans="1:32" s="1564" customFormat="1" ht="1.1499999999999999" customHeight="1">
      <c r="A82" s="1089"/>
      <c r="D82" s="482"/>
      <c r="E82" s="939" t="str">
        <f>E81&amp;".0"</f>
        <v>2.13.0</v>
      </c>
      <c r="F82" s="917"/>
      <c r="G82" s="939"/>
      <c r="H82" s="918"/>
      <c r="I82" s="918"/>
      <c r="J82" s="919"/>
      <c r="K82" s="1558" t="str">
        <f t="shared" si="1"/>
        <v/>
      </c>
      <c r="AF82" s="1558">
        <v>1</v>
      </c>
    </row>
    <row r="83" spans="1:32" s="1554" customFormat="1" ht="22.5" customHeight="1">
      <c r="A83" s="913"/>
      <c r="B83" s="1288"/>
      <c r="C83" s="1564"/>
      <c r="D83" s="617" t="s">
        <v>90</v>
      </c>
      <c r="E83" s="1989" t="str">
        <f>E81&amp;".1"</f>
        <v>2.13.1</v>
      </c>
      <c r="F83" s="474" t="s">
        <v>626</v>
      </c>
      <c r="G83" s="1989" t="s">
        <v>595</v>
      </c>
      <c r="H83" s="685"/>
      <c r="I83" s="685">
        <v>4293.82</v>
      </c>
      <c r="J83" s="476" t="s">
        <v>598</v>
      </c>
      <c r="K83" s="668"/>
      <c r="L83" s="1564"/>
      <c r="M83" s="1564"/>
      <c r="N83" s="1288"/>
      <c r="O83" s="1288"/>
      <c r="P83" s="1288"/>
      <c r="Q83" s="1288"/>
      <c r="R83" s="1564"/>
      <c r="S83" s="1288"/>
      <c r="T83" s="1288"/>
      <c r="U83" s="670"/>
      <c r="V83" s="1288"/>
      <c r="W83" s="1288"/>
      <c r="X83" s="1288"/>
      <c r="Y83" s="1288"/>
      <c r="Z83" s="1288"/>
      <c r="AF83" s="1288">
        <v>0</v>
      </c>
    </row>
    <row r="84" spans="1:32" s="1554" customFormat="1" ht="22.5" customHeight="1">
      <c r="A84" s="913"/>
      <c r="B84" s="1288"/>
      <c r="C84" s="1564"/>
      <c r="D84" s="617" t="s">
        <v>90</v>
      </c>
      <c r="E84" s="1989" t="str">
        <f>E81&amp;".2"</f>
        <v>2.13.2</v>
      </c>
      <c r="F84" s="474" t="s">
        <v>627</v>
      </c>
      <c r="G84" s="1989" t="s">
        <v>595</v>
      </c>
      <c r="H84" s="685"/>
      <c r="I84" s="685">
        <v>109146.36</v>
      </c>
      <c r="J84" s="476" t="s">
        <v>598</v>
      </c>
      <c r="K84" s="668"/>
      <c r="L84" s="1564"/>
      <c r="M84" s="1564"/>
      <c r="N84" s="1288"/>
      <c r="O84" s="1288"/>
      <c r="P84" s="1288"/>
      <c r="Q84" s="1288"/>
      <c r="R84" s="1564"/>
      <c r="S84" s="1288"/>
      <c r="T84" s="1288"/>
      <c r="U84" s="670"/>
      <c r="V84" s="1288"/>
      <c r="W84" s="1288"/>
      <c r="X84" s="1288"/>
      <c r="Y84" s="1288"/>
      <c r="Z84" s="1288"/>
      <c r="AF84" s="1288">
        <v>0</v>
      </c>
    </row>
    <row r="85" spans="1:32" s="1554" customFormat="1" ht="22.5" customHeight="1">
      <c r="A85" s="913"/>
      <c r="B85" s="1288"/>
      <c r="C85" s="1564"/>
      <c r="D85" s="617" t="s">
        <v>90</v>
      </c>
      <c r="E85" s="1989" t="str">
        <f>E81&amp;".3"</f>
        <v>2.13.3</v>
      </c>
      <c r="F85" s="474" t="s">
        <v>628</v>
      </c>
      <c r="G85" s="1989" t="s">
        <v>595</v>
      </c>
      <c r="H85" s="685"/>
      <c r="I85" s="685">
        <f>478.96+12790.65</f>
        <v>13269.609999999999</v>
      </c>
      <c r="J85" s="476" t="s">
        <v>598</v>
      </c>
      <c r="K85" s="668"/>
      <c r="L85" s="1564"/>
      <c r="M85" s="1564"/>
      <c r="N85" s="1288"/>
      <c r="O85" s="1288"/>
      <c r="P85" s="1288"/>
      <c r="Q85" s="1288"/>
      <c r="R85" s="1564"/>
      <c r="S85" s="1288"/>
      <c r="T85" s="1288"/>
      <c r="U85" s="670"/>
      <c r="V85" s="1288"/>
      <c r="W85" s="1288"/>
      <c r="X85" s="1288"/>
      <c r="Y85" s="1288"/>
      <c r="Z85" s="1288"/>
      <c r="AF85" s="1288">
        <v>0</v>
      </c>
    </row>
    <row r="86" spans="1:32" s="1554" customFormat="1" ht="22.5" customHeight="1">
      <c r="A86" s="913"/>
      <c r="B86" s="1288"/>
      <c r="C86" s="1564"/>
      <c r="D86" s="617" t="s">
        <v>90</v>
      </c>
      <c r="E86" s="1989" t="str">
        <f>E81&amp;".4"</f>
        <v>2.13.4</v>
      </c>
      <c r="F86" s="474" t="s">
        <v>629</v>
      </c>
      <c r="G86" s="1989" t="s">
        <v>595</v>
      </c>
      <c r="H86" s="685"/>
      <c r="I86" s="685">
        <v>81986.28</v>
      </c>
      <c r="J86" s="476" t="s">
        <v>598</v>
      </c>
      <c r="K86" s="668"/>
      <c r="L86" s="1564"/>
      <c r="M86" s="1564"/>
      <c r="N86" s="1288"/>
      <c r="O86" s="1288"/>
      <c r="P86" s="1288"/>
      <c r="Q86" s="1288"/>
      <c r="R86" s="1564"/>
      <c r="S86" s="1288"/>
      <c r="T86" s="1288"/>
      <c r="U86" s="670"/>
      <c r="V86" s="1288"/>
      <c r="W86" s="1288"/>
      <c r="X86" s="1288"/>
      <c r="Y86" s="1288"/>
      <c r="Z86" s="1288"/>
      <c r="AF86" s="1288">
        <v>0</v>
      </c>
    </row>
    <row r="87" spans="1:32" s="1554" customFormat="1" ht="22.5" customHeight="1">
      <c r="A87" s="913"/>
      <c r="B87" s="1288"/>
      <c r="C87" s="1564"/>
      <c r="D87" s="617" t="s">
        <v>90</v>
      </c>
      <c r="E87" s="1989" t="str">
        <f>E81&amp;".5"</f>
        <v>2.13.5</v>
      </c>
      <c r="F87" s="474" t="s">
        <v>630</v>
      </c>
      <c r="G87" s="1989" t="s">
        <v>595</v>
      </c>
      <c r="H87" s="685"/>
      <c r="I87" s="685">
        <f>3971.78+44230.12+3230.23+9643.84</f>
        <v>61075.97</v>
      </c>
      <c r="J87" s="476" t="s">
        <v>598</v>
      </c>
      <c r="K87" s="668"/>
      <c r="L87" s="1564"/>
      <c r="M87" s="1564"/>
      <c r="N87" s="1288"/>
      <c r="O87" s="1288"/>
      <c r="P87" s="1288"/>
      <c r="Q87" s="1288"/>
      <c r="R87" s="1564"/>
      <c r="S87" s="1288"/>
      <c r="T87" s="1288"/>
      <c r="U87" s="670"/>
      <c r="V87" s="1288"/>
      <c r="W87" s="1288"/>
      <c r="X87" s="1288"/>
      <c r="Y87" s="1288"/>
      <c r="Z87" s="1288"/>
      <c r="AF87" s="1288">
        <v>0</v>
      </c>
    </row>
    <row r="88" spans="1:32" s="1288" customFormat="1" ht="14.65" customHeight="1">
      <c r="A88" s="913"/>
      <c r="C88" s="1558"/>
      <c r="D88" s="1555"/>
      <c r="E88" s="504"/>
      <c r="F88" s="505" t="s">
        <v>631</v>
      </c>
      <c r="G88" s="506"/>
      <c r="H88" s="507"/>
      <c r="I88" s="507"/>
      <c r="J88" s="236"/>
      <c r="K88" s="1558"/>
      <c r="L88" s="1558"/>
      <c r="M88" s="1558"/>
      <c r="R88" s="1558"/>
      <c r="U88" s="478"/>
      <c r="AA88" s="1554"/>
      <c r="AB88" s="1554"/>
      <c r="AC88" s="1554"/>
      <c r="AD88" s="1554"/>
      <c r="AE88" s="1554"/>
      <c r="AF88" s="1082">
        <v>14</v>
      </c>
    </row>
    <row r="89" spans="1:32" s="1288" customFormat="1" ht="18.75" customHeight="1">
      <c r="A89" s="915" t="s">
        <v>632</v>
      </c>
      <c r="C89" s="1558"/>
      <c r="D89" s="1560"/>
      <c r="E89" s="480" t="str">
        <f>FHD_NUM_P_34</f>
        <v>3</v>
      </c>
      <c r="F89" s="1769" t="str">
        <f>FHD_P_34</f>
        <v>Валовая прибыль (убытки) от реализации товаров и оказания услуг по регулируемому виду деятельности</v>
      </c>
      <c r="G89" s="1767" t="s">
        <v>595</v>
      </c>
      <c r="H89" s="491"/>
      <c r="I89" s="491">
        <f>I30-I31</f>
        <v>96994.719999999739</v>
      </c>
      <c r="J89" s="224" t="str">
        <f>FHD_NOTE_P_34</f>
        <v/>
      </c>
      <c r="K89" s="477"/>
      <c r="L89" s="1558"/>
      <c r="M89" s="1558"/>
      <c r="R89" s="1558"/>
      <c r="U89" s="478"/>
      <c r="AA89" s="1554"/>
      <c r="AB89" s="1554"/>
      <c r="AC89" s="1554"/>
      <c r="AD89" s="1554"/>
      <c r="AE89" s="1554"/>
      <c r="AF89" s="1082">
        <v>0</v>
      </c>
    </row>
    <row r="90" spans="1:32" s="1288" customFormat="1" ht="20.25" customHeight="1">
      <c r="A90" s="913"/>
      <c r="C90" s="1558"/>
      <c r="D90" s="509"/>
      <c r="E90" s="480" t="str">
        <f>FHD_NUM_P_35</f>
        <v>4</v>
      </c>
      <c r="F90" s="1769" t="str">
        <f>FHD_P_35</f>
        <v>Чистая прибыль, полученная от регулируемого вида деятельности, в том числе:</v>
      </c>
      <c r="G90" s="1767" t="s">
        <v>595</v>
      </c>
      <c r="H90" s="491"/>
      <c r="I90" s="491">
        <v>134185.24</v>
      </c>
      <c r="J90" s="224" t="str">
        <f>FHD_NOTE_P_35</f>
        <v>Указывается общая сумма чистой прибыли, полученной от регулируемого вида деятельности.</v>
      </c>
      <c r="K90" s="477"/>
      <c r="L90" s="1558"/>
      <c r="M90" s="1558"/>
      <c r="R90" s="1558"/>
      <c r="U90" s="478"/>
      <c r="AA90" s="1554"/>
      <c r="AB90" s="1554"/>
      <c r="AC90" s="1554"/>
      <c r="AD90" s="1554"/>
      <c r="AE90" s="1554"/>
      <c r="AF90" s="1082">
        <v>19</v>
      </c>
    </row>
    <row r="91" spans="1:32" s="1288" customFormat="1" ht="41.25" customHeight="1">
      <c r="A91" s="913"/>
      <c r="C91" s="1558"/>
      <c r="D91" s="1560"/>
      <c r="E91" s="480" t="str">
        <f>FHD_NUM_P_36</f>
        <v>4.1</v>
      </c>
      <c r="F91" s="1446" t="str">
        <f>FHD_P_36</f>
        <v>Размер расходования чистой прибыли на финансирование мероприятий, предусмотренных инвестиционной программой регулируемой организации</v>
      </c>
      <c r="G91" s="1767" t="s">
        <v>595</v>
      </c>
      <c r="H91" s="491"/>
      <c r="I91" s="491">
        <v>36941</v>
      </c>
      <c r="J91" s="224" t="str">
        <f>FHD_NOTE_P_36</f>
        <v/>
      </c>
      <c r="K91" s="477"/>
      <c r="L91" s="1558"/>
      <c r="M91" s="1558"/>
      <c r="R91" s="1558"/>
      <c r="U91" s="478"/>
      <c r="AA91" s="1554"/>
      <c r="AB91" s="1554"/>
      <c r="AC91" s="1554"/>
      <c r="AD91" s="1554"/>
      <c r="AE91" s="1554"/>
      <c r="AF91" s="1082">
        <v>19</v>
      </c>
    </row>
    <row r="92" spans="1:32" s="1288" customFormat="1" ht="20.25" customHeight="1">
      <c r="A92" s="913"/>
      <c r="C92" s="1558"/>
      <c r="D92" s="1560"/>
      <c r="E92" s="480" t="str">
        <f>FHD_NUM_P_37</f>
        <v>5</v>
      </c>
      <c r="F92" s="1769" t="str">
        <f>FHD_P_37</f>
        <v>Изменение стоимости основных фондов, в том числе:</v>
      </c>
      <c r="G92" s="1767" t="s">
        <v>595</v>
      </c>
      <c r="H92" s="491"/>
      <c r="I92" s="491">
        <f>I94-I95</f>
        <v>-2080.7392199999995</v>
      </c>
      <c r="J92" s="224" t="str">
        <f>FHD_NOTE_P_37</f>
        <v>Указывается общее изменение стоимости основных фондов.</v>
      </c>
      <c r="K92" s="477"/>
      <c r="L92" s="1558"/>
      <c r="M92" s="1558"/>
      <c r="R92" s="1558"/>
      <c r="U92" s="478"/>
      <c r="AA92" s="1554"/>
      <c r="AB92" s="1554"/>
      <c r="AC92" s="1554"/>
      <c r="AD92" s="1554"/>
      <c r="AE92" s="1554"/>
      <c r="AF92" s="1082">
        <v>19</v>
      </c>
    </row>
    <row r="93" spans="1:32" s="1288" customFormat="1" ht="19.899999999999999" customHeight="1">
      <c r="A93" s="913"/>
      <c r="C93" s="1558"/>
      <c r="D93" s="1560"/>
      <c r="E93" s="480" t="str">
        <f>FHD_NUM_P_38</f>
        <v>5.1</v>
      </c>
      <c r="F93" s="1446" t="str">
        <f>FHD_P_38</f>
        <v>Изменение стоимости основных фондов за счет:</v>
      </c>
      <c r="G93" s="1767" t="s">
        <v>595</v>
      </c>
      <c r="H93" s="491"/>
      <c r="I93" s="491">
        <v>0</v>
      </c>
      <c r="J93" s="224" t="str">
        <f>FHD_NOTE_P_38</f>
        <v>Указываются общее изменение стоимости основных фондов за счет их ввода в эксплуатацию и вывода из эксплуатации.</v>
      </c>
      <c r="K93" s="477"/>
      <c r="L93" s="1558"/>
      <c r="M93" s="1558"/>
      <c r="R93" s="1558"/>
      <c r="U93" s="478"/>
      <c r="AA93" s="1554"/>
      <c r="AB93" s="1554"/>
      <c r="AC93" s="1554"/>
      <c r="AD93" s="1554"/>
      <c r="AE93" s="1554"/>
      <c r="AF93" s="1082">
        <v>19</v>
      </c>
    </row>
    <row r="94" spans="1:32" s="1288" customFormat="1" ht="20.25" customHeight="1">
      <c r="A94" s="913"/>
      <c r="C94" s="1558"/>
      <c r="D94" s="1560"/>
      <c r="E94" s="480" t="str">
        <f>FHD_NUM_P_39</f>
        <v>5.1.1</v>
      </c>
      <c r="F94" s="1572" t="str">
        <f>FHD_P_39</f>
        <v>Изменения стоимости основных фондов за счет их ввода в эксплуатацию</v>
      </c>
      <c r="G94" s="1958" t="s">
        <v>595</v>
      </c>
      <c r="H94" s="491"/>
      <c r="I94" s="491">
        <f>28639.05947+614.091</f>
        <v>29253.15047</v>
      </c>
      <c r="J94" s="224" t="str">
        <f>FHD_NOTE_P_39</f>
        <v>Указываются изменение стоимости основных фондов за счет их ввода в эксплуатацию.</v>
      </c>
      <c r="K94" s="477"/>
      <c r="L94" s="1558"/>
      <c r="M94" s="1558"/>
      <c r="R94" s="1558"/>
      <c r="U94" s="478"/>
      <c r="AA94" s="1554"/>
      <c r="AB94" s="1554"/>
      <c r="AC94" s="1554"/>
      <c r="AD94" s="1554"/>
      <c r="AE94" s="1554"/>
      <c r="AF94" s="1082">
        <v>19</v>
      </c>
    </row>
    <row r="95" spans="1:32" s="1288" customFormat="1" ht="20.25" customHeight="1">
      <c r="A95" s="913"/>
      <c r="C95" s="1558"/>
      <c r="D95" s="1560"/>
      <c r="E95" s="480" t="str">
        <f>FHD_NUM_P_40</f>
        <v>5.1.2</v>
      </c>
      <c r="F95" s="1962" t="str">
        <f>FHD_P_40</f>
        <v>Изменения стоимости основных фондов за счет их вывода в эксплуатацию</v>
      </c>
      <c r="G95" s="1957" t="s">
        <v>595</v>
      </c>
      <c r="H95" s="902"/>
      <c r="I95" s="491">
        <f>19347+4019.20334+870.92013+7096.76622</f>
        <v>31333.88969</v>
      </c>
      <c r="J95" s="224" t="str">
        <f>FHD_NOTE_P_40</f>
        <v>Указываются изменение стоимости основных фондов за счет их вывода из эксплуатации.</v>
      </c>
      <c r="K95" s="477"/>
      <c r="L95" s="1558"/>
      <c r="M95" s="1558"/>
      <c r="R95" s="1558"/>
      <c r="U95" s="478"/>
      <c r="AA95" s="1554"/>
      <c r="AB95" s="1554"/>
      <c r="AC95" s="1554"/>
      <c r="AD95" s="1554"/>
      <c r="AE95" s="1554"/>
      <c r="AF95" s="1082">
        <v>19</v>
      </c>
    </row>
    <row r="96" spans="1:32" s="1288" customFormat="1" ht="19.899999999999999" customHeight="1">
      <c r="A96" s="913"/>
      <c r="C96" s="1558"/>
      <c r="D96" s="1560"/>
      <c r="E96" s="480" t="str">
        <f>FHD_NUM_P_41</f>
        <v>5.2</v>
      </c>
      <c r="F96" s="1961" t="str">
        <f>FHD_P_41</f>
        <v>Изменение стоимости основных фондов за счет их переоценки</v>
      </c>
      <c r="G96" s="1957" t="s">
        <v>595</v>
      </c>
      <c r="H96" s="902"/>
      <c r="I96" s="491">
        <v>0</v>
      </c>
      <c r="J96" s="224" t="str">
        <f>FHD_NOTE_P_41</f>
        <v/>
      </c>
      <c r="K96" s="477"/>
      <c r="L96" s="1558"/>
      <c r="M96" s="1558"/>
      <c r="R96" s="1558"/>
      <c r="U96" s="478"/>
      <c r="AA96" s="1554"/>
      <c r="AB96" s="1554"/>
      <c r="AC96" s="1554"/>
      <c r="AD96" s="1554"/>
      <c r="AE96" s="1554"/>
      <c r="AF96" s="1082">
        <v>19</v>
      </c>
    </row>
    <row r="97" spans="1:32" s="1288" customFormat="1" ht="20.25" hidden="1" customHeight="1">
      <c r="A97" s="915" t="s">
        <v>633</v>
      </c>
      <c r="C97" s="1558"/>
      <c r="D97" s="1560"/>
      <c r="E97" s="480" t="str">
        <f>FHD_NUM_P_42</f>
        <v/>
      </c>
      <c r="F97" s="1959" t="str">
        <f>FHD_P_42</f>
        <v/>
      </c>
      <c r="G97" s="1957" t="s">
        <v>595</v>
      </c>
      <c r="H97" s="902"/>
      <c r="I97" s="491"/>
      <c r="J97" s="224" t="str">
        <f>FHD_NOTE_P_42</f>
        <v/>
      </c>
      <c r="K97" s="477"/>
      <c r="L97" s="1558"/>
      <c r="M97" s="1558"/>
      <c r="R97" s="1558"/>
      <c r="U97" s="478"/>
      <c r="AA97" s="1554"/>
      <c r="AB97" s="1554"/>
      <c r="AC97" s="1554"/>
      <c r="AD97" s="1554"/>
      <c r="AE97" s="1554"/>
      <c r="AF97" s="1082">
        <v>19</v>
      </c>
    </row>
    <row r="98" spans="1:32" s="1288" customFormat="1" ht="47.25" customHeight="1">
      <c r="A98" s="913"/>
      <c r="C98" s="1558" t="s">
        <v>634</v>
      </c>
      <c r="D98" s="1560"/>
      <c r="E98" s="480" t="str">
        <f>FHD_NUM_P_43</f>
        <v>6</v>
      </c>
      <c r="F98" s="1769" t="str">
        <f>FHD_P_43</f>
        <v>Годовая бухгалтерская (финансовая) отчетность, включая бухгалтерский баланс и приложения к нему</v>
      </c>
      <c r="G98" s="1960" t="s">
        <v>351</v>
      </c>
      <c r="H98" s="981"/>
      <c r="I98" s="2016" t="s">
        <v>635</v>
      </c>
      <c r="J98"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8" s="477"/>
      <c r="L98" s="1558"/>
      <c r="M98" s="1558"/>
      <c r="R98" s="1558"/>
      <c r="U98" s="478"/>
      <c r="AA98" s="1554"/>
      <c r="AB98" s="1554"/>
      <c r="AC98" s="1554"/>
      <c r="AD98" s="1554"/>
      <c r="AE98" s="1554"/>
      <c r="AF98" s="1082">
        <v>19</v>
      </c>
    </row>
    <row r="99" spans="1:32" s="1288" customFormat="1" ht="18.75" hidden="1" customHeight="1">
      <c r="A99" s="3826" t="s">
        <v>636</v>
      </c>
      <c r="C99" s="669"/>
      <c r="D99" s="667"/>
      <c r="E99" s="480" t="str">
        <f>FHD_NUM_P_44</f>
        <v/>
      </c>
      <c r="F99" s="1769" t="str">
        <f>FHD_P_44</f>
        <v/>
      </c>
      <c r="G99" s="1770" t="s">
        <v>637</v>
      </c>
      <c r="H99" s="903"/>
      <c r="I99" s="511"/>
      <c r="J99" s="224" t="str">
        <f>FHD_NOTE_P_44</f>
        <v/>
      </c>
      <c r="K99" s="668"/>
      <c r="L99" s="669"/>
      <c r="M99" s="669"/>
      <c r="R99" s="669"/>
      <c r="U99" s="670"/>
      <c r="AA99" s="671"/>
      <c r="AB99" s="671"/>
      <c r="AC99" s="671"/>
      <c r="AD99" s="671"/>
      <c r="AE99" s="671"/>
      <c r="AF99" s="837">
        <v>0</v>
      </c>
    </row>
    <row r="100" spans="1:32" s="1288" customFormat="1" ht="18.75" hidden="1" customHeight="1">
      <c r="A100" s="3826"/>
      <c r="C100" s="669"/>
      <c r="D100" s="667"/>
      <c r="E100" s="480" t="str">
        <f>FHD_NUM_P_45</f>
        <v/>
      </c>
      <c r="F100" s="1769" t="str">
        <f>FHD_P_45</f>
        <v/>
      </c>
      <c r="G100" s="1770" t="s">
        <v>637</v>
      </c>
      <c r="H100" s="903"/>
      <c r="I100" s="511"/>
      <c r="J100" s="224" t="str">
        <f>FHD_NOTE_P_45</f>
        <v/>
      </c>
      <c r="K100" s="668"/>
      <c r="L100" s="669"/>
      <c r="M100" s="669"/>
      <c r="R100" s="669"/>
      <c r="U100" s="670"/>
      <c r="AA100" s="671"/>
      <c r="AB100" s="671"/>
      <c r="AC100" s="671"/>
      <c r="AD100" s="671"/>
      <c r="AE100" s="671"/>
      <c r="AF100" s="837">
        <v>0</v>
      </c>
    </row>
    <row r="101" spans="1:32" s="1288" customFormat="1" ht="18.75" hidden="1" customHeight="1">
      <c r="A101" s="3826"/>
      <c r="C101" s="669"/>
      <c r="D101" s="672"/>
      <c r="E101" s="480" t="str">
        <f>FHD_NUM_P_46</f>
        <v/>
      </c>
      <c r="F101" s="1769" t="str">
        <f>FHD_P_46</f>
        <v/>
      </c>
      <c r="G101" s="1770" t="s">
        <v>637</v>
      </c>
      <c r="H101" s="903"/>
      <c r="I101" s="511"/>
      <c r="J101" s="224" t="str">
        <f>FHD_NOTE_P_46</f>
        <v/>
      </c>
      <c r="K101" s="668"/>
      <c r="L101" s="669"/>
      <c r="M101" s="669"/>
      <c r="R101" s="669"/>
      <c r="U101" s="670"/>
      <c r="AA101" s="671"/>
      <c r="AB101" s="671"/>
      <c r="AC101" s="671"/>
      <c r="AD101" s="671"/>
      <c r="AE101" s="671"/>
      <c r="AF101" s="837">
        <v>0</v>
      </c>
    </row>
    <row r="102" spans="1:32" s="1288" customFormat="1" ht="18.75" hidden="1" customHeight="1">
      <c r="A102" s="3826"/>
      <c r="C102" s="669"/>
      <c r="D102" s="667"/>
      <c r="E102" s="480" t="str">
        <f>FHD_NUM_P_47</f>
        <v/>
      </c>
      <c r="F102" s="1769" t="str">
        <f>FHD_P_47</f>
        <v/>
      </c>
      <c r="G102" s="1770" t="s">
        <v>637</v>
      </c>
      <c r="H102" s="903"/>
      <c r="I102" s="511"/>
      <c r="J102" s="224" t="str">
        <f>FHD_NOTE_P_47</f>
        <v/>
      </c>
      <c r="K102" s="668"/>
      <c r="L102" s="669"/>
      <c r="M102" s="669"/>
      <c r="R102" s="669"/>
      <c r="U102" s="670"/>
      <c r="AA102" s="671"/>
      <c r="AB102" s="671"/>
      <c r="AC102" s="671"/>
      <c r="AD102" s="671"/>
      <c r="AE102" s="671"/>
      <c r="AF102" s="837">
        <v>0</v>
      </c>
    </row>
    <row r="103" spans="1:32" s="1557" customFormat="1" ht="18.75" hidden="1" customHeight="1">
      <c r="A103" s="3826"/>
      <c r="B103" s="837"/>
      <c r="C103" s="669"/>
      <c r="D103" s="667"/>
      <c r="E103" s="480" t="str">
        <f>FHD_NUM_P_48</f>
        <v/>
      </c>
      <c r="F103" s="1769" t="str">
        <f>FHD_P_48</f>
        <v/>
      </c>
      <c r="G103" s="1770" t="s">
        <v>637</v>
      </c>
      <c r="H103" s="903"/>
      <c r="I103" s="511"/>
      <c r="J103" s="224" t="str">
        <f>FHD_NOTE_P_48</f>
        <v/>
      </c>
      <c r="K103" s="668"/>
      <c r="L103" s="669"/>
      <c r="M103" s="669"/>
      <c r="N103" s="837"/>
      <c r="O103" s="837"/>
      <c r="P103" s="837"/>
      <c r="Q103" s="837"/>
      <c r="R103" s="669"/>
      <c r="S103" s="837"/>
      <c r="T103" s="837"/>
      <c r="U103" s="670"/>
      <c r="V103" s="837"/>
      <c r="W103" s="837"/>
      <c r="X103" s="837"/>
      <c r="Y103" s="837"/>
      <c r="Z103" s="837"/>
      <c r="AA103" s="671"/>
      <c r="AB103" s="671"/>
      <c r="AC103" s="671"/>
      <c r="AD103" s="671"/>
      <c r="AE103" s="671"/>
      <c r="AF103" s="673">
        <v>0</v>
      </c>
    </row>
    <row r="104" spans="1:32" s="1557" customFormat="1" ht="18.75" hidden="1" customHeight="1">
      <c r="A104" s="3826"/>
      <c r="B104" s="837"/>
      <c r="C104" s="669"/>
      <c r="D104" s="667"/>
      <c r="E104" s="480" t="str">
        <f>FHD_NUM_P_49</f>
        <v/>
      </c>
      <c r="F104" s="1769" t="str">
        <f>FHD_P_49</f>
        <v/>
      </c>
      <c r="G104" s="1770" t="s">
        <v>637</v>
      </c>
      <c r="H104" s="904">
        <f>SUM(H105:H106)</f>
        <v>0</v>
      </c>
      <c r="I104" s="683">
        <f>SUM(I105:I106)</f>
        <v>0</v>
      </c>
      <c r="J104" s="224" t="str">
        <f>FHD_NOTE_P_49</f>
        <v/>
      </c>
      <c r="K104" s="668"/>
      <c r="L104" s="669"/>
      <c r="M104" s="669"/>
      <c r="N104" s="837"/>
      <c r="O104" s="837"/>
      <c r="P104" s="837"/>
      <c r="Q104" s="837"/>
      <c r="R104" s="669"/>
      <c r="S104" s="837"/>
      <c r="T104" s="837"/>
      <c r="U104" s="670"/>
      <c r="V104" s="837"/>
      <c r="W104" s="837"/>
      <c r="X104" s="837"/>
      <c r="Y104" s="837"/>
      <c r="Z104" s="837"/>
      <c r="AA104" s="671"/>
      <c r="AB104" s="671"/>
      <c r="AC104" s="671"/>
      <c r="AD104" s="671"/>
      <c r="AE104" s="671"/>
      <c r="AF104" s="673">
        <v>0</v>
      </c>
    </row>
    <row r="105" spans="1:32" s="1557" customFormat="1" ht="18.75" hidden="1" customHeight="1">
      <c r="A105" s="3826"/>
      <c r="B105" s="837"/>
      <c r="C105" s="669"/>
      <c r="D105" s="667"/>
      <c r="E105" s="480" t="str">
        <f>FHD_NUM_P_50</f>
        <v/>
      </c>
      <c r="F105" s="1769" t="str">
        <f>FHD_P_50</f>
        <v/>
      </c>
      <c r="G105" s="1770" t="s">
        <v>637</v>
      </c>
      <c r="H105" s="903"/>
      <c r="I105" s="511"/>
      <c r="J105" s="224" t="str">
        <f>FHD_NOTE_P_50</f>
        <v/>
      </c>
      <c r="K105" s="668"/>
      <c r="L105" s="669"/>
      <c r="M105" s="669"/>
      <c r="N105" s="837"/>
      <c r="O105" s="837"/>
      <c r="P105" s="837"/>
      <c r="Q105" s="837"/>
      <c r="R105" s="669"/>
      <c r="S105" s="837"/>
      <c r="T105" s="837"/>
      <c r="U105" s="670"/>
      <c r="V105" s="837"/>
      <c r="W105" s="837"/>
      <c r="X105" s="837"/>
      <c r="Y105" s="837"/>
      <c r="Z105" s="837"/>
      <c r="AA105" s="671"/>
      <c r="AB105" s="671"/>
      <c r="AC105" s="671"/>
      <c r="AD105" s="671"/>
      <c r="AE105" s="671"/>
      <c r="AF105" s="673">
        <v>0</v>
      </c>
    </row>
    <row r="106" spans="1:32" s="1557" customFormat="1" ht="18.75" hidden="1" customHeight="1">
      <c r="A106" s="3826"/>
      <c r="B106" s="837"/>
      <c r="C106" s="669"/>
      <c r="D106" s="667"/>
      <c r="E106" s="480" t="str">
        <f>FHD_NUM_P_51</f>
        <v/>
      </c>
      <c r="F106" s="1769" t="str">
        <f>FHD_P_51</f>
        <v/>
      </c>
      <c r="G106" s="1770" t="s">
        <v>637</v>
      </c>
      <c r="H106" s="903"/>
      <c r="I106" s="511"/>
      <c r="J106" s="224" t="str">
        <f>FHD_NOTE_P_51</f>
        <v/>
      </c>
      <c r="K106" s="668"/>
      <c r="L106" s="669"/>
      <c r="M106" s="669"/>
      <c r="N106" s="837"/>
      <c r="O106" s="837"/>
      <c r="P106" s="837"/>
      <c r="Q106" s="837"/>
      <c r="R106" s="669"/>
      <c r="S106" s="837"/>
      <c r="T106" s="837"/>
      <c r="U106" s="670"/>
      <c r="V106" s="837"/>
      <c r="W106" s="837"/>
      <c r="X106" s="837"/>
      <c r="Y106" s="837"/>
      <c r="Z106" s="837"/>
      <c r="AA106" s="671"/>
      <c r="AB106" s="671"/>
      <c r="AC106" s="671"/>
      <c r="AD106" s="671"/>
      <c r="AE106" s="671"/>
      <c r="AF106" s="673">
        <v>0</v>
      </c>
    </row>
    <row r="107" spans="1:32" s="1557" customFormat="1" ht="18.75" hidden="1" customHeight="1">
      <c r="A107" s="3826"/>
      <c r="B107" s="837"/>
      <c r="C107" s="669"/>
      <c r="D107" s="667"/>
      <c r="E107" s="480" t="str">
        <f>FHD_NUM_P_52</f>
        <v/>
      </c>
      <c r="F107" s="1769" t="str">
        <f>FHD_P_52</f>
        <v/>
      </c>
      <c r="G107" s="1770" t="s">
        <v>601</v>
      </c>
      <c r="H107" s="902"/>
      <c r="I107" s="491"/>
      <c r="J107" s="224" t="str">
        <f>FHD_NOTE_P_52</f>
        <v/>
      </c>
      <c r="K107" s="668"/>
      <c r="L107" s="669"/>
      <c r="M107" s="669"/>
      <c r="N107" s="837"/>
      <c r="O107" s="837"/>
      <c r="P107" s="837"/>
      <c r="Q107" s="837"/>
      <c r="R107" s="669"/>
      <c r="S107" s="837"/>
      <c r="T107" s="837"/>
      <c r="U107" s="670"/>
      <c r="V107" s="837"/>
      <c r="W107" s="837"/>
      <c r="X107" s="837"/>
      <c r="Y107" s="837"/>
      <c r="Z107" s="837"/>
      <c r="AA107" s="671"/>
      <c r="AB107" s="671"/>
      <c r="AC107" s="671"/>
      <c r="AD107" s="671"/>
      <c r="AE107" s="671"/>
      <c r="AF107" s="673">
        <v>0</v>
      </c>
    </row>
    <row r="108" spans="1:32" s="1288" customFormat="1" ht="18.75" hidden="1" customHeight="1">
      <c r="A108" s="3826" t="s">
        <v>638</v>
      </c>
      <c r="C108" s="669"/>
      <c r="D108" s="667"/>
      <c r="E108" s="480" t="str">
        <f>FHD_NUM_P_53</f>
        <v/>
      </c>
      <c r="F108" s="1769" t="str">
        <f>FHD_P_53</f>
        <v/>
      </c>
      <c r="G108" s="1770" t="s">
        <v>637</v>
      </c>
      <c r="H108" s="903"/>
      <c r="I108" s="511"/>
      <c r="J108" s="224" t="str">
        <f>FHD_NOTE_P_53</f>
        <v/>
      </c>
      <c r="K108" s="668"/>
      <c r="L108" s="669"/>
      <c r="M108" s="669"/>
      <c r="R108" s="669"/>
      <c r="U108" s="670"/>
      <c r="AA108" s="671"/>
      <c r="AB108" s="671"/>
      <c r="AC108" s="671"/>
      <c r="AD108" s="671"/>
      <c r="AE108" s="671"/>
      <c r="AF108" s="837">
        <v>0</v>
      </c>
    </row>
    <row r="109" spans="1:32" s="1288" customFormat="1" ht="18.75" hidden="1" customHeight="1">
      <c r="A109" s="3826"/>
      <c r="C109" s="669"/>
      <c r="D109" s="667"/>
      <c r="E109" s="480" t="str">
        <f>FHD_NUM_P_54</f>
        <v/>
      </c>
      <c r="F109" s="1769" t="str">
        <f>FHD_P_54</f>
        <v/>
      </c>
      <c r="G109" s="1770" t="s">
        <v>637</v>
      </c>
      <c r="H109" s="903"/>
      <c r="I109" s="511"/>
      <c r="J109" s="224" t="str">
        <f>FHD_NOTE_P_54</f>
        <v/>
      </c>
      <c r="K109" s="668"/>
      <c r="L109" s="669"/>
      <c r="M109" s="669"/>
      <c r="R109" s="669"/>
      <c r="U109" s="670"/>
      <c r="AA109" s="671"/>
      <c r="AB109" s="671"/>
      <c r="AC109" s="671"/>
      <c r="AD109" s="671"/>
      <c r="AE109" s="671"/>
      <c r="AF109" s="837">
        <v>0</v>
      </c>
    </row>
    <row r="110" spans="1:32" s="1288" customFormat="1" ht="18.75" hidden="1" customHeight="1">
      <c r="A110" s="3826"/>
      <c r="C110" s="669"/>
      <c r="D110" s="672"/>
      <c r="E110" s="480" t="str">
        <f>FHD_NUM_P_55</f>
        <v/>
      </c>
      <c r="F110" s="1769" t="str">
        <f>FHD_P_55</f>
        <v/>
      </c>
      <c r="G110" s="1773"/>
      <c r="H110" s="903"/>
      <c r="I110" s="511"/>
      <c r="J110" s="224" t="str">
        <f>FHD_NOTE_P_55</f>
        <v/>
      </c>
      <c r="K110" s="668"/>
      <c r="L110" s="669"/>
      <c r="M110" s="669"/>
      <c r="R110" s="669"/>
      <c r="U110" s="670"/>
      <c r="AA110" s="671"/>
      <c r="AB110" s="671"/>
      <c r="AC110" s="671"/>
      <c r="AD110" s="671"/>
      <c r="AE110" s="671"/>
      <c r="AF110" s="837">
        <v>0</v>
      </c>
    </row>
    <row r="111" spans="1:32" s="1288" customFormat="1" ht="18.75" hidden="1" customHeight="1">
      <c r="A111" s="3826"/>
      <c r="C111" s="669"/>
      <c r="D111" s="667"/>
      <c r="E111" s="480" t="str">
        <f>FHD_NUM_P_56</f>
        <v/>
      </c>
      <c r="F111" s="1769" t="str">
        <f>FHD_P_56</f>
        <v/>
      </c>
      <c r="G111" s="1770" t="s">
        <v>639</v>
      </c>
      <c r="H111" s="903"/>
      <c r="I111" s="511"/>
      <c r="J111" s="224" t="str">
        <f>FHD_NOTE_P_56</f>
        <v/>
      </c>
      <c r="K111" s="668"/>
      <c r="L111" s="669"/>
      <c r="M111" s="669"/>
      <c r="R111" s="669"/>
      <c r="U111" s="670"/>
      <c r="AA111" s="671"/>
      <c r="AB111" s="671"/>
      <c r="AC111" s="671"/>
      <c r="AD111" s="671"/>
      <c r="AE111" s="671"/>
      <c r="AF111" s="837">
        <v>0</v>
      </c>
    </row>
    <row r="112" spans="1:32" s="1557" customFormat="1" ht="18.75" hidden="1" customHeight="1">
      <c r="A112" s="3826"/>
      <c r="B112" s="837"/>
      <c r="C112" s="669"/>
      <c r="D112" s="667"/>
      <c r="E112" s="480" t="str">
        <f>FHD_NUM_P_57</f>
        <v/>
      </c>
      <c r="F112" s="1769" t="str">
        <f>FHD_P_57</f>
        <v/>
      </c>
      <c r="G112" s="1770" t="s">
        <v>601</v>
      </c>
      <c r="H112" s="902"/>
      <c r="I112" s="491"/>
      <c r="J112" s="224" t="str">
        <f>FHD_NOTE_P_57</f>
        <v/>
      </c>
      <c r="K112" s="668"/>
      <c r="L112" s="669"/>
      <c r="M112" s="669"/>
      <c r="N112" s="837"/>
      <c r="O112" s="837"/>
      <c r="P112" s="837"/>
      <c r="Q112" s="837"/>
      <c r="R112" s="669"/>
      <c r="S112" s="837"/>
      <c r="T112" s="837"/>
      <c r="U112" s="670"/>
      <c r="V112" s="837"/>
      <c r="W112" s="837"/>
      <c r="X112" s="837"/>
      <c r="Y112" s="837"/>
      <c r="Z112" s="837"/>
      <c r="AA112" s="671"/>
      <c r="AB112" s="671"/>
      <c r="AC112" s="671"/>
      <c r="AD112" s="671"/>
      <c r="AE112" s="671"/>
      <c r="AF112" s="673">
        <v>0</v>
      </c>
    </row>
    <row r="113" spans="1:32" ht="18.75" hidden="1" customHeight="1">
      <c r="A113" s="3826" t="s">
        <v>640</v>
      </c>
      <c r="D113" s="1560"/>
      <c r="E113" s="480" t="str">
        <f>FHD_NUM_P_58</f>
        <v/>
      </c>
      <c r="F113" s="1769" t="str">
        <f>FHD_P_58</f>
        <v/>
      </c>
      <c r="G113" s="1770" t="s">
        <v>637</v>
      </c>
      <c r="H113" s="903"/>
      <c r="I113" s="511"/>
      <c r="J113" s="224" t="str">
        <f>FHD_NOTE_P_58</f>
        <v/>
      </c>
      <c r="K113" s="477"/>
      <c r="AF113" s="1553">
        <v>0</v>
      </c>
    </row>
    <row r="114" spans="1:32" ht="18.75" hidden="1" customHeight="1">
      <c r="A114" s="3826"/>
      <c r="D114" s="1560"/>
      <c r="E114" s="480" t="str">
        <f>FHD_NUM_P_59</f>
        <v/>
      </c>
      <c r="F114" s="1769" t="str">
        <f>FHD_P_59</f>
        <v/>
      </c>
      <c r="G114" s="1770" t="s">
        <v>637</v>
      </c>
      <c r="H114" s="903"/>
      <c r="I114" s="511"/>
      <c r="J114" s="224" t="str">
        <f>FHD_NOTE_P_59</f>
        <v/>
      </c>
      <c r="K114" s="477"/>
      <c r="AF114" s="1553">
        <v>0</v>
      </c>
    </row>
    <row r="115" spans="1:32" ht="18.75" hidden="1" customHeight="1">
      <c r="A115" s="3826"/>
      <c r="D115" s="1560"/>
      <c r="E115" s="480" t="str">
        <f>FHD_NUM_P_60</f>
        <v/>
      </c>
      <c r="F115" s="1769" t="str">
        <f>FHD_P_60</f>
        <v/>
      </c>
      <c r="G115" s="1770" t="s">
        <v>637</v>
      </c>
      <c r="H115" s="903"/>
      <c r="I115" s="511"/>
      <c r="J115" s="224" t="str">
        <f>FHD_NOTE_P_60</f>
        <v/>
      </c>
      <c r="K115" s="477"/>
      <c r="AF115" s="1553">
        <v>0</v>
      </c>
    </row>
    <row r="116" spans="1:32" s="1288" customFormat="1" ht="36.75" customHeight="1">
      <c r="A116" s="3826" t="s">
        <v>641</v>
      </c>
      <c r="C116" s="1558"/>
      <c r="D116" s="1560"/>
      <c r="E116" s="480" t="str">
        <f>FHD_NUM_P_61</f>
        <v>7</v>
      </c>
      <c r="F116" s="176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6" s="1767" t="s">
        <v>599</v>
      </c>
      <c r="H116" s="905"/>
      <c r="I116" s="676">
        <f>SUM(I118:I280)</f>
        <v>1733.8710000000008</v>
      </c>
      <c r="J116"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6" s="477"/>
      <c r="L116" s="1558"/>
      <c r="M116" s="1558"/>
      <c r="R116" s="1558"/>
      <c r="U116" s="478"/>
      <c r="AA116" s="1554"/>
      <c r="AB116" s="1554"/>
      <c r="AC116" s="1554"/>
      <c r="AD116" s="1554"/>
      <c r="AE116" s="1554"/>
      <c r="AF116" s="1082">
        <v>0</v>
      </c>
    </row>
    <row r="117" spans="1:32" s="1564" customFormat="1" ht="0.75" customHeight="1">
      <c r="A117" s="3826"/>
      <c r="D117" s="482"/>
      <c r="E117" s="939" t="str">
        <f>E116&amp;".0"</f>
        <v>7.0</v>
      </c>
      <c r="F117" s="920"/>
      <c r="G117" s="921"/>
      <c r="H117" s="918"/>
      <c r="I117" s="918"/>
      <c r="J117" s="922"/>
      <c r="AF117" s="1558">
        <v>0</v>
      </c>
    </row>
    <row r="118" spans="1:32" s="1739" customFormat="1" ht="35.25" customHeight="1">
      <c r="A118" s="3827"/>
      <c r="B118" s="1288"/>
      <c r="C118" s="1564"/>
      <c r="D118" s="617" t="s">
        <v>90</v>
      </c>
      <c r="E118" s="480" t="str">
        <f>E116&amp;".1"</f>
        <v>7.1</v>
      </c>
      <c r="F118" s="474" t="s">
        <v>642</v>
      </c>
      <c r="G118" s="1989" t="s">
        <v>599</v>
      </c>
      <c r="H118" s="685"/>
      <c r="I118" s="685">
        <v>16</v>
      </c>
      <c r="J118" s="1447" t="s">
        <v>600</v>
      </c>
      <c r="K118" s="668"/>
      <c r="L118" s="1564"/>
      <c r="M118" s="1564"/>
      <c r="N118" s="1288"/>
      <c r="O118" s="1288"/>
      <c r="P118" s="1288"/>
      <c r="Q118" s="1288"/>
      <c r="R118" s="1564"/>
      <c r="S118" s="1288"/>
      <c r="T118" s="1288"/>
      <c r="U118" s="670"/>
      <c r="V118" s="1288"/>
      <c r="W118" s="1288"/>
      <c r="X118" s="1288"/>
      <c r="Y118" s="1288"/>
      <c r="Z118" s="1288"/>
      <c r="AA118" s="1554"/>
      <c r="AB118" s="1554"/>
      <c r="AC118" s="1554"/>
      <c r="AD118" s="1554"/>
      <c r="AE118" s="1554"/>
      <c r="AF118" s="1557">
        <v>0</v>
      </c>
    </row>
    <row r="119" spans="1:32" s="1739" customFormat="1" ht="24" customHeight="1">
      <c r="A119" s="3827"/>
      <c r="B119" s="1288"/>
      <c r="C119" s="1564"/>
      <c r="D119" s="617" t="s">
        <v>90</v>
      </c>
      <c r="E119" s="480" t="str">
        <f>E116&amp;".2"</f>
        <v>7.2</v>
      </c>
      <c r="F119" s="474" t="s">
        <v>643</v>
      </c>
      <c r="G119" s="1989" t="s">
        <v>599</v>
      </c>
      <c r="H119" s="685"/>
      <c r="I119" s="685">
        <v>10.3</v>
      </c>
      <c r="J119" s="1447" t="s">
        <v>600</v>
      </c>
      <c r="K119" s="668"/>
      <c r="L119" s="1564"/>
      <c r="M119" s="1564"/>
      <c r="N119" s="1288"/>
      <c r="O119" s="1288"/>
      <c r="P119" s="1288"/>
      <c r="Q119" s="1288"/>
      <c r="R119" s="1564"/>
      <c r="S119" s="1288"/>
      <c r="T119" s="1288"/>
      <c r="U119" s="670"/>
      <c r="V119" s="1288"/>
      <c r="W119" s="1288"/>
      <c r="X119" s="1288"/>
      <c r="Y119" s="1288"/>
      <c r="Z119" s="1288"/>
      <c r="AA119" s="1554"/>
      <c r="AB119" s="1554"/>
      <c r="AC119" s="1554"/>
      <c r="AD119" s="1554"/>
      <c r="AE119" s="1554"/>
      <c r="AF119" s="1557">
        <v>0</v>
      </c>
    </row>
    <row r="120" spans="1:32" s="1739" customFormat="1" ht="24" customHeight="1">
      <c r="A120" s="3827"/>
      <c r="B120" s="1288"/>
      <c r="C120" s="1564"/>
      <c r="D120" s="617" t="s">
        <v>90</v>
      </c>
      <c r="E120" s="480" t="str">
        <f>E116&amp;".3"</f>
        <v>7.3</v>
      </c>
      <c r="F120" s="474" t="s">
        <v>644</v>
      </c>
      <c r="G120" s="1989" t="s">
        <v>599</v>
      </c>
      <c r="H120" s="685"/>
      <c r="I120" s="685">
        <v>10.3</v>
      </c>
      <c r="J120" s="1447" t="s">
        <v>600</v>
      </c>
      <c r="K120" s="668"/>
      <c r="L120" s="1564"/>
      <c r="M120" s="1564"/>
      <c r="N120" s="1288"/>
      <c r="O120" s="1288"/>
      <c r="P120" s="1288"/>
      <c r="Q120" s="1288"/>
      <c r="R120" s="1564"/>
      <c r="S120" s="1288"/>
      <c r="T120" s="1288"/>
      <c r="U120" s="670"/>
      <c r="V120" s="1288"/>
      <c r="W120" s="1288"/>
      <c r="X120" s="1288"/>
      <c r="Y120" s="1288"/>
      <c r="Z120" s="1288"/>
      <c r="AA120" s="1554"/>
      <c r="AB120" s="1554"/>
      <c r="AC120" s="1554"/>
      <c r="AD120" s="1554"/>
      <c r="AE120" s="1554"/>
      <c r="AF120" s="1557">
        <v>0</v>
      </c>
    </row>
    <row r="121" spans="1:32" s="1739" customFormat="1" ht="24" customHeight="1">
      <c r="A121" s="3827"/>
      <c r="B121" s="1288"/>
      <c r="C121" s="1564"/>
      <c r="D121" s="617" t="s">
        <v>90</v>
      </c>
      <c r="E121" s="480" t="str">
        <f>E116&amp;".4"</f>
        <v>7.4</v>
      </c>
      <c r="F121" s="474" t="s">
        <v>645</v>
      </c>
      <c r="G121" s="1989" t="s">
        <v>599</v>
      </c>
      <c r="H121" s="685"/>
      <c r="I121" s="685">
        <v>4.5</v>
      </c>
      <c r="J121" s="1447" t="s">
        <v>600</v>
      </c>
      <c r="K121" s="668"/>
      <c r="L121" s="1564"/>
      <c r="M121" s="1564"/>
      <c r="N121" s="1288"/>
      <c r="O121" s="1288"/>
      <c r="P121" s="1288"/>
      <c r="Q121" s="1288"/>
      <c r="R121" s="1564"/>
      <c r="S121" s="1288"/>
      <c r="T121" s="1288"/>
      <c r="U121" s="670"/>
      <c r="V121" s="1288"/>
      <c r="W121" s="1288"/>
      <c r="X121" s="1288"/>
      <c r="Y121" s="1288"/>
      <c r="Z121" s="1288"/>
      <c r="AA121" s="1554"/>
      <c r="AB121" s="1554"/>
      <c r="AC121" s="1554"/>
      <c r="AD121" s="1554"/>
      <c r="AE121" s="1554"/>
      <c r="AF121" s="1557">
        <v>0</v>
      </c>
    </row>
    <row r="122" spans="1:32" s="1739" customFormat="1" ht="35.25" customHeight="1">
      <c r="A122" s="3827"/>
      <c r="B122" s="1288"/>
      <c r="C122" s="1564"/>
      <c r="D122" s="617" t="s">
        <v>90</v>
      </c>
      <c r="E122" s="480" t="str">
        <f>E116&amp;".5"</f>
        <v>7.5</v>
      </c>
      <c r="F122" s="474" t="s">
        <v>646</v>
      </c>
      <c r="G122" s="1989" t="s">
        <v>599</v>
      </c>
      <c r="H122" s="685"/>
      <c r="I122" s="685">
        <v>2.2000000000000002</v>
      </c>
      <c r="J122" s="1447" t="s">
        <v>600</v>
      </c>
      <c r="K122" s="668"/>
      <c r="L122" s="1564"/>
      <c r="M122" s="1564"/>
      <c r="N122" s="1288"/>
      <c r="O122" s="1288"/>
      <c r="P122" s="1288"/>
      <c r="Q122" s="1288"/>
      <c r="R122" s="1564"/>
      <c r="S122" s="1288"/>
      <c r="T122" s="1288"/>
      <c r="U122" s="670"/>
      <c r="V122" s="1288"/>
      <c r="W122" s="1288"/>
      <c r="X122" s="1288"/>
      <c r="Y122" s="1288"/>
      <c r="Z122" s="1288"/>
      <c r="AA122" s="1554"/>
      <c r="AB122" s="1554"/>
      <c r="AC122" s="1554"/>
      <c r="AD122" s="1554"/>
      <c r="AE122" s="1554"/>
      <c r="AF122" s="1557">
        <v>0</v>
      </c>
    </row>
    <row r="123" spans="1:32" s="1739" customFormat="1" ht="24" customHeight="1">
      <c r="A123" s="3827"/>
      <c r="B123" s="1288"/>
      <c r="C123" s="1564"/>
      <c r="D123" s="617" t="s">
        <v>90</v>
      </c>
      <c r="E123" s="480" t="str">
        <f>E116&amp;".6"</f>
        <v>7.6</v>
      </c>
      <c r="F123" s="474" t="s">
        <v>647</v>
      </c>
      <c r="G123" s="1989" t="s">
        <v>599</v>
      </c>
      <c r="H123" s="685"/>
      <c r="I123" s="685">
        <v>33</v>
      </c>
      <c r="J123" s="1447" t="s">
        <v>600</v>
      </c>
      <c r="K123" s="668"/>
      <c r="L123" s="1564"/>
      <c r="M123" s="1564"/>
      <c r="N123" s="1288"/>
      <c r="O123" s="1288"/>
      <c r="P123" s="1288"/>
      <c r="Q123" s="1288"/>
      <c r="R123" s="1564"/>
      <c r="S123" s="1288"/>
      <c r="T123" s="1288"/>
      <c r="U123" s="670"/>
      <c r="V123" s="1288"/>
      <c r="W123" s="1288"/>
      <c r="X123" s="1288"/>
      <c r="Y123" s="1288"/>
      <c r="Z123" s="1288"/>
      <c r="AA123" s="1554"/>
      <c r="AB123" s="1554"/>
      <c r="AC123" s="1554"/>
      <c r="AD123" s="1554"/>
      <c r="AE123" s="1554"/>
      <c r="AF123" s="1557">
        <v>0</v>
      </c>
    </row>
    <row r="124" spans="1:32" s="1739" customFormat="1" ht="24" customHeight="1">
      <c r="A124" s="3827"/>
      <c r="B124" s="1288"/>
      <c r="C124" s="1564"/>
      <c r="D124" s="617" t="s">
        <v>90</v>
      </c>
      <c r="E124" s="480" t="str">
        <f>E116&amp;".7"</f>
        <v>7.7</v>
      </c>
      <c r="F124" s="474" t="s">
        <v>648</v>
      </c>
      <c r="G124" s="1989" t="s">
        <v>599</v>
      </c>
      <c r="H124" s="685"/>
      <c r="I124" s="685">
        <v>40.5</v>
      </c>
      <c r="J124" s="1447" t="s">
        <v>600</v>
      </c>
      <c r="K124" s="668"/>
      <c r="L124" s="1564"/>
      <c r="M124" s="1564"/>
      <c r="N124" s="1288"/>
      <c r="O124" s="1288"/>
      <c r="P124" s="1288"/>
      <c r="Q124" s="1288"/>
      <c r="R124" s="1564"/>
      <c r="S124" s="1288"/>
      <c r="T124" s="1288"/>
      <c r="U124" s="670"/>
      <c r="V124" s="1288"/>
      <c r="W124" s="1288"/>
      <c r="X124" s="1288"/>
      <c r="Y124" s="1288"/>
      <c r="Z124" s="1288"/>
      <c r="AA124" s="1554"/>
      <c r="AB124" s="1554"/>
      <c r="AC124" s="1554"/>
      <c r="AD124" s="1554"/>
      <c r="AE124" s="1554"/>
      <c r="AF124" s="1557">
        <v>0</v>
      </c>
    </row>
    <row r="125" spans="1:32" s="1739" customFormat="1" ht="24" customHeight="1">
      <c r="A125" s="3827"/>
      <c r="B125" s="1288"/>
      <c r="C125" s="1564"/>
      <c r="D125" s="617" t="s">
        <v>90</v>
      </c>
      <c r="E125" s="480" t="str">
        <f>E116&amp;".8"</f>
        <v>7.8</v>
      </c>
      <c r="F125" s="474" t="s">
        <v>649</v>
      </c>
      <c r="G125" s="1989" t="s">
        <v>599</v>
      </c>
      <c r="H125" s="685"/>
      <c r="I125" s="685">
        <v>8</v>
      </c>
      <c r="J125" s="1447" t="s">
        <v>600</v>
      </c>
      <c r="K125" s="668"/>
      <c r="L125" s="1564"/>
      <c r="M125" s="1564"/>
      <c r="N125" s="1288"/>
      <c r="O125" s="1288"/>
      <c r="P125" s="1288"/>
      <c r="Q125" s="1288"/>
      <c r="R125" s="1564"/>
      <c r="S125" s="1288"/>
      <c r="T125" s="1288"/>
      <c r="U125" s="670"/>
      <c r="V125" s="1288"/>
      <c r="W125" s="1288"/>
      <c r="X125" s="1288"/>
      <c r="Y125" s="1288"/>
      <c r="Z125" s="1288"/>
      <c r="AA125" s="1554"/>
      <c r="AB125" s="1554"/>
      <c r="AC125" s="1554"/>
      <c r="AD125" s="1554"/>
      <c r="AE125" s="1554"/>
      <c r="AF125" s="1557">
        <v>0</v>
      </c>
    </row>
    <row r="126" spans="1:32" s="1739" customFormat="1" ht="24" customHeight="1">
      <c r="A126" s="3827"/>
      <c r="B126" s="1288"/>
      <c r="C126" s="1564"/>
      <c r="D126" s="617" t="s">
        <v>90</v>
      </c>
      <c r="E126" s="480" t="str">
        <f>E116&amp;".9"</f>
        <v>7.9</v>
      </c>
      <c r="F126" s="474" t="s">
        <v>650</v>
      </c>
      <c r="G126" s="1989" t="s">
        <v>599</v>
      </c>
      <c r="H126" s="685"/>
      <c r="I126" s="685">
        <v>8</v>
      </c>
      <c r="J126" s="1447" t="s">
        <v>600</v>
      </c>
      <c r="K126" s="668"/>
      <c r="L126" s="1564"/>
      <c r="M126" s="1564"/>
      <c r="N126" s="1288"/>
      <c r="O126" s="1288"/>
      <c r="P126" s="1288"/>
      <c r="Q126" s="1288"/>
      <c r="R126" s="1564"/>
      <c r="S126" s="1288"/>
      <c r="T126" s="1288"/>
      <c r="U126" s="670"/>
      <c r="V126" s="1288"/>
      <c r="W126" s="1288"/>
      <c r="X126" s="1288"/>
      <c r="Y126" s="1288"/>
      <c r="Z126" s="1288"/>
      <c r="AA126" s="1554"/>
      <c r="AB126" s="1554"/>
      <c r="AC126" s="1554"/>
      <c r="AD126" s="1554"/>
      <c r="AE126" s="1554"/>
      <c r="AF126" s="1557">
        <v>0</v>
      </c>
    </row>
    <row r="127" spans="1:32" s="1739" customFormat="1" ht="24" customHeight="1">
      <c r="A127" s="3827"/>
      <c r="B127" s="1288"/>
      <c r="C127" s="1564"/>
      <c r="D127" s="617" t="s">
        <v>90</v>
      </c>
      <c r="E127" s="480" t="str">
        <f>E116&amp;".10"</f>
        <v>7.10</v>
      </c>
      <c r="F127" s="474" t="s">
        <v>651</v>
      </c>
      <c r="G127" s="1989" t="s">
        <v>599</v>
      </c>
      <c r="H127" s="685"/>
      <c r="I127" s="685">
        <v>6</v>
      </c>
      <c r="J127" s="1447" t="s">
        <v>600</v>
      </c>
      <c r="K127" s="668"/>
      <c r="L127" s="1564"/>
      <c r="M127" s="1564"/>
      <c r="N127" s="1288"/>
      <c r="O127" s="1288"/>
      <c r="P127" s="1288"/>
      <c r="Q127" s="1288"/>
      <c r="R127" s="1564"/>
      <c r="S127" s="1288"/>
      <c r="T127" s="1288"/>
      <c r="U127" s="670"/>
      <c r="V127" s="1288"/>
      <c r="W127" s="1288"/>
      <c r="X127" s="1288"/>
      <c r="Y127" s="1288"/>
      <c r="Z127" s="1288"/>
      <c r="AA127" s="1554"/>
      <c r="AB127" s="1554"/>
      <c r="AC127" s="1554"/>
      <c r="AD127" s="1554"/>
      <c r="AE127" s="1554"/>
      <c r="AF127" s="1557">
        <v>0</v>
      </c>
    </row>
    <row r="128" spans="1:32" s="1739" customFormat="1" ht="24" customHeight="1">
      <c r="A128" s="3827"/>
      <c r="B128" s="1288"/>
      <c r="C128" s="1564"/>
      <c r="D128" s="617" t="s">
        <v>90</v>
      </c>
      <c r="E128" s="480" t="str">
        <f>E116&amp;".11"</f>
        <v>7.11</v>
      </c>
      <c r="F128" s="474" t="s">
        <v>652</v>
      </c>
      <c r="G128" s="1989" t="s">
        <v>599</v>
      </c>
      <c r="H128" s="685"/>
      <c r="I128" s="685">
        <v>3</v>
      </c>
      <c r="J128" s="1447" t="s">
        <v>600</v>
      </c>
      <c r="K128" s="668"/>
      <c r="L128" s="1564"/>
      <c r="M128" s="1564"/>
      <c r="N128" s="1288"/>
      <c r="O128" s="1288"/>
      <c r="P128" s="1288"/>
      <c r="Q128" s="1288"/>
      <c r="R128" s="1564"/>
      <c r="S128" s="1288"/>
      <c r="T128" s="1288"/>
      <c r="U128" s="670"/>
      <c r="V128" s="1288"/>
      <c r="W128" s="1288"/>
      <c r="X128" s="1288"/>
      <c r="Y128" s="1288"/>
      <c r="Z128" s="1288"/>
      <c r="AA128" s="1554"/>
      <c r="AB128" s="1554"/>
      <c r="AC128" s="1554"/>
      <c r="AD128" s="1554"/>
      <c r="AE128" s="1554"/>
      <c r="AF128" s="1557">
        <v>0</v>
      </c>
    </row>
    <row r="129" spans="1:32" s="1739" customFormat="1" ht="24" customHeight="1">
      <c r="A129" s="3827"/>
      <c r="B129" s="1288"/>
      <c r="C129" s="1564"/>
      <c r="D129" s="617" t="s">
        <v>90</v>
      </c>
      <c r="E129" s="480" t="str">
        <f>E116&amp;".12"</f>
        <v>7.12</v>
      </c>
      <c r="F129" s="474" t="s">
        <v>653</v>
      </c>
      <c r="G129" s="1989" t="s">
        <v>599</v>
      </c>
      <c r="H129" s="685"/>
      <c r="I129" s="685">
        <v>1.8</v>
      </c>
      <c r="J129" s="1447" t="s">
        <v>600</v>
      </c>
      <c r="K129" s="668"/>
      <c r="L129" s="1564"/>
      <c r="M129" s="1564"/>
      <c r="N129" s="1288"/>
      <c r="O129" s="1288"/>
      <c r="P129" s="1288"/>
      <c r="Q129" s="1288"/>
      <c r="R129" s="1564"/>
      <c r="S129" s="1288"/>
      <c r="T129" s="1288"/>
      <c r="U129" s="670"/>
      <c r="V129" s="1288"/>
      <c r="W129" s="1288"/>
      <c r="X129" s="1288"/>
      <c r="Y129" s="1288"/>
      <c r="Z129" s="1288"/>
      <c r="AA129" s="1554"/>
      <c r="AB129" s="1554"/>
      <c r="AC129" s="1554"/>
      <c r="AD129" s="1554"/>
      <c r="AE129" s="1554"/>
      <c r="AF129" s="1557">
        <v>0</v>
      </c>
    </row>
    <row r="130" spans="1:32" s="1739" customFormat="1" ht="24" customHeight="1">
      <c r="A130" s="3827"/>
      <c r="B130" s="1288"/>
      <c r="C130" s="1564"/>
      <c r="D130" s="617" t="s">
        <v>90</v>
      </c>
      <c r="E130" s="480" t="str">
        <f>E116&amp;".13"</f>
        <v>7.13</v>
      </c>
      <c r="F130" s="474" t="s">
        <v>654</v>
      </c>
      <c r="G130" s="1989" t="s">
        <v>599</v>
      </c>
      <c r="H130" s="685"/>
      <c r="I130" s="685">
        <v>1.3</v>
      </c>
      <c r="J130" s="1447" t="s">
        <v>600</v>
      </c>
      <c r="K130" s="668"/>
      <c r="L130" s="1564"/>
      <c r="M130" s="1564"/>
      <c r="N130" s="1288"/>
      <c r="O130" s="1288"/>
      <c r="P130" s="1288"/>
      <c r="Q130" s="1288"/>
      <c r="R130" s="1564"/>
      <c r="S130" s="1288"/>
      <c r="T130" s="1288"/>
      <c r="U130" s="670"/>
      <c r="V130" s="1288"/>
      <c r="W130" s="1288"/>
      <c r="X130" s="1288"/>
      <c r="Y130" s="1288"/>
      <c r="Z130" s="1288"/>
      <c r="AA130" s="1554"/>
      <c r="AB130" s="1554"/>
      <c r="AC130" s="1554"/>
      <c r="AD130" s="1554"/>
      <c r="AE130" s="1554"/>
      <c r="AF130" s="1557">
        <v>0</v>
      </c>
    </row>
    <row r="131" spans="1:32" s="1739" customFormat="1" ht="24" customHeight="1">
      <c r="A131" s="3827"/>
      <c r="B131" s="1288"/>
      <c r="C131" s="1564"/>
      <c r="D131" s="617" t="s">
        <v>90</v>
      </c>
      <c r="E131" s="480" t="str">
        <f>E116&amp;".14"</f>
        <v>7.14</v>
      </c>
      <c r="F131" s="474" t="s">
        <v>655</v>
      </c>
      <c r="G131" s="1989" t="s">
        <v>599</v>
      </c>
      <c r="H131" s="685"/>
      <c r="I131" s="685">
        <v>0.3</v>
      </c>
      <c r="J131" s="1447" t="s">
        <v>600</v>
      </c>
      <c r="K131" s="668"/>
      <c r="L131" s="1564"/>
      <c r="M131" s="1564"/>
      <c r="N131" s="1288"/>
      <c r="O131" s="1288"/>
      <c r="P131" s="1288"/>
      <c r="Q131" s="1288"/>
      <c r="R131" s="1564"/>
      <c r="S131" s="1288"/>
      <c r="T131" s="1288"/>
      <c r="U131" s="670"/>
      <c r="V131" s="1288"/>
      <c r="W131" s="1288"/>
      <c r="X131" s="1288"/>
      <c r="Y131" s="1288"/>
      <c r="Z131" s="1288"/>
      <c r="AA131" s="1554"/>
      <c r="AB131" s="1554"/>
      <c r="AC131" s="1554"/>
      <c r="AD131" s="1554"/>
      <c r="AE131" s="1554"/>
      <c r="AF131" s="1557">
        <v>0</v>
      </c>
    </row>
    <row r="132" spans="1:32" s="1739" customFormat="1" ht="35.25" customHeight="1">
      <c r="A132" s="3827"/>
      <c r="B132" s="1288"/>
      <c r="C132" s="1564"/>
      <c r="D132" s="617" t="s">
        <v>90</v>
      </c>
      <c r="E132" s="480" t="str">
        <f>E116&amp;".15"</f>
        <v>7.15</v>
      </c>
      <c r="F132" s="474" t="s">
        <v>656</v>
      </c>
      <c r="G132" s="1989" t="s">
        <v>599</v>
      </c>
      <c r="H132" s="685"/>
      <c r="I132" s="685">
        <v>42.5</v>
      </c>
      <c r="J132" s="1447" t="s">
        <v>600</v>
      </c>
      <c r="K132" s="668"/>
      <c r="L132" s="1564"/>
      <c r="M132" s="1564"/>
      <c r="N132" s="1288"/>
      <c r="O132" s="1288"/>
      <c r="P132" s="1288"/>
      <c r="Q132" s="1288"/>
      <c r="R132" s="1564"/>
      <c r="S132" s="1288"/>
      <c r="T132" s="1288"/>
      <c r="U132" s="670"/>
      <c r="V132" s="1288"/>
      <c r="W132" s="1288"/>
      <c r="X132" s="1288"/>
      <c r="Y132" s="1288"/>
      <c r="Z132" s="1288"/>
      <c r="AA132" s="1554"/>
      <c r="AB132" s="1554"/>
      <c r="AC132" s="1554"/>
      <c r="AD132" s="1554"/>
      <c r="AE132" s="1554"/>
      <c r="AF132" s="1557">
        <v>0</v>
      </c>
    </row>
    <row r="133" spans="1:32" s="1739" customFormat="1" ht="24" customHeight="1">
      <c r="A133" s="3827"/>
      <c r="B133" s="1288"/>
      <c r="C133" s="1564"/>
      <c r="D133" s="617" t="s">
        <v>90</v>
      </c>
      <c r="E133" s="480" t="str">
        <f>E116&amp;".16"</f>
        <v>7.16</v>
      </c>
      <c r="F133" s="474" t="s">
        <v>657</v>
      </c>
      <c r="G133" s="1989" t="s">
        <v>599</v>
      </c>
      <c r="H133" s="685"/>
      <c r="I133" s="685">
        <v>5.4</v>
      </c>
      <c r="J133" s="1447" t="s">
        <v>600</v>
      </c>
      <c r="K133" s="668"/>
      <c r="L133" s="1564"/>
      <c r="M133" s="1564"/>
      <c r="N133" s="1288"/>
      <c r="O133" s="1288"/>
      <c r="P133" s="1288"/>
      <c r="Q133" s="1288"/>
      <c r="R133" s="1564"/>
      <c r="S133" s="1288"/>
      <c r="T133" s="1288"/>
      <c r="U133" s="670"/>
      <c r="V133" s="1288"/>
      <c r="W133" s="1288"/>
      <c r="X133" s="1288"/>
      <c r="Y133" s="1288"/>
      <c r="Z133" s="1288"/>
      <c r="AA133" s="1554"/>
      <c r="AB133" s="1554"/>
      <c r="AC133" s="1554"/>
      <c r="AD133" s="1554"/>
      <c r="AE133" s="1554"/>
      <c r="AF133" s="1557">
        <v>0</v>
      </c>
    </row>
    <row r="134" spans="1:32" s="1739" customFormat="1" ht="24" customHeight="1">
      <c r="A134" s="3827"/>
      <c r="B134" s="1288"/>
      <c r="C134" s="1564"/>
      <c r="D134" s="617" t="s">
        <v>90</v>
      </c>
      <c r="E134" s="480" t="str">
        <f>E116&amp;".17"</f>
        <v>7.17</v>
      </c>
      <c r="F134" s="474" t="s">
        <v>658</v>
      </c>
      <c r="G134" s="1989" t="s">
        <v>599</v>
      </c>
      <c r="H134" s="685"/>
      <c r="I134" s="685">
        <v>4</v>
      </c>
      <c r="J134" s="1447" t="s">
        <v>600</v>
      </c>
      <c r="K134" s="668"/>
      <c r="L134" s="1564"/>
      <c r="M134" s="1564"/>
      <c r="N134" s="1288"/>
      <c r="O134" s="1288"/>
      <c r="P134" s="1288"/>
      <c r="Q134" s="1288"/>
      <c r="R134" s="1564"/>
      <c r="S134" s="1288"/>
      <c r="T134" s="1288"/>
      <c r="U134" s="670"/>
      <c r="V134" s="1288"/>
      <c r="W134" s="1288"/>
      <c r="X134" s="1288"/>
      <c r="Y134" s="1288"/>
      <c r="Z134" s="1288"/>
      <c r="AA134" s="1554"/>
      <c r="AB134" s="1554"/>
      <c r="AC134" s="1554"/>
      <c r="AD134" s="1554"/>
      <c r="AE134" s="1554"/>
      <c r="AF134" s="1557">
        <v>0</v>
      </c>
    </row>
    <row r="135" spans="1:32" s="1739" customFormat="1" ht="24" customHeight="1">
      <c r="A135" s="3827"/>
      <c r="B135" s="1288"/>
      <c r="C135" s="1564"/>
      <c r="D135" s="617" t="s">
        <v>90</v>
      </c>
      <c r="E135" s="480" t="str">
        <f>E116&amp;".18"</f>
        <v>7.18</v>
      </c>
      <c r="F135" s="474" t="s">
        <v>659</v>
      </c>
      <c r="G135" s="1989" t="s">
        <v>599</v>
      </c>
      <c r="H135" s="685"/>
      <c r="I135" s="685">
        <v>0.3</v>
      </c>
      <c r="J135" s="1447" t="s">
        <v>600</v>
      </c>
      <c r="K135" s="668"/>
      <c r="L135" s="1564"/>
      <c r="M135" s="1564"/>
      <c r="N135" s="1288"/>
      <c r="O135" s="1288"/>
      <c r="P135" s="1288"/>
      <c r="Q135" s="1288"/>
      <c r="R135" s="1564"/>
      <c r="S135" s="1288"/>
      <c r="T135" s="1288"/>
      <c r="U135" s="670"/>
      <c r="V135" s="1288"/>
      <c r="W135" s="1288"/>
      <c r="X135" s="1288"/>
      <c r="Y135" s="1288"/>
      <c r="Z135" s="1288"/>
      <c r="AA135" s="1554"/>
      <c r="AB135" s="1554"/>
      <c r="AC135" s="1554"/>
      <c r="AD135" s="1554"/>
      <c r="AE135" s="1554"/>
      <c r="AF135" s="1557">
        <v>0</v>
      </c>
    </row>
    <row r="136" spans="1:32" s="1739" customFormat="1" ht="24" customHeight="1">
      <c r="A136" s="3827"/>
      <c r="B136" s="1288"/>
      <c r="C136" s="1564"/>
      <c r="D136" s="617" t="s">
        <v>90</v>
      </c>
      <c r="E136" s="480" t="str">
        <f>E116&amp;".19"</f>
        <v>7.19</v>
      </c>
      <c r="F136" s="474" t="s">
        <v>660</v>
      </c>
      <c r="G136" s="1989" t="s">
        <v>599</v>
      </c>
      <c r="H136" s="685"/>
      <c r="I136" s="685">
        <v>1.9</v>
      </c>
      <c r="J136" s="1447" t="s">
        <v>600</v>
      </c>
      <c r="K136" s="668"/>
      <c r="L136" s="1564"/>
      <c r="M136" s="1564"/>
      <c r="N136" s="1288"/>
      <c r="O136" s="1288"/>
      <c r="P136" s="1288"/>
      <c r="Q136" s="1288"/>
      <c r="R136" s="1564"/>
      <c r="S136" s="1288"/>
      <c r="T136" s="1288"/>
      <c r="U136" s="670"/>
      <c r="V136" s="1288"/>
      <c r="W136" s="1288"/>
      <c r="X136" s="1288"/>
      <c r="Y136" s="1288"/>
      <c r="Z136" s="1288"/>
      <c r="AA136" s="1554"/>
      <c r="AB136" s="1554"/>
      <c r="AC136" s="1554"/>
      <c r="AD136" s="1554"/>
      <c r="AE136" s="1554"/>
      <c r="AF136" s="1557">
        <v>0</v>
      </c>
    </row>
    <row r="137" spans="1:32" s="1739" customFormat="1" ht="24" customHeight="1">
      <c r="A137" s="3827"/>
      <c r="B137" s="1288"/>
      <c r="C137" s="1564"/>
      <c r="D137" s="617" t="s">
        <v>90</v>
      </c>
      <c r="E137" s="480" t="str">
        <f>E116&amp;".20"</f>
        <v>7.20</v>
      </c>
      <c r="F137" s="474" t="s">
        <v>661</v>
      </c>
      <c r="G137" s="1989" t="s">
        <v>599</v>
      </c>
      <c r="H137" s="685"/>
      <c r="I137" s="685">
        <v>21.7</v>
      </c>
      <c r="J137" s="1447" t="s">
        <v>600</v>
      </c>
      <c r="K137" s="668"/>
      <c r="L137" s="1564"/>
      <c r="M137" s="1564"/>
      <c r="N137" s="1288"/>
      <c r="O137" s="1288"/>
      <c r="P137" s="1288"/>
      <c r="Q137" s="1288"/>
      <c r="R137" s="1564"/>
      <c r="S137" s="1288"/>
      <c r="T137" s="1288"/>
      <c r="U137" s="670"/>
      <c r="V137" s="1288"/>
      <c r="W137" s="1288"/>
      <c r="X137" s="1288"/>
      <c r="Y137" s="1288"/>
      <c r="Z137" s="1288"/>
      <c r="AA137" s="1554"/>
      <c r="AB137" s="1554"/>
      <c r="AC137" s="1554"/>
      <c r="AD137" s="1554"/>
      <c r="AE137" s="1554"/>
      <c r="AF137" s="1557">
        <v>0</v>
      </c>
    </row>
    <row r="138" spans="1:32" s="1739" customFormat="1" ht="24" customHeight="1">
      <c r="A138" s="3827"/>
      <c r="B138" s="1288"/>
      <c r="C138" s="1564"/>
      <c r="D138" s="617" t="s">
        <v>90</v>
      </c>
      <c r="E138" s="480" t="str">
        <f>E116&amp;".21"</f>
        <v>7.21</v>
      </c>
      <c r="F138" s="474" t="s">
        <v>662</v>
      </c>
      <c r="G138" s="1989" t="s">
        <v>599</v>
      </c>
      <c r="H138" s="685"/>
      <c r="I138" s="685">
        <v>3</v>
      </c>
      <c r="J138" s="1447" t="s">
        <v>600</v>
      </c>
      <c r="K138" s="668"/>
      <c r="L138" s="1564"/>
      <c r="M138" s="1564"/>
      <c r="N138" s="1288"/>
      <c r="O138" s="1288"/>
      <c r="P138" s="1288"/>
      <c r="Q138" s="1288"/>
      <c r="R138" s="1564"/>
      <c r="S138" s="1288"/>
      <c r="T138" s="1288"/>
      <c r="U138" s="670"/>
      <c r="V138" s="1288"/>
      <c r="W138" s="1288"/>
      <c r="X138" s="1288"/>
      <c r="Y138" s="1288"/>
      <c r="Z138" s="1288"/>
      <c r="AA138" s="1554"/>
      <c r="AB138" s="1554"/>
      <c r="AC138" s="1554"/>
      <c r="AD138" s="1554"/>
      <c r="AE138" s="1554"/>
      <c r="AF138" s="1557">
        <v>0</v>
      </c>
    </row>
    <row r="139" spans="1:32" s="1739" customFormat="1" ht="24" customHeight="1">
      <c r="A139" s="3827"/>
      <c r="B139" s="1288"/>
      <c r="C139" s="1564"/>
      <c r="D139" s="617" t="s">
        <v>90</v>
      </c>
      <c r="E139" s="480" t="str">
        <f>E116&amp;".22"</f>
        <v>7.22</v>
      </c>
      <c r="F139" s="474" t="s">
        <v>663</v>
      </c>
      <c r="G139" s="1989" t="s">
        <v>599</v>
      </c>
      <c r="H139" s="685"/>
      <c r="I139" s="685">
        <v>10.4</v>
      </c>
      <c r="J139" s="1447" t="s">
        <v>600</v>
      </c>
      <c r="K139" s="668"/>
      <c r="L139" s="1564"/>
      <c r="M139" s="1564"/>
      <c r="N139" s="1288"/>
      <c r="O139" s="1288"/>
      <c r="P139" s="1288"/>
      <c r="Q139" s="1288"/>
      <c r="R139" s="1564"/>
      <c r="S139" s="1288"/>
      <c r="T139" s="1288"/>
      <c r="U139" s="670"/>
      <c r="V139" s="1288"/>
      <c r="W139" s="1288"/>
      <c r="X139" s="1288"/>
      <c r="Y139" s="1288"/>
      <c r="Z139" s="1288"/>
      <c r="AA139" s="1554"/>
      <c r="AB139" s="1554"/>
      <c r="AC139" s="1554"/>
      <c r="AD139" s="1554"/>
      <c r="AE139" s="1554"/>
      <c r="AF139" s="1557">
        <v>0</v>
      </c>
    </row>
    <row r="140" spans="1:32" s="1739" customFormat="1" ht="24" customHeight="1">
      <c r="A140" s="3827"/>
      <c r="B140" s="1288"/>
      <c r="C140" s="1564"/>
      <c r="D140" s="617" t="s">
        <v>90</v>
      </c>
      <c r="E140" s="480" t="str">
        <f>E116&amp;".23"</f>
        <v>7.23</v>
      </c>
      <c r="F140" s="474" t="s">
        <v>664</v>
      </c>
      <c r="G140" s="1989" t="s">
        <v>599</v>
      </c>
      <c r="H140" s="685"/>
      <c r="I140" s="685">
        <v>5.2</v>
      </c>
      <c r="J140" s="1447" t="s">
        <v>600</v>
      </c>
      <c r="K140" s="668"/>
      <c r="L140" s="1564"/>
      <c r="M140" s="1564"/>
      <c r="N140" s="1288"/>
      <c r="O140" s="1288"/>
      <c r="P140" s="1288"/>
      <c r="Q140" s="1288"/>
      <c r="R140" s="1564"/>
      <c r="S140" s="1288"/>
      <c r="T140" s="1288"/>
      <c r="U140" s="670"/>
      <c r="V140" s="1288"/>
      <c r="W140" s="1288"/>
      <c r="X140" s="1288"/>
      <c r="Y140" s="1288"/>
      <c r="Z140" s="1288"/>
      <c r="AA140" s="1554"/>
      <c r="AB140" s="1554"/>
      <c r="AC140" s="1554"/>
      <c r="AD140" s="1554"/>
      <c r="AE140" s="1554"/>
      <c r="AF140" s="1557">
        <v>0</v>
      </c>
    </row>
    <row r="141" spans="1:32" s="1739" customFormat="1" ht="24" customHeight="1">
      <c r="A141" s="3827"/>
      <c r="B141" s="1288"/>
      <c r="C141" s="1564"/>
      <c r="D141" s="617" t="s">
        <v>90</v>
      </c>
      <c r="E141" s="480" t="str">
        <f>E116&amp;".24"</f>
        <v>7.24</v>
      </c>
      <c r="F141" s="474" t="s">
        <v>665</v>
      </c>
      <c r="G141" s="1989" t="s">
        <v>599</v>
      </c>
      <c r="H141" s="685"/>
      <c r="I141" s="685">
        <v>5.0999999999999996</v>
      </c>
      <c r="J141" s="1447" t="s">
        <v>600</v>
      </c>
      <c r="K141" s="668"/>
      <c r="L141" s="1564"/>
      <c r="M141" s="1564"/>
      <c r="N141" s="1288"/>
      <c r="O141" s="1288"/>
      <c r="P141" s="1288"/>
      <c r="Q141" s="1288"/>
      <c r="R141" s="1564"/>
      <c r="S141" s="1288"/>
      <c r="T141" s="1288"/>
      <c r="U141" s="670"/>
      <c r="V141" s="1288"/>
      <c r="W141" s="1288"/>
      <c r="X141" s="1288"/>
      <c r="Y141" s="1288"/>
      <c r="Z141" s="1288"/>
      <c r="AA141" s="1554"/>
      <c r="AB141" s="1554"/>
      <c r="AC141" s="1554"/>
      <c r="AD141" s="1554"/>
      <c r="AE141" s="1554"/>
      <c r="AF141" s="1557">
        <v>0</v>
      </c>
    </row>
    <row r="142" spans="1:32" s="1739" customFormat="1" ht="24" customHeight="1">
      <c r="A142" s="3827"/>
      <c r="B142" s="1288"/>
      <c r="C142" s="1564"/>
      <c r="D142" s="617" t="s">
        <v>90</v>
      </c>
      <c r="E142" s="480" t="str">
        <f>E116&amp;".25"</f>
        <v>7.25</v>
      </c>
      <c r="F142" s="474" t="s">
        <v>666</v>
      </c>
      <c r="G142" s="1989" t="s">
        <v>599</v>
      </c>
      <c r="H142" s="685"/>
      <c r="I142" s="685">
        <v>8</v>
      </c>
      <c r="J142" s="1447" t="s">
        <v>600</v>
      </c>
      <c r="K142" s="668"/>
      <c r="L142" s="1564"/>
      <c r="M142" s="1564"/>
      <c r="N142" s="1288"/>
      <c r="O142" s="1288"/>
      <c r="P142" s="1288"/>
      <c r="Q142" s="1288"/>
      <c r="R142" s="1564"/>
      <c r="S142" s="1288"/>
      <c r="T142" s="1288"/>
      <c r="U142" s="670"/>
      <c r="V142" s="1288"/>
      <c r="W142" s="1288"/>
      <c r="X142" s="1288"/>
      <c r="Y142" s="1288"/>
      <c r="Z142" s="1288"/>
      <c r="AA142" s="1554"/>
      <c r="AB142" s="1554"/>
      <c r="AC142" s="1554"/>
      <c r="AD142" s="1554"/>
      <c r="AE142" s="1554"/>
      <c r="AF142" s="1557">
        <v>0</v>
      </c>
    </row>
    <row r="143" spans="1:32" s="1739" customFormat="1" ht="35.25" customHeight="1">
      <c r="A143" s="3827"/>
      <c r="B143" s="1288"/>
      <c r="C143" s="1564"/>
      <c r="D143" s="617" t="s">
        <v>90</v>
      </c>
      <c r="E143" s="480" t="str">
        <f>E116&amp;".26"</f>
        <v>7.26</v>
      </c>
      <c r="F143" s="474" t="s">
        <v>667</v>
      </c>
      <c r="G143" s="1989" t="s">
        <v>599</v>
      </c>
      <c r="H143" s="685"/>
      <c r="I143" s="685">
        <v>2.8</v>
      </c>
      <c r="J143" s="1447" t="s">
        <v>600</v>
      </c>
      <c r="K143" s="668"/>
      <c r="L143" s="1564"/>
      <c r="M143" s="1564"/>
      <c r="N143" s="1288"/>
      <c r="O143" s="1288"/>
      <c r="P143" s="1288"/>
      <c r="Q143" s="1288"/>
      <c r="R143" s="1564"/>
      <c r="S143" s="1288"/>
      <c r="T143" s="1288"/>
      <c r="U143" s="670"/>
      <c r="V143" s="1288"/>
      <c r="W143" s="1288"/>
      <c r="X143" s="1288"/>
      <c r="Y143" s="1288"/>
      <c r="Z143" s="1288"/>
      <c r="AA143" s="1554"/>
      <c r="AB143" s="1554"/>
      <c r="AC143" s="1554"/>
      <c r="AD143" s="1554"/>
      <c r="AE143" s="1554"/>
      <c r="AF143" s="1557">
        <v>0</v>
      </c>
    </row>
    <row r="144" spans="1:32" s="1739" customFormat="1" ht="24" customHeight="1">
      <c r="A144" s="3827"/>
      <c r="B144" s="1288"/>
      <c r="C144" s="1564"/>
      <c r="D144" s="617" t="s">
        <v>90</v>
      </c>
      <c r="E144" s="480" t="str">
        <f>E116&amp;".27"</f>
        <v>7.27</v>
      </c>
      <c r="F144" s="474" t="s">
        <v>668</v>
      </c>
      <c r="G144" s="1989" t="s">
        <v>599</v>
      </c>
      <c r="H144" s="685"/>
      <c r="I144" s="685">
        <v>8</v>
      </c>
      <c r="J144" s="1447" t="s">
        <v>600</v>
      </c>
      <c r="K144" s="668"/>
      <c r="L144" s="1564"/>
      <c r="M144" s="1564"/>
      <c r="N144" s="1288"/>
      <c r="O144" s="1288"/>
      <c r="P144" s="1288"/>
      <c r="Q144" s="1288"/>
      <c r="R144" s="1564"/>
      <c r="S144" s="1288"/>
      <c r="T144" s="1288"/>
      <c r="U144" s="670"/>
      <c r="V144" s="1288"/>
      <c r="W144" s="1288"/>
      <c r="X144" s="1288"/>
      <c r="Y144" s="1288"/>
      <c r="Z144" s="1288"/>
      <c r="AA144" s="1554"/>
      <c r="AB144" s="1554"/>
      <c r="AC144" s="1554"/>
      <c r="AD144" s="1554"/>
      <c r="AE144" s="1554"/>
      <c r="AF144" s="1557">
        <v>0</v>
      </c>
    </row>
    <row r="145" spans="1:32" s="1739" customFormat="1" ht="35.25" customHeight="1">
      <c r="A145" s="3827"/>
      <c r="B145" s="1288"/>
      <c r="C145" s="1564"/>
      <c r="D145" s="617" t="s">
        <v>90</v>
      </c>
      <c r="E145" s="480" t="str">
        <f>E116&amp;".28"</f>
        <v>7.28</v>
      </c>
      <c r="F145" s="474" t="s">
        <v>669</v>
      </c>
      <c r="G145" s="1989" t="s">
        <v>599</v>
      </c>
      <c r="H145" s="685"/>
      <c r="I145" s="685">
        <v>2.1</v>
      </c>
      <c r="J145" s="1447" t="s">
        <v>600</v>
      </c>
      <c r="K145" s="668"/>
      <c r="L145" s="1564"/>
      <c r="M145" s="1564"/>
      <c r="N145" s="1288"/>
      <c r="O145" s="1288"/>
      <c r="P145" s="1288"/>
      <c r="Q145" s="1288"/>
      <c r="R145" s="1564"/>
      <c r="S145" s="1288"/>
      <c r="T145" s="1288"/>
      <c r="U145" s="670"/>
      <c r="V145" s="1288"/>
      <c r="W145" s="1288"/>
      <c r="X145" s="1288"/>
      <c r="Y145" s="1288"/>
      <c r="Z145" s="1288"/>
      <c r="AA145" s="1554"/>
      <c r="AB145" s="1554"/>
      <c r="AC145" s="1554"/>
      <c r="AD145" s="1554"/>
      <c r="AE145" s="1554"/>
      <c r="AF145" s="1557">
        <v>0</v>
      </c>
    </row>
    <row r="146" spans="1:32" s="1739" customFormat="1" ht="24" customHeight="1">
      <c r="A146" s="3827"/>
      <c r="B146" s="1288"/>
      <c r="C146" s="1564"/>
      <c r="D146" s="617" t="s">
        <v>90</v>
      </c>
      <c r="E146" s="480" t="str">
        <f>E116&amp;".29"</f>
        <v>7.29</v>
      </c>
      <c r="F146" s="474" t="s">
        <v>670</v>
      </c>
      <c r="G146" s="1989" t="s">
        <v>599</v>
      </c>
      <c r="H146" s="685"/>
      <c r="I146" s="685">
        <v>13</v>
      </c>
      <c r="J146" s="1447" t="s">
        <v>600</v>
      </c>
      <c r="K146" s="668"/>
      <c r="L146" s="1564"/>
      <c r="M146" s="1564"/>
      <c r="N146" s="1288"/>
      <c r="O146" s="1288"/>
      <c r="P146" s="1288"/>
      <c r="Q146" s="1288"/>
      <c r="R146" s="1564"/>
      <c r="S146" s="1288"/>
      <c r="T146" s="1288"/>
      <c r="U146" s="670"/>
      <c r="V146" s="1288"/>
      <c r="W146" s="1288"/>
      <c r="X146" s="1288"/>
      <c r="Y146" s="1288"/>
      <c r="Z146" s="1288"/>
      <c r="AA146" s="1554"/>
      <c r="AB146" s="1554"/>
      <c r="AC146" s="1554"/>
      <c r="AD146" s="1554"/>
      <c r="AE146" s="1554"/>
      <c r="AF146" s="1557">
        <v>0</v>
      </c>
    </row>
    <row r="147" spans="1:32" s="1739" customFormat="1" ht="24" customHeight="1">
      <c r="A147" s="3827"/>
      <c r="B147" s="1288"/>
      <c r="C147" s="1564"/>
      <c r="D147" s="617" t="s">
        <v>90</v>
      </c>
      <c r="E147" s="480" t="str">
        <f>E116&amp;".30"</f>
        <v>7.30</v>
      </c>
      <c r="F147" s="474" t="s">
        <v>671</v>
      </c>
      <c r="G147" s="1989" t="s">
        <v>599</v>
      </c>
      <c r="H147" s="685"/>
      <c r="I147" s="685">
        <v>0.3</v>
      </c>
      <c r="J147" s="1447" t="s">
        <v>600</v>
      </c>
      <c r="K147" s="668"/>
      <c r="L147" s="1564"/>
      <c r="M147" s="1564"/>
      <c r="N147" s="1288"/>
      <c r="O147" s="1288"/>
      <c r="P147" s="1288"/>
      <c r="Q147" s="1288"/>
      <c r="R147" s="1564"/>
      <c r="S147" s="1288"/>
      <c r="T147" s="1288"/>
      <c r="U147" s="670"/>
      <c r="V147" s="1288"/>
      <c r="W147" s="1288"/>
      <c r="X147" s="1288"/>
      <c r="Y147" s="1288"/>
      <c r="Z147" s="1288"/>
      <c r="AA147" s="1554"/>
      <c r="AB147" s="1554"/>
      <c r="AC147" s="1554"/>
      <c r="AD147" s="1554"/>
      <c r="AE147" s="1554"/>
      <c r="AF147" s="1557">
        <v>0</v>
      </c>
    </row>
    <row r="148" spans="1:32" s="1739" customFormat="1" ht="24" customHeight="1">
      <c r="A148" s="3827"/>
      <c r="B148" s="1288"/>
      <c r="C148" s="1564"/>
      <c r="D148" s="617" t="s">
        <v>90</v>
      </c>
      <c r="E148" s="480" t="str">
        <f>E116&amp;".31"</f>
        <v>7.31</v>
      </c>
      <c r="F148" s="474" t="s">
        <v>672</v>
      </c>
      <c r="G148" s="1989" t="s">
        <v>599</v>
      </c>
      <c r="H148" s="685"/>
      <c r="I148" s="685">
        <v>0.5</v>
      </c>
      <c r="J148" s="1447" t="s">
        <v>600</v>
      </c>
      <c r="K148" s="668"/>
      <c r="L148" s="1564"/>
      <c r="M148" s="1564"/>
      <c r="N148" s="1288"/>
      <c r="O148" s="1288"/>
      <c r="P148" s="1288"/>
      <c r="Q148" s="1288"/>
      <c r="R148" s="1564"/>
      <c r="S148" s="1288"/>
      <c r="T148" s="1288"/>
      <c r="U148" s="670"/>
      <c r="V148" s="1288"/>
      <c r="W148" s="1288"/>
      <c r="X148" s="1288"/>
      <c r="Y148" s="1288"/>
      <c r="Z148" s="1288"/>
      <c r="AA148" s="1554"/>
      <c r="AB148" s="1554"/>
      <c r="AC148" s="1554"/>
      <c r="AD148" s="1554"/>
      <c r="AE148" s="1554"/>
      <c r="AF148" s="1557">
        <v>0</v>
      </c>
    </row>
    <row r="149" spans="1:32" s="1739" customFormat="1" ht="24" customHeight="1">
      <c r="A149" s="3827"/>
      <c r="B149" s="1288"/>
      <c r="C149" s="1564"/>
      <c r="D149" s="617" t="s">
        <v>90</v>
      </c>
      <c r="E149" s="480" t="str">
        <f>E116&amp;".32"</f>
        <v>7.32</v>
      </c>
      <c r="F149" s="474" t="s">
        <v>673</v>
      </c>
      <c r="G149" s="1989" t="s">
        <v>599</v>
      </c>
      <c r="H149" s="685"/>
      <c r="I149" s="685">
        <v>20.6</v>
      </c>
      <c r="J149" s="1447" t="s">
        <v>600</v>
      </c>
      <c r="K149" s="668"/>
      <c r="L149" s="1564"/>
      <c r="M149" s="1564"/>
      <c r="N149" s="1288"/>
      <c r="O149" s="1288"/>
      <c r="P149" s="1288"/>
      <c r="Q149" s="1288"/>
      <c r="R149" s="1564"/>
      <c r="S149" s="1288"/>
      <c r="T149" s="1288"/>
      <c r="U149" s="670"/>
      <c r="V149" s="1288"/>
      <c r="W149" s="1288"/>
      <c r="X149" s="1288"/>
      <c r="Y149" s="1288"/>
      <c r="Z149" s="1288"/>
      <c r="AA149" s="1554"/>
      <c r="AB149" s="1554"/>
      <c r="AC149" s="1554"/>
      <c r="AD149" s="1554"/>
      <c r="AE149" s="1554"/>
      <c r="AF149" s="1557">
        <v>0</v>
      </c>
    </row>
    <row r="150" spans="1:32" s="1739" customFormat="1" ht="24" customHeight="1">
      <c r="A150" s="3827"/>
      <c r="B150" s="1288"/>
      <c r="C150" s="1564"/>
      <c r="D150" s="617" t="s">
        <v>90</v>
      </c>
      <c r="E150" s="480" t="str">
        <f>E116&amp;".33"</f>
        <v>7.33</v>
      </c>
      <c r="F150" s="474" t="s">
        <v>674</v>
      </c>
      <c r="G150" s="1989" t="s">
        <v>599</v>
      </c>
      <c r="H150" s="685"/>
      <c r="I150" s="685">
        <v>5</v>
      </c>
      <c r="J150" s="1447" t="s">
        <v>600</v>
      </c>
      <c r="K150" s="668"/>
      <c r="L150" s="1564"/>
      <c r="M150" s="1564"/>
      <c r="N150" s="1288"/>
      <c r="O150" s="1288"/>
      <c r="P150" s="1288"/>
      <c r="Q150" s="1288"/>
      <c r="R150" s="1564"/>
      <c r="S150" s="1288"/>
      <c r="T150" s="1288"/>
      <c r="U150" s="670"/>
      <c r="V150" s="1288"/>
      <c r="W150" s="1288"/>
      <c r="X150" s="1288"/>
      <c r="Y150" s="1288"/>
      <c r="Z150" s="1288"/>
      <c r="AA150" s="1554"/>
      <c r="AB150" s="1554"/>
      <c r="AC150" s="1554"/>
      <c r="AD150" s="1554"/>
      <c r="AE150" s="1554"/>
      <c r="AF150" s="1557">
        <v>0</v>
      </c>
    </row>
    <row r="151" spans="1:32" s="1739" customFormat="1" ht="24" customHeight="1">
      <c r="A151" s="3827"/>
      <c r="B151" s="1288"/>
      <c r="C151" s="1564"/>
      <c r="D151" s="617" t="s">
        <v>90</v>
      </c>
      <c r="E151" s="480" t="str">
        <f>E116&amp;".34"</f>
        <v>7.34</v>
      </c>
      <c r="F151" s="474" t="s">
        <v>675</v>
      </c>
      <c r="G151" s="1989" t="s">
        <v>599</v>
      </c>
      <c r="H151" s="685"/>
      <c r="I151" s="685">
        <v>5.3</v>
      </c>
      <c r="J151" s="1447" t="s">
        <v>600</v>
      </c>
      <c r="K151" s="668"/>
      <c r="L151" s="1564"/>
      <c r="M151" s="1564"/>
      <c r="N151" s="1288"/>
      <c r="O151" s="1288"/>
      <c r="P151" s="1288"/>
      <c r="Q151" s="1288"/>
      <c r="R151" s="1564"/>
      <c r="S151" s="1288"/>
      <c r="T151" s="1288"/>
      <c r="U151" s="670"/>
      <c r="V151" s="1288"/>
      <c r="W151" s="1288"/>
      <c r="X151" s="1288"/>
      <c r="Y151" s="1288"/>
      <c r="Z151" s="1288"/>
      <c r="AA151" s="1554"/>
      <c r="AB151" s="1554"/>
      <c r="AC151" s="1554"/>
      <c r="AD151" s="1554"/>
      <c r="AE151" s="1554"/>
      <c r="AF151" s="1557">
        <v>0</v>
      </c>
    </row>
    <row r="152" spans="1:32" s="1739" customFormat="1" ht="24" customHeight="1">
      <c r="A152" s="3827"/>
      <c r="B152" s="1288"/>
      <c r="C152" s="1564"/>
      <c r="D152" s="617" t="s">
        <v>90</v>
      </c>
      <c r="E152" s="480" t="str">
        <f>E116&amp;".35"</f>
        <v>7.35</v>
      </c>
      <c r="F152" s="474" t="s">
        <v>676</v>
      </c>
      <c r="G152" s="1989" t="s">
        <v>599</v>
      </c>
      <c r="H152" s="685"/>
      <c r="I152" s="685">
        <v>1.5</v>
      </c>
      <c r="J152" s="1447" t="s">
        <v>600</v>
      </c>
      <c r="K152" s="668"/>
      <c r="L152" s="1564"/>
      <c r="M152" s="1564"/>
      <c r="N152" s="1288"/>
      <c r="O152" s="1288"/>
      <c r="P152" s="1288"/>
      <c r="Q152" s="1288"/>
      <c r="R152" s="1564"/>
      <c r="S152" s="1288"/>
      <c r="T152" s="1288"/>
      <c r="U152" s="670"/>
      <c r="V152" s="1288"/>
      <c r="W152" s="1288"/>
      <c r="X152" s="1288"/>
      <c r="Y152" s="1288"/>
      <c r="Z152" s="1288"/>
      <c r="AA152" s="1554"/>
      <c r="AB152" s="1554"/>
      <c r="AC152" s="1554"/>
      <c r="AD152" s="1554"/>
      <c r="AE152" s="1554"/>
      <c r="AF152" s="1557">
        <v>0</v>
      </c>
    </row>
    <row r="153" spans="1:32" s="1739" customFormat="1" ht="24" customHeight="1">
      <c r="A153" s="3827"/>
      <c r="B153" s="1288"/>
      <c r="C153" s="1564"/>
      <c r="D153" s="617" t="s">
        <v>90</v>
      </c>
      <c r="E153" s="480" t="str">
        <f>E116&amp;".36"</f>
        <v>7.36</v>
      </c>
      <c r="F153" s="474" t="s">
        <v>677</v>
      </c>
      <c r="G153" s="1989" t="s">
        <v>599</v>
      </c>
      <c r="H153" s="685"/>
      <c r="I153" s="685">
        <v>9</v>
      </c>
      <c r="J153" s="1447" t="s">
        <v>600</v>
      </c>
      <c r="K153" s="668"/>
      <c r="L153" s="1564"/>
      <c r="M153" s="1564"/>
      <c r="N153" s="1288"/>
      <c r="O153" s="1288"/>
      <c r="P153" s="1288"/>
      <c r="Q153" s="1288"/>
      <c r="R153" s="1564"/>
      <c r="S153" s="1288"/>
      <c r="T153" s="1288"/>
      <c r="U153" s="670"/>
      <c r="V153" s="1288"/>
      <c r="W153" s="1288"/>
      <c r="X153" s="1288"/>
      <c r="Y153" s="1288"/>
      <c r="Z153" s="1288"/>
      <c r="AA153" s="1554"/>
      <c r="AB153" s="1554"/>
      <c r="AC153" s="1554"/>
      <c r="AD153" s="1554"/>
      <c r="AE153" s="1554"/>
      <c r="AF153" s="1557">
        <v>0</v>
      </c>
    </row>
    <row r="154" spans="1:32" s="1739" customFormat="1" ht="24" customHeight="1">
      <c r="A154" s="3827"/>
      <c r="B154" s="1288"/>
      <c r="C154" s="1564"/>
      <c r="D154" s="617" t="s">
        <v>90</v>
      </c>
      <c r="E154" s="480" t="str">
        <f>E116&amp;".37"</f>
        <v>7.37</v>
      </c>
      <c r="F154" s="474" t="s">
        <v>678</v>
      </c>
      <c r="G154" s="1989" t="s">
        <v>599</v>
      </c>
      <c r="H154" s="685"/>
      <c r="I154" s="685">
        <v>6.3</v>
      </c>
      <c r="J154" s="1447" t="s">
        <v>600</v>
      </c>
      <c r="K154" s="668"/>
      <c r="L154" s="1564"/>
      <c r="M154" s="1564"/>
      <c r="N154" s="1288"/>
      <c r="O154" s="1288"/>
      <c r="P154" s="1288"/>
      <c r="Q154" s="1288"/>
      <c r="R154" s="1564"/>
      <c r="S154" s="1288"/>
      <c r="T154" s="1288"/>
      <c r="U154" s="670"/>
      <c r="V154" s="1288"/>
      <c r="W154" s="1288"/>
      <c r="X154" s="1288"/>
      <c r="Y154" s="1288"/>
      <c r="Z154" s="1288"/>
      <c r="AA154" s="1554"/>
      <c r="AB154" s="1554"/>
      <c r="AC154" s="1554"/>
      <c r="AD154" s="1554"/>
      <c r="AE154" s="1554"/>
      <c r="AF154" s="1557">
        <v>0</v>
      </c>
    </row>
    <row r="155" spans="1:32" s="1739" customFormat="1" ht="18.75" customHeight="1">
      <c r="A155" s="3827"/>
      <c r="B155" s="1288"/>
      <c r="C155" s="1564"/>
      <c r="D155" s="617" t="s">
        <v>90</v>
      </c>
      <c r="E155" s="480" t="str">
        <f>E116&amp;".38"</f>
        <v>7.38</v>
      </c>
      <c r="F155" s="474" t="s">
        <v>679</v>
      </c>
      <c r="G155" s="1989" t="s">
        <v>599</v>
      </c>
      <c r="H155" s="685"/>
      <c r="I155" s="685">
        <v>4</v>
      </c>
      <c r="J155" s="1447" t="s">
        <v>600</v>
      </c>
      <c r="K155" s="668"/>
      <c r="L155" s="1564"/>
      <c r="M155" s="1564"/>
      <c r="N155" s="1288"/>
      <c r="O155" s="1288"/>
      <c r="P155" s="1288"/>
      <c r="Q155" s="1288"/>
      <c r="R155" s="1564"/>
      <c r="S155" s="1288"/>
      <c r="T155" s="1288"/>
      <c r="U155" s="670"/>
      <c r="V155" s="1288"/>
      <c r="W155" s="1288"/>
      <c r="X155" s="1288"/>
      <c r="Y155" s="1288"/>
      <c r="Z155" s="1288"/>
      <c r="AA155" s="1554"/>
      <c r="AB155" s="1554"/>
      <c r="AC155" s="1554"/>
      <c r="AD155" s="1554"/>
      <c r="AE155" s="1554"/>
      <c r="AF155" s="1557">
        <v>0</v>
      </c>
    </row>
    <row r="156" spans="1:32" s="1739" customFormat="1" ht="30" customHeight="1">
      <c r="A156" s="3827"/>
      <c r="B156" s="1288"/>
      <c r="C156" s="1564"/>
      <c r="D156" s="617" t="s">
        <v>90</v>
      </c>
      <c r="E156" s="480" t="str">
        <f>E116&amp;".39"</f>
        <v>7.39</v>
      </c>
      <c r="F156" s="474" t="s">
        <v>680</v>
      </c>
      <c r="G156" s="1989" t="s">
        <v>599</v>
      </c>
      <c r="H156" s="685"/>
      <c r="I156" s="685">
        <v>4</v>
      </c>
      <c r="J156" s="1447" t="s">
        <v>600</v>
      </c>
      <c r="K156" s="668"/>
      <c r="L156" s="1564"/>
      <c r="M156" s="1564"/>
      <c r="N156" s="1288"/>
      <c r="O156" s="1288"/>
      <c r="P156" s="1288"/>
      <c r="Q156" s="1288"/>
      <c r="R156" s="1564"/>
      <c r="S156" s="1288"/>
      <c r="T156" s="1288"/>
      <c r="U156" s="670"/>
      <c r="V156" s="1288"/>
      <c r="W156" s="1288"/>
      <c r="X156" s="1288"/>
      <c r="Y156" s="1288"/>
      <c r="Z156" s="1288"/>
      <c r="AA156" s="1554"/>
      <c r="AB156" s="1554"/>
      <c r="AC156" s="1554"/>
      <c r="AD156" s="1554"/>
      <c r="AE156" s="1554"/>
      <c r="AF156" s="1557">
        <v>0</v>
      </c>
    </row>
    <row r="157" spans="1:32" s="1739" customFormat="1" ht="18.75" customHeight="1">
      <c r="A157" s="3827"/>
      <c r="B157" s="1288"/>
      <c r="C157" s="1564"/>
      <c r="D157" s="617" t="s">
        <v>90</v>
      </c>
      <c r="E157" s="480" t="str">
        <f>E116&amp;".40"</f>
        <v>7.40</v>
      </c>
      <c r="F157" s="474" t="s">
        <v>681</v>
      </c>
      <c r="G157" s="1989" t="s">
        <v>599</v>
      </c>
      <c r="H157" s="685"/>
      <c r="I157" s="685">
        <v>0.3</v>
      </c>
      <c r="J157" s="1447" t="s">
        <v>600</v>
      </c>
      <c r="K157" s="668"/>
      <c r="L157" s="1564"/>
      <c r="M157" s="1564"/>
      <c r="N157" s="1288"/>
      <c r="O157" s="1288"/>
      <c r="P157" s="1288"/>
      <c r="Q157" s="1288"/>
      <c r="R157" s="1564"/>
      <c r="S157" s="1288"/>
      <c r="T157" s="1288"/>
      <c r="U157" s="670"/>
      <c r="V157" s="1288"/>
      <c r="W157" s="1288"/>
      <c r="X157" s="1288"/>
      <c r="Y157" s="1288"/>
      <c r="Z157" s="1288"/>
      <c r="AA157" s="1554"/>
      <c r="AB157" s="1554"/>
      <c r="AC157" s="1554"/>
      <c r="AD157" s="1554"/>
      <c r="AE157" s="1554"/>
      <c r="AF157" s="1557">
        <v>0</v>
      </c>
    </row>
    <row r="158" spans="1:32" s="1739" customFormat="1" ht="18.75" customHeight="1">
      <c r="A158" s="3827"/>
      <c r="B158" s="1288"/>
      <c r="C158" s="1564"/>
      <c r="D158" s="617" t="s">
        <v>90</v>
      </c>
      <c r="E158" s="480" t="str">
        <f>E116&amp;".41"</f>
        <v>7.41</v>
      </c>
      <c r="F158" s="474" t="s">
        <v>682</v>
      </c>
      <c r="G158" s="1989" t="s">
        <v>599</v>
      </c>
      <c r="H158" s="685"/>
      <c r="I158" s="685">
        <v>2</v>
      </c>
      <c r="J158" s="1447" t="s">
        <v>600</v>
      </c>
      <c r="K158" s="668"/>
      <c r="L158" s="1564"/>
      <c r="M158" s="1564"/>
      <c r="N158" s="1288"/>
      <c r="O158" s="1288"/>
      <c r="P158" s="1288"/>
      <c r="Q158" s="1288"/>
      <c r="R158" s="1564"/>
      <c r="S158" s="1288"/>
      <c r="T158" s="1288"/>
      <c r="U158" s="670"/>
      <c r="V158" s="1288"/>
      <c r="W158" s="1288"/>
      <c r="X158" s="1288"/>
      <c r="Y158" s="1288"/>
      <c r="Z158" s="1288"/>
      <c r="AA158" s="1554"/>
      <c r="AB158" s="1554"/>
      <c r="AC158" s="1554"/>
      <c r="AD158" s="1554"/>
      <c r="AE158" s="1554"/>
      <c r="AF158" s="1557">
        <v>0</v>
      </c>
    </row>
    <row r="159" spans="1:32" s="1739" customFormat="1" ht="31.5" customHeight="1">
      <c r="A159" s="3827"/>
      <c r="B159" s="1288"/>
      <c r="C159" s="1564"/>
      <c r="D159" s="617" t="s">
        <v>90</v>
      </c>
      <c r="E159" s="480" t="str">
        <f>E116&amp;".42"</f>
        <v>7.42</v>
      </c>
      <c r="F159" s="474" t="s">
        <v>683</v>
      </c>
      <c r="G159" s="1989" t="s">
        <v>599</v>
      </c>
      <c r="H159" s="685"/>
      <c r="I159" s="685">
        <v>1.6</v>
      </c>
      <c r="J159" s="1447" t="s">
        <v>600</v>
      </c>
      <c r="K159" s="668"/>
      <c r="L159" s="1564"/>
      <c r="M159" s="1564"/>
      <c r="N159" s="1288"/>
      <c r="O159" s="1288"/>
      <c r="P159" s="1288"/>
      <c r="Q159" s="1288"/>
      <c r="R159" s="1564"/>
      <c r="S159" s="1288"/>
      <c r="T159" s="1288"/>
      <c r="U159" s="670"/>
      <c r="V159" s="1288"/>
      <c r="W159" s="1288"/>
      <c r="X159" s="1288"/>
      <c r="Y159" s="1288"/>
      <c r="Z159" s="1288"/>
      <c r="AA159" s="1554"/>
      <c r="AB159" s="1554"/>
      <c r="AC159" s="1554"/>
      <c r="AD159" s="1554"/>
      <c r="AE159" s="1554"/>
      <c r="AF159" s="1557">
        <v>0</v>
      </c>
    </row>
    <row r="160" spans="1:32" s="1739" customFormat="1" ht="18.75" customHeight="1">
      <c r="A160" s="3827"/>
      <c r="B160" s="1288"/>
      <c r="C160" s="1564"/>
      <c r="D160" s="617" t="s">
        <v>90</v>
      </c>
      <c r="E160" s="480" t="str">
        <f>E116&amp;".43"</f>
        <v>7.43</v>
      </c>
      <c r="F160" s="474" t="s">
        <v>684</v>
      </c>
      <c r="G160" s="1989" t="s">
        <v>599</v>
      </c>
      <c r="H160" s="685"/>
      <c r="I160" s="685">
        <v>3</v>
      </c>
      <c r="J160" s="1447" t="s">
        <v>600</v>
      </c>
      <c r="K160" s="668"/>
      <c r="L160" s="1564"/>
      <c r="M160" s="1564"/>
      <c r="N160" s="1288"/>
      <c r="O160" s="1288"/>
      <c r="P160" s="1288"/>
      <c r="Q160" s="1288"/>
      <c r="R160" s="1564"/>
      <c r="S160" s="1288"/>
      <c r="T160" s="1288"/>
      <c r="U160" s="670"/>
      <c r="V160" s="1288"/>
      <c r="W160" s="1288"/>
      <c r="X160" s="1288"/>
      <c r="Y160" s="1288"/>
      <c r="Z160" s="1288"/>
      <c r="AA160" s="1554"/>
      <c r="AB160" s="1554"/>
      <c r="AC160" s="1554"/>
      <c r="AD160" s="1554"/>
      <c r="AE160" s="1554"/>
      <c r="AF160" s="1557">
        <v>0</v>
      </c>
    </row>
    <row r="161" spans="1:32" s="1739" customFormat="1" ht="18.75" customHeight="1">
      <c r="A161" s="3827"/>
      <c r="B161" s="1288"/>
      <c r="C161" s="1564"/>
      <c r="D161" s="617" t="s">
        <v>90</v>
      </c>
      <c r="E161" s="480" t="str">
        <f>E116&amp;".44"</f>
        <v>7.44</v>
      </c>
      <c r="F161" s="474" t="s">
        <v>685</v>
      </c>
      <c r="G161" s="1989" t="s">
        <v>599</v>
      </c>
      <c r="H161" s="685"/>
      <c r="I161" s="685">
        <v>2.6</v>
      </c>
      <c r="J161" s="1447" t="s">
        <v>600</v>
      </c>
      <c r="K161" s="668"/>
      <c r="L161" s="1564"/>
      <c r="M161" s="1564"/>
      <c r="N161" s="1288"/>
      <c r="O161" s="1288"/>
      <c r="P161" s="1288"/>
      <c r="Q161" s="1288"/>
      <c r="R161" s="1564"/>
      <c r="S161" s="1288"/>
      <c r="T161" s="1288"/>
      <c r="U161" s="670"/>
      <c r="V161" s="1288"/>
      <c r="W161" s="1288"/>
      <c r="X161" s="1288"/>
      <c r="Y161" s="1288"/>
      <c r="Z161" s="1288"/>
      <c r="AA161" s="1554"/>
      <c r="AB161" s="1554"/>
      <c r="AC161" s="1554"/>
      <c r="AD161" s="1554"/>
      <c r="AE161" s="1554"/>
      <c r="AF161" s="1557">
        <v>0</v>
      </c>
    </row>
    <row r="162" spans="1:32" s="1739" customFormat="1" ht="18.75" customHeight="1">
      <c r="A162" s="3827"/>
      <c r="B162" s="1288"/>
      <c r="C162" s="1564"/>
      <c r="D162" s="617" t="s">
        <v>90</v>
      </c>
      <c r="E162" s="480" t="str">
        <f>E116&amp;".45"</f>
        <v>7.45</v>
      </c>
      <c r="F162" s="474" t="s">
        <v>686</v>
      </c>
      <c r="G162" s="1989" t="s">
        <v>599</v>
      </c>
      <c r="H162" s="685"/>
      <c r="I162" s="685">
        <v>0.9</v>
      </c>
      <c r="J162" s="1447" t="s">
        <v>600</v>
      </c>
      <c r="K162" s="668"/>
      <c r="L162" s="1564"/>
      <c r="M162" s="1564"/>
      <c r="N162" s="1288"/>
      <c r="O162" s="1288"/>
      <c r="P162" s="1288"/>
      <c r="Q162" s="1288"/>
      <c r="R162" s="1564"/>
      <c r="S162" s="1288"/>
      <c r="T162" s="1288"/>
      <c r="U162" s="670"/>
      <c r="V162" s="1288"/>
      <c r="W162" s="1288"/>
      <c r="X162" s="1288"/>
      <c r="Y162" s="1288"/>
      <c r="Z162" s="1288"/>
      <c r="AA162" s="1554"/>
      <c r="AB162" s="1554"/>
      <c r="AC162" s="1554"/>
      <c r="AD162" s="1554"/>
      <c r="AE162" s="1554"/>
      <c r="AF162" s="1557">
        <v>0</v>
      </c>
    </row>
    <row r="163" spans="1:32" s="1739" customFormat="1" ht="18.75" customHeight="1">
      <c r="A163" s="3827"/>
      <c r="B163" s="1288"/>
      <c r="C163" s="1564"/>
      <c r="D163" s="617" t="s">
        <v>90</v>
      </c>
      <c r="E163" s="480" t="str">
        <f>E116&amp;".46"</f>
        <v>7.46</v>
      </c>
      <c r="F163" s="474" t="s">
        <v>687</v>
      </c>
      <c r="G163" s="1989" t="s">
        <v>599</v>
      </c>
      <c r="H163" s="685"/>
      <c r="I163" s="685">
        <v>1.4</v>
      </c>
      <c r="J163" s="1447" t="s">
        <v>600</v>
      </c>
      <c r="K163" s="668"/>
      <c r="L163" s="1564"/>
      <c r="M163" s="1564"/>
      <c r="N163" s="1288"/>
      <c r="O163" s="1288"/>
      <c r="P163" s="1288"/>
      <c r="Q163" s="1288"/>
      <c r="R163" s="1564"/>
      <c r="S163" s="1288"/>
      <c r="T163" s="1288"/>
      <c r="U163" s="670"/>
      <c r="V163" s="1288"/>
      <c r="W163" s="1288"/>
      <c r="X163" s="1288"/>
      <c r="Y163" s="1288"/>
      <c r="Z163" s="1288"/>
      <c r="AA163" s="1554"/>
      <c r="AB163" s="1554"/>
      <c r="AC163" s="1554"/>
      <c r="AD163" s="1554"/>
      <c r="AE163" s="1554"/>
      <c r="AF163" s="1557">
        <v>0</v>
      </c>
    </row>
    <row r="164" spans="1:32" s="1739" customFormat="1" ht="18.75" customHeight="1">
      <c r="A164" s="3827"/>
      <c r="B164" s="1288"/>
      <c r="C164" s="1564"/>
      <c r="D164" s="617" t="s">
        <v>90</v>
      </c>
      <c r="E164" s="480" t="str">
        <f>E116&amp;".47"</f>
        <v>7.47</v>
      </c>
      <c r="F164" s="474" t="s">
        <v>688</v>
      </c>
      <c r="G164" s="1989" t="s">
        <v>599</v>
      </c>
      <c r="H164" s="685"/>
      <c r="I164" s="685">
        <v>0.5</v>
      </c>
      <c r="J164" s="1447" t="s">
        <v>600</v>
      </c>
      <c r="K164" s="668"/>
      <c r="L164" s="1564"/>
      <c r="M164" s="1564"/>
      <c r="N164" s="1288"/>
      <c r="O164" s="1288"/>
      <c r="P164" s="1288"/>
      <c r="Q164" s="1288"/>
      <c r="R164" s="1564"/>
      <c r="S164" s="1288"/>
      <c r="T164" s="1288"/>
      <c r="U164" s="670"/>
      <c r="V164" s="1288"/>
      <c r="W164" s="1288"/>
      <c r="X164" s="1288"/>
      <c r="Y164" s="1288"/>
      <c r="Z164" s="1288"/>
      <c r="AA164" s="1554"/>
      <c r="AB164" s="1554"/>
      <c r="AC164" s="1554"/>
      <c r="AD164" s="1554"/>
      <c r="AE164" s="1554"/>
      <c r="AF164" s="1557">
        <v>0</v>
      </c>
    </row>
    <row r="165" spans="1:32" s="1739" customFormat="1" ht="18.75" customHeight="1">
      <c r="A165" s="3827"/>
      <c r="B165" s="1288"/>
      <c r="C165" s="1564"/>
      <c r="D165" s="617" t="s">
        <v>90</v>
      </c>
      <c r="E165" s="480" t="str">
        <f>E116&amp;".48"</f>
        <v>7.48</v>
      </c>
      <c r="F165" s="474" t="s">
        <v>689</v>
      </c>
      <c r="G165" s="1989" t="s">
        <v>599</v>
      </c>
      <c r="H165" s="685"/>
      <c r="I165" s="685">
        <v>2.2999999999999998</v>
      </c>
      <c r="J165" s="1447" t="s">
        <v>600</v>
      </c>
      <c r="K165" s="668"/>
      <c r="L165" s="1564"/>
      <c r="M165" s="1564"/>
      <c r="N165" s="1288"/>
      <c r="O165" s="1288"/>
      <c r="P165" s="1288"/>
      <c r="Q165" s="1288"/>
      <c r="R165" s="1564"/>
      <c r="S165" s="1288"/>
      <c r="T165" s="1288"/>
      <c r="U165" s="670"/>
      <c r="V165" s="1288"/>
      <c r="W165" s="1288"/>
      <c r="X165" s="1288"/>
      <c r="Y165" s="1288"/>
      <c r="Z165" s="1288"/>
      <c r="AA165" s="1554"/>
      <c r="AB165" s="1554"/>
      <c r="AC165" s="1554"/>
      <c r="AD165" s="1554"/>
      <c r="AE165" s="1554"/>
      <c r="AF165" s="1557">
        <v>0</v>
      </c>
    </row>
    <row r="166" spans="1:32" s="1739" customFormat="1" ht="18.75" customHeight="1">
      <c r="A166" s="3827"/>
      <c r="B166" s="1288"/>
      <c r="C166" s="1564"/>
      <c r="D166" s="617" t="s">
        <v>90</v>
      </c>
      <c r="E166" s="480" t="str">
        <f>E116&amp;".49"</f>
        <v>7.49</v>
      </c>
      <c r="F166" s="474" t="s">
        <v>690</v>
      </c>
      <c r="G166" s="1989" t="s">
        <v>599</v>
      </c>
      <c r="H166" s="685"/>
      <c r="I166" s="685">
        <v>11.2</v>
      </c>
      <c r="J166" s="1447" t="s">
        <v>600</v>
      </c>
      <c r="K166" s="668"/>
      <c r="L166" s="1564"/>
      <c r="M166" s="1564"/>
      <c r="N166" s="1288"/>
      <c r="O166" s="1288"/>
      <c r="P166" s="1288"/>
      <c r="Q166" s="1288"/>
      <c r="R166" s="1564"/>
      <c r="S166" s="1288"/>
      <c r="T166" s="1288"/>
      <c r="U166" s="670"/>
      <c r="V166" s="1288"/>
      <c r="W166" s="1288"/>
      <c r="X166" s="1288"/>
      <c r="Y166" s="1288"/>
      <c r="Z166" s="1288"/>
      <c r="AA166" s="1554"/>
      <c r="AB166" s="1554"/>
      <c r="AC166" s="1554"/>
      <c r="AD166" s="1554"/>
      <c r="AE166" s="1554"/>
      <c r="AF166" s="1557">
        <v>0</v>
      </c>
    </row>
    <row r="167" spans="1:32" s="1739" customFormat="1" ht="18.75" customHeight="1">
      <c r="A167" s="3827"/>
      <c r="B167" s="1288"/>
      <c r="C167" s="1564"/>
      <c r="D167" s="617" t="s">
        <v>90</v>
      </c>
      <c r="E167" s="480" t="str">
        <f>E116&amp;".50"</f>
        <v>7.50</v>
      </c>
      <c r="F167" s="474" t="s">
        <v>691</v>
      </c>
      <c r="G167" s="1989" t="s">
        <v>599</v>
      </c>
      <c r="H167" s="685"/>
      <c r="I167" s="685">
        <v>8</v>
      </c>
      <c r="J167" s="1447" t="s">
        <v>600</v>
      </c>
      <c r="K167" s="668"/>
      <c r="L167" s="1564"/>
      <c r="M167" s="1564"/>
      <c r="N167" s="1288"/>
      <c r="O167" s="1288"/>
      <c r="P167" s="1288"/>
      <c r="Q167" s="1288"/>
      <c r="R167" s="1564"/>
      <c r="S167" s="1288"/>
      <c r="T167" s="1288"/>
      <c r="U167" s="670"/>
      <c r="V167" s="1288"/>
      <c r="W167" s="1288"/>
      <c r="X167" s="1288"/>
      <c r="Y167" s="1288"/>
      <c r="Z167" s="1288"/>
      <c r="AA167" s="1554"/>
      <c r="AB167" s="1554"/>
      <c r="AC167" s="1554"/>
      <c r="AD167" s="1554"/>
      <c r="AE167" s="1554"/>
      <c r="AF167" s="1557">
        <v>0</v>
      </c>
    </row>
    <row r="168" spans="1:32" s="1739" customFormat="1" ht="18.75" customHeight="1">
      <c r="A168" s="3827"/>
      <c r="B168" s="1288"/>
      <c r="C168" s="1564"/>
      <c r="D168" s="617" t="s">
        <v>90</v>
      </c>
      <c r="E168" s="480" t="str">
        <f>E116&amp;".51"</f>
        <v>7.51</v>
      </c>
      <c r="F168" s="474" t="s">
        <v>692</v>
      </c>
      <c r="G168" s="1989" t="s">
        <v>599</v>
      </c>
      <c r="H168" s="685"/>
      <c r="I168" s="685">
        <v>4</v>
      </c>
      <c r="J168" s="1447" t="s">
        <v>600</v>
      </c>
      <c r="K168" s="668"/>
      <c r="L168" s="1564"/>
      <c r="M168" s="1564"/>
      <c r="N168" s="1288"/>
      <c r="O168" s="1288"/>
      <c r="P168" s="1288"/>
      <c r="Q168" s="1288"/>
      <c r="R168" s="1564"/>
      <c r="S168" s="1288"/>
      <c r="T168" s="1288"/>
      <c r="U168" s="670"/>
      <c r="V168" s="1288"/>
      <c r="W168" s="1288"/>
      <c r="X168" s="1288"/>
      <c r="Y168" s="1288"/>
      <c r="Z168" s="1288"/>
      <c r="AA168" s="1554"/>
      <c r="AB168" s="1554"/>
      <c r="AC168" s="1554"/>
      <c r="AD168" s="1554"/>
      <c r="AE168" s="1554"/>
      <c r="AF168" s="1557">
        <v>0</v>
      </c>
    </row>
    <row r="169" spans="1:32" s="1739" customFormat="1" ht="18.75" customHeight="1">
      <c r="A169" s="3827"/>
      <c r="B169" s="1288"/>
      <c r="C169" s="1564"/>
      <c r="D169" s="617" t="s">
        <v>90</v>
      </c>
      <c r="E169" s="480" t="str">
        <f>E116&amp;".52"</f>
        <v>7.52</v>
      </c>
      <c r="F169" s="474" t="s">
        <v>693</v>
      </c>
      <c r="G169" s="1989" t="s">
        <v>599</v>
      </c>
      <c r="H169" s="685"/>
      <c r="I169" s="685">
        <v>2</v>
      </c>
      <c r="J169" s="1447" t="s">
        <v>600</v>
      </c>
      <c r="K169" s="668"/>
      <c r="L169" s="1564"/>
      <c r="M169" s="1564"/>
      <c r="N169" s="1288"/>
      <c r="O169" s="1288"/>
      <c r="P169" s="1288"/>
      <c r="Q169" s="1288"/>
      <c r="R169" s="1564"/>
      <c r="S169" s="1288"/>
      <c r="T169" s="1288"/>
      <c r="U169" s="670"/>
      <c r="V169" s="1288"/>
      <c r="W169" s="1288"/>
      <c r="X169" s="1288"/>
      <c r="Y169" s="1288"/>
      <c r="Z169" s="1288"/>
      <c r="AA169" s="1554"/>
      <c r="AB169" s="1554"/>
      <c r="AC169" s="1554"/>
      <c r="AD169" s="1554"/>
      <c r="AE169" s="1554"/>
      <c r="AF169" s="1557">
        <v>0</v>
      </c>
    </row>
    <row r="170" spans="1:32" s="1739" customFormat="1" ht="18.75" customHeight="1">
      <c r="A170" s="3827"/>
      <c r="B170" s="1288"/>
      <c r="C170" s="1564"/>
      <c r="D170" s="617" t="s">
        <v>90</v>
      </c>
      <c r="E170" s="480" t="str">
        <f>E116&amp;".53"</f>
        <v>7.53</v>
      </c>
      <c r="F170" s="474" t="s">
        <v>694</v>
      </c>
      <c r="G170" s="1989" t="s">
        <v>599</v>
      </c>
      <c r="H170" s="685"/>
      <c r="I170" s="685">
        <v>3.7</v>
      </c>
      <c r="J170" s="1447" t="s">
        <v>600</v>
      </c>
      <c r="K170" s="668"/>
      <c r="L170" s="1564"/>
      <c r="M170" s="1564"/>
      <c r="N170" s="1288"/>
      <c r="O170" s="1288"/>
      <c r="P170" s="1288"/>
      <c r="Q170" s="1288"/>
      <c r="R170" s="1564"/>
      <c r="S170" s="1288"/>
      <c r="T170" s="1288"/>
      <c r="U170" s="670"/>
      <c r="V170" s="1288"/>
      <c r="W170" s="1288"/>
      <c r="X170" s="1288"/>
      <c r="Y170" s="1288"/>
      <c r="Z170" s="1288"/>
      <c r="AA170" s="1554"/>
      <c r="AB170" s="1554"/>
      <c r="AC170" s="1554"/>
      <c r="AD170" s="1554"/>
      <c r="AE170" s="1554"/>
      <c r="AF170" s="1557">
        <v>0</v>
      </c>
    </row>
    <row r="171" spans="1:32" s="1739" customFormat="1" ht="18.75" customHeight="1">
      <c r="A171" s="3827"/>
      <c r="B171" s="1288"/>
      <c r="C171" s="1564"/>
      <c r="D171" s="617" t="s">
        <v>90</v>
      </c>
      <c r="E171" s="480" t="str">
        <f>E116&amp;".54"</f>
        <v>7.54</v>
      </c>
      <c r="F171" s="474" t="s">
        <v>695</v>
      </c>
      <c r="G171" s="1989" t="s">
        <v>599</v>
      </c>
      <c r="H171" s="685"/>
      <c r="I171" s="685">
        <v>10</v>
      </c>
      <c r="J171" s="1447" t="s">
        <v>600</v>
      </c>
      <c r="K171" s="668"/>
      <c r="L171" s="1564"/>
      <c r="M171" s="1564"/>
      <c r="N171" s="1288"/>
      <c r="O171" s="1288"/>
      <c r="P171" s="1288"/>
      <c r="Q171" s="1288"/>
      <c r="R171" s="1564"/>
      <c r="S171" s="1288"/>
      <c r="T171" s="1288"/>
      <c r="U171" s="670"/>
      <c r="V171" s="1288"/>
      <c r="W171" s="1288"/>
      <c r="X171" s="1288"/>
      <c r="Y171" s="1288"/>
      <c r="Z171" s="1288"/>
      <c r="AA171" s="1554"/>
      <c r="AB171" s="1554"/>
      <c r="AC171" s="1554"/>
      <c r="AD171" s="1554"/>
      <c r="AE171" s="1554"/>
      <c r="AF171" s="1557">
        <v>0</v>
      </c>
    </row>
    <row r="172" spans="1:32" s="1739" customFormat="1" ht="18.75" customHeight="1">
      <c r="A172" s="3827"/>
      <c r="B172" s="1288"/>
      <c r="C172" s="1564"/>
      <c r="D172" s="617" t="s">
        <v>90</v>
      </c>
      <c r="E172" s="480" t="str">
        <f>E116&amp;".55"</f>
        <v>7.55</v>
      </c>
      <c r="F172" s="474" t="s">
        <v>696</v>
      </c>
      <c r="G172" s="1989" t="s">
        <v>599</v>
      </c>
      <c r="H172" s="685"/>
      <c r="I172" s="685">
        <v>0.5</v>
      </c>
      <c r="J172" s="1447" t="s">
        <v>600</v>
      </c>
      <c r="K172" s="668"/>
      <c r="L172" s="1564"/>
      <c r="M172" s="1564"/>
      <c r="N172" s="1288"/>
      <c r="O172" s="1288"/>
      <c r="P172" s="1288"/>
      <c r="Q172" s="1288"/>
      <c r="R172" s="1564"/>
      <c r="S172" s="1288"/>
      <c r="T172" s="1288"/>
      <c r="U172" s="670"/>
      <c r="V172" s="1288"/>
      <c r="W172" s="1288"/>
      <c r="X172" s="1288"/>
      <c r="Y172" s="1288"/>
      <c r="Z172" s="1288"/>
      <c r="AA172" s="1554"/>
      <c r="AB172" s="1554"/>
      <c r="AC172" s="1554"/>
      <c r="AD172" s="1554"/>
      <c r="AE172" s="1554"/>
      <c r="AF172" s="1557">
        <v>0</v>
      </c>
    </row>
    <row r="173" spans="1:32" s="1739" customFormat="1" ht="18.75" customHeight="1">
      <c r="A173" s="3827"/>
      <c r="B173" s="1288"/>
      <c r="C173" s="1564"/>
      <c r="D173" s="617" t="s">
        <v>90</v>
      </c>
      <c r="E173" s="480" t="str">
        <f>E116&amp;".56"</f>
        <v>7.56</v>
      </c>
      <c r="F173" s="474" t="s">
        <v>697</v>
      </c>
      <c r="G173" s="1989" t="s">
        <v>599</v>
      </c>
      <c r="H173" s="685"/>
      <c r="I173" s="685">
        <v>0.5</v>
      </c>
      <c r="J173" s="1447" t="s">
        <v>600</v>
      </c>
      <c r="K173" s="668"/>
      <c r="L173" s="1564"/>
      <c r="M173" s="1564"/>
      <c r="N173" s="1288"/>
      <c r="O173" s="1288"/>
      <c r="P173" s="1288"/>
      <c r="Q173" s="1288"/>
      <c r="R173" s="1564"/>
      <c r="S173" s="1288"/>
      <c r="T173" s="1288"/>
      <c r="U173" s="670"/>
      <c r="V173" s="1288"/>
      <c r="W173" s="1288"/>
      <c r="X173" s="1288"/>
      <c r="Y173" s="1288"/>
      <c r="Z173" s="1288"/>
      <c r="AA173" s="1554"/>
      <c r="AB173" s="1554"/>
      <c r="AC173" s="1554"/>
      <c r="AD173" s="1554"/>
      <c r="AE173" s="1554"/>
      <c r="AF173" s="1557">
        <v>0</v>
      </c>
    </row>
    <row r="174" spans="1:32" s="1739" customFormat="1" ht="18.75" customHeight="1">
      <c r="A174" s="3827"/>
      <c r="B174" s="1288"/>
      <c r="C174" s="1564"/>
      <c r="D174" s="617" t="s">
        <v>90</v>
      </c>
      <c r="E174" s="480" t="str">
        <f>E116&amp;".57"</f>
        <v>7.57</v>
      </c>
      <c r="F174" s="474" t="s">
        <v>698</v>
      </c>
      <c r="G174" s="1989" t="s">
        <v>599</v>
      </c>
      <c r="H174" s="685"/>
      <c r="I174" s="685">
        <v>0.2</v>
      </c>
      <c r="J174" s="1447" t="s">
        <v>600</v>
      </c>
      <c r="K174" s="668"/>
      <c r="L174" s="1564"/>
      <c r="M174" s="1564"/>
      <c r="N174" s="1288"/>
      <c r="O174" s="1288"/>
      <c r="P174" s="1288"/>
      <c r="Q174" s="1288"/>
      <c r="R174" s="1564"/>
      <c r="S174" s="1288"/>
      <c r="T174" s="1288"/>
      <c r="U174" s="670"/>
      <c r="V174" s="1288"/>
      <c r="W174" s="1288"/>
      <c r="X174" s="1288"/>
      <c r="Y174" s="1288"/>
      <c r="Z174" s="1288"/>
      <c r="AA174" s="1554"/>
      <c r="AB174" s="1554"/>
      <c r="AC174" s="1554"/>
      <c r="AD174" s="1554"/>
      <c r="AE174" s="1554"/>
      <c r="AF174" s="1557">
        <v>0</v>
      </c>
    </row>
    <row r="175" spans="1:32" s="1739" customFormat="1" ht="28.5" customHeight="1">
      <c r="A175" s="3827"/>
      <c r="B175" s="1288"/>
      <c r="C175" s="1564"/>
      <c r="D175" s="617" t="s">
        <v>90</v>
      </c>
      <c r="E175" s="480" t="str">
        <f>E116&amp;".58"</f>
        <v>7.58</v>
      </c>
      <c r="F175" s="474" t="s">
        <v>699</v>
      </c>
      <c r="G175" s="1989" t="s">
        <v>599</v>
      </c>
      <c r="H175" s="685"/>
      <c r="I175" s="685">
        <v>1.3</v>
      </c>
      <c r="J175" s="1447" t="s">
        <v>600</v>
      </c>
      <c r="K175" s="668"/>
      <c r="L175" s="1564"/>
      <c r="M175" s="1564"/>
      <c r="N175" s="1288"/>
      <c r="O175" s="1288"/>
      <c r="P175" s="1288"/>
      <c r="Q175" s="1288"/>
      <c r="R175" s="1564"/>
      <c r="S175" s="1288"/>
      <c r="T175" s="1288"/>
      <c r="U175" s="670"/>
      <c r="V175" s="1288"/>
      <c r="W175" s="1288"/>
      <c r="X175" s="1288"/>
      <c r="Y175" s="1288"/>
      <c r="Z175" s="1288"/>
      <c r="AA175" s="1554"/>
      <c r="AB175" s="1554"/>
      <c r="AC175" s="1554"/>
      <c r="AD175" s="1554"/>
      <c r="AE175" s="1554"/>
      <c r="AF175" s="1557">
        <v>0</v>
      </c>
    </row>
    <row r="176" spans="1:32" s="1739" customFormat="1" ht="27.75" customHeight="1">
      <c r="A176" s="3827"/>
      <c r="B176" s="1288"/>
      <c r="C176" s="1564"/>
      <c r="D176" s="617" t="s">
        <v>90</v>
      </c>
      <c r="E176" s="480" t="str">
        <f>E116&amp;".59"</f>
        <v>7.59</v>
      </c>
      <c r="F176" s="474" t="s">
        <v>700</v>
      </c>
      <c r="G176" s="1989" t="s">
        <v>599</v>
      </c>
      <c r="H176" s="685"/>
      <c r="I176" s="685">
        <v>1.6</v>
      </c>
      <c r="J176" s="1447" t="s">
        <v>600</v>
      </c>
      <c r="K176" s="668"/>
      <c r="L176" s="1564"/>
      <c r="M176" s="1564"/>
      <c r="N176" s="1288"/>
      <c r="O176" s="1288"/>
      <c r="P176" s="1288"/>
      <c r="Q176" s="1288"/>
      <c r="R176" s="1564"/>
      <c r="S176" s="1288"/>
      <c r="T176" s="1288"/>
      <c r="U176" s="670"/>
      <c r="V176" s="1288"/>
      <c r="W176" s="1288"/>
      <c r="X176" s="1288"/>
      <c r="Y176" s="1288"/>
      <c r="Z176" s="1288"/>
      <c r="AA176" s="1554"/>
      <c r="AB176" s="1554"/>
      <c r="AC176" s="1554"/>
      <c r="AD176" s="1554"/>
      <c r="AE176" s="1554"/>
      <c r="AF176" s="1557">
        <v>0</v>
      </c>
    </row>
    <row r="177" spans="1:32" s="1739" customFormat="1" ht="18.75" customHeight="1">
      <c r="A177" s="3827"/>
      <c r="B177" s="1288"/>
      <c r="C177" s="1564"/>
      <c r="D177" s="617" t="s">
        <v>90</v>
      </c>
      <c r="E177" s="480" t="str">
        <f>E116&amp;".60"</f>
        <v>7.60</v>
      </c>
      <c r="F177" s="474" t="s">
        <v>701</v>
      </c>
      <c r="G177" s="1989" t="s">
        <v>599</v>
      </c>
      <c r="H177" s="685"/>
      <c r="I177" s="685">
        <v>3</v>
      </c>
      <c r="J177" s="1447" t="s">
        <v>600</v>
      </c>
      <c r="K177" s="668"/>
      <c r="L177" s="1564"/>
      <c r="M177" s="1564"/>
      <c r="N177" s="1288"/>
      <c r="O177" s="1288"/>
      <c r="P177" s="1288"/>
      <c r="Q177" s="1288"/>
      <c r="R177" s="1564"/>
      <c r="S177" s="1288"/>
      <c r="T177" s="1288"/>
      <c r="U177" s="670"/>
      <c r="V177" s="1288"/>
      <c r="W177" s="1288"/>
      <c r="X177" s="1288"/>
      <c r="Y177" s="1288"/>
      <c r="Z177" s="1288"/>
      <c r="AA177" s="1554"/>
      <c r="AB177" s="1554"/>
      <c r="AC177" s="1554"/>
      <c r="AD177" s="1554"/>
      <c r="AE177" s="1554"/>
      <c r="AF177" s="1557">
        <v>0</v>
      </c>
    </row>
    <row r="178" spans="1:32" s="1739" customFormat="1" ht="24.75" customHeight="1">
      <c r="A178" s="3827"/>
      <c r="B178" s="1288"/>
      <c r="C178" s="1564"/>
      <c r="D178" s="617" t="s">
        <v>90</v>
      </c>
      <c r="E178" s="480" t="s">
        <v>702</v>
      </c>
      <c r="F178" s="474" t="s">
        <v>703</v>
      </c>
      <c r="G178" s="1989" t="s">
        <v>599</v>
      </c>
      <c r="H178" s="685"/>
      <c r="I178" s="685">
        <v>2</v>
      </c>
      <c r="J178" s="1447" t="s">
        <v>600</v>
      </c>
      <c r="K178" s="668"/>
      <c r="L178" s="1564"/>
      <c r="M178" s="1564"/>
      <c r="N178" s="1288"/>
      <c r="O178" s="1288"/>
      <c r="P178" s="1288"/>
      <c r="Q178" s="1288"/>
      <c r="R178" s="1564"/>
      <c r="S178" s="1288"/>
      <c r="T178" s="1288"/>
      <c r="U178" s="670"/>
      <c r="V178" s="1288"/>
      <c r="W178" s="1288"/>
      <c r="X178" s="1288"/>
      <c r="Y178" s="1288"/>
      <c r="Z178" s="1288"/>
      <c r="AA178" s="1554"/>
      <c r="AB178" s="1554"/>
      <c r="AC178" s="1554"/>
      <c r="AD178" s="1554"/>
      <c r="AE178" s="1554"/>
      <c r="AF178" s="1557">
        <v>0</v>
      </c>
    </row>
    <row r="179" spans="1:32" s="1739" customFormat="1" ht="24.75" customHeight="1">
      <c r="A179" s="3827"/>
      <c r="B179" s="1288"/>
      <c r="C179" s="1564"/>
      <c r="D179" s="617" t="s">
        <v>90</v>
      </c>
      <c r="E179" s="480" t="s">
        <v>704</v>
      </c>
      <c r="F179" s="474" t="s">
        <v>705</v>
      </c>
      <c r="G179" s="1989" t="s">
        <v>599</v>
      </c>
      <c r="H179" s="685"/>
      <c r="I179" s="685">
        <v>3</v>
      </c>
      <c r="J179" s="1447" t="s">
        <v>600</v>
      </c>
      <c r="K179" s="668"/>
      <c r="L179" s="1564"/>
      <c r="M179" s="1564"/>
      <c r="N179" s="1288"/>
      <c r="O179" s="1288"/>
      <c r="P179" s="1288"/>
      <c r="Q179" s="1288"/>
      <c r="R179" s="1564"/>
      <c r="S179" s="1288"/>
      <c r="T179" s="1288"/>
      <c r="U179" s="670"/>
      <c r="V179" s="1288"/>
      <c r="W179" s="1288"/>
      <c r="X179" s="1288"/>
      <c r="Y179" s="1288"/>
      <c r="Z179" s="1288"/>
      <c r="AA179" s="1554"/>
      <c r="AB179" s="1554"/>
      <c r="AC179" s="1554"/>
      <c r="AD179" s="1554"/>
      <c r="AE179" s="1554"/>
      <c r="AF179" s="1557">
        <v>0</v>
      </c>
    </row>
    <row r="180" spans="1:32" s="1739" customFormat="1" ht="32.25" customHeight="1">
      <c r="A180" s="3827"/>
      <c r="B180" s="1288"/>
      <c r="C180" s="1564"/>
      <c r="D180" s="617" t="s">
        <v>90</v>
      </c>
      <c r="E180" s="480" t="s">
        <v>706</v>
      </c>
      <c r="F180" s="474" t="s">
        <v>707</v>
      </c>
      <c r="G180" s="1989" t="s">
        <v>599</v>
      </c>
      <c r="H180" s="685"/>
      <c r="I180" s="685">
        <v>3</v>
      </c>
      <c r="J180" s="1447" t="s">
        <v>600</v>
      </c>
      <c r="K180" s="668"/>
      <c r="L180" s="1564"/>
      <c r="M180" s="1564"/>
      <c r="N180" s="1288"/>
      <c r="O180" s="1288"/>
      <c r="P180" s="1288"/>
      <c r="Q180" s="1288"/>
      <c r="R180" s="1564"/>
      <c r="S180" s="1288"/>
      <c r="T180" s="1288"/>
      <c r="U180" s="670"/>
      <c r="V180" s="1288"/>
      <c r="W180" s="1288"/>
      <c r="X180" s="1288"/>
      <c r="Y180" s="1288"/>
      <c r="Z180" s="1288"/>
      <c r="AA180" s="1554"/>
      <c r="AB180" s="1554"/>
      <c r="AC180" s="1554"/>
      <c r="AD180" s="1554"/>
      <c r="AE180" s="1554"/>
      <c r="AF180" s="1557">
        <v>0</v>
      </c>
    </row>
    <row r="181" spans="1:32" s="1739" customFormat="1" ht="32.25" customHeight="1">
      <c r="A181" s="3827"/>
      <c r="B181" s="1288"/>
      <c r="C181" s="1564"/>
      <c r="D181" s="617" t="s">
        <v>90</v>
      </c>
      <c r="E181" s="480" t="s">
        <v>708</v>
      </c>
      <c r="F181" s="474" t="s">
        <v>709</v>
      </c>
      <c r="G181" s="1989" t="s">
        <v>599</v>
      </c>
      <c r="H181" s="685"/>
      <c r="I181" s="685">
        <v>0.3</v>
      </c>
      <c r="J181" s="1447" t="s">
        <v>600</v>
      </c>
      <c r="K181" s="668"/>
      <c r="L181" s="1564"/>
      <c r="M181" s="1564"/>
      <c r="N181" s="1288"/>
      <c r="O181" s="1288"/>
      <c r="P181" s="1288"/>
      <c r="Q181" s="1288"/>
      <c r="R181" s="1564"/>
      <c r="S181" s="1288"/>
      <c r="T181" s="1288"/>
      <c r="U181" s="670"/>
      <c r="V181" s="1288"/>
      <c r="W181" s="1288"/>
      <c r="X181" s="1288"/>
      <c r="Y181" s="1288"/>
      <c r="Z181" s="1288"/>
      <c r="AA181" s="1554"/>
      <c r="AB181" s="1554"/>
      <c r="AC181" s="1554"/>
      <c r="AD181" s="1554"/>
      <c r="AE181" s="1554"/>
      <c r="AF181" s="1557">
        <v>0</v>
      </c>
    </row>
    <row r="182" spans="1:32" s="1739" customFormat="1" ht="32.25" customHeight="1">
      <c r="A182" s="3827"/>
      <c r="B182" s="1288"/>
      <c r="C182" s="1564"/>
      <c r="D182" s="617" t="s">
        <v>90</v>
      </c>
      <c r="E182" s="480" t="s">
        <v>710</v>
      </c>
      <c r="F182" s="474" t="s">
        <v>711</v>
      </c>
      <c r="G182" s="1989" t="s">
        <v>599</v>
      </c>
      <c r="H182" s="685"/>
      <c r="I182" s="685">
        <v>4</v>
      </c>
      <c r="J182" s="1447" t="s">
        <v>600</v>
      </c>
      <c r="K182" s="668"/>
      <c r="L182" s="1564"/>
      <c r="M182" s="1564"/>
      <c r="N182" s="1288"/>
      <c r="O182" s="1288"/>
      <c r="P182" s="1288"/>
      <c r="Q182" s="1288"/>
      <c r="R182" s="1564"/>
      <c r="S182" s="1288"/>
      <c r="T182" s="1288"/>
      <c r="U182" s="670"/>
      <c r="V182" s="1288"/>
      <c r="W182" s="1288"/>
      <c r="X182" s="1288"/>
      <c r="Y182" s="1288"/>
      <c r="Z182" s="1288"/>
      <c r="AA182" s="1554"/>
      <c r="AB182" s="1554"/>
      <c r="AC182" s="1554"/>
      <c r="AD182" s="1554"/>
      <c r="AE182" s="1554"/>
      <c r="AF182" s="1557">
        <v>0</v>
      </c>
    </row>
    <row r="183" spans="1:32" s="1739" customFormat="1" ht="32.25" customHeight="1">
      <c r="A183" s="3827"/>
      <c r="B183" s="1288"/>
      <c r="C183" s="1564"/>
      <c r="D183" s="617" t="s">
        <v>90</v>
      </c>
      <c r="E183" s="480" t="s">
        <v>712</v>
      </c>
      <c r="F183" s="474" t="s">
        <v>713</v>
      </c>
      <c r="G183" s="1989" t="s">
        <v>599</v>
      </c>
      <c r="H183" s="685"/>
      <c r="I183" s="685">
        <v>0.3</v>
      </c>
      <c r="J183" s="1447" t="s">
        <v>600</v>
      </c>
      <c r="K183" s="668"/>
      <c r="L183" s="1564"/>
      <c r="M183" s="1564"/>
      <c r="N183" s="1288"/>
      <c r="O183" s="1288"/>
      <c r="P183" s="1288"/>
      <c r="Q183" s="1288"/>
      <c r="R183" s="1564"/>
      <c r="S183" s="1288"/>
      <c r="T183" s="1288"/>
      <c r="U183" s="670"/>
      <c r="V183" s="1288"/>
      <c r="W183" s="1288"/>
      <c r="X183" s="1288"/>
      <c r="Y183" s="1288"/>
      <c r="Z183" s="1288"/>
      <c r="AA183" s="1554"/>
      <c r="AB183" s="1554"/>
      <c r="AC183" s="1554"/>
      <c r="AD183" s="1554"/>
      <c r="AE183" s="1554"/>
      <c r="AF183" s="1557">
        <v>0</v>
      </c>
    </row>
    <row r="184" spans="1:32" s="1739" customFormat="1" ht="32.25" customHeight="1">
      <c r="A184" s="3827"/>
      <c r="B184" s="1288"/>
      <c r="C184" s="1564"/>
      <c r="D184" s="617" t="s">
        <v>90</v>
      </c>
      <c r="E184" s="480" t="s">
        <v>714</v>
      </c>
      <c r="F184" s="474" t="s">
        <v>715</v>
      </c>
      <c r="G184" s="1989" t="s">
        <v>599</v>
      </c>
      <c r="H184" s="685"/>
      <c r="I184" s="685">
        <v>1</v>
      </c>
      <c r="J184" s="1447" t="s">
        <v>600</v>
      </c>
      <c r="K184" s="668"/>
      <c r="L184" s="1564"/>
      <c r="M184" s="1564"/>
      <c r="N184" s="1288"/>
      <c r="O184" s="1288"/>
      <c r="P184" s="1288"/>
      <c r="Q184" s="1288"/>
      <c r="R184" s="1564"/>
      <c r="S184" s="1288"/>
      <c r="T184" s="1288"/>
      <c r="U184" s="670"/>
      <c r="V184" s="1288"/>
      <c r="W184" s="1288"/>
      <c r="X184" s="1288"/>
      <c r="Y184" s="1288"/>
      <c r="Z184" s="1288"/>
      <c r="AA184" s="1554"/>
      <c r="AB184" s="1554"/>
      <c r="AC184" s="1554"/>
      <c r="AD184" s="1554"/>
      <c r="AE184" s="1554"/>
      <c r="AF184" s="1557">
        <v>0</v>
      </c>
    </row>
    <row r="185" spans="1:32" s="1739" customFormat="1" ht="22.5" customHeight="1">
      <c r="A185" s="3827"/>
      <c r="B185" s="1288"/>
      <c r="C185" s="1564"/>
      <c r="D185" s="617" t="s">
        <v>90</v>
      </c>
      <c r="E185" s="480" t="s">
        <v>716</v>
      </c>
      <c r="F185" s="474" t="s">
        <v>717</v>
      </c>
      <c r="G185" s="1989" t="s">
        <v>599</v>
      </c>
      <c r="H185" s="685"/>
      <c r="I185" s="685">
        <v>0.5</v>
      </c>
      <c r="J185" s="1447" t="s">
        <v>600</v>
      </c>
      <c r="K185" s="668"/>
      <c r="L185" s="1564"/>
      <c r="M185" s="1564"/>
      <c r="N185" s="1288"/>
      <c r="O185" s="1288"/>
      <c r="P185" s="1288"/>
      <c r="Q185" s="1288"/>
      <c r="R185" s="1564"/>
      <c r="S185" s="1288"/>
      <c r="T185" s="1288"/>
      <c r="U185" s="670"/>
      <c r="V185" s="1288"/>
      <c r="W185" s="1288"/>
      <c r="X185" s="1288"/>
      <c r="Y185" s="1288"/>
      <c r="Z185" s="1288"/>
      <c r="AA185" s="1554"/>
      <c r="AB185" s="1554"/>
      <c r="AC185" s="1554"/>
      <c r="AD185" s="1554"/>
      <c r="AE185" s="1554"/>
      <c r="AF185" s="1557">
        <v>0</v>
      </c>
    </row>
    <row r="186" spans="1:32" s="1739" customFormat="1" ht="32.25" customHeight="1">
      <c r="A186" s="3827"/>
      <c r="B186" s="1288"/>
      <c r="C186" s="1564"/>
      <c r="D186" s="617" t="s">
        <v>90</v>
      </c>
      <c r="E186" s="480" t="s">
        <v>718</v>
      </c>
      <c r="F186" s="474" t="s">
        <v>719</v>
      </c>
      <c r="G186" s="1989" t="s">
        <v>599</v>
      </c>
      <c r="H186" s="685"/>
      <c r="I186" s="685">
        <v>1.4</v>
      </c>
      <c r="J186" s="1447" t="s">
        <v>600</v>
      </c>
      <c r="K186" s="668"/>
      <c r="L186" s="1564"/>
      <c r="M186" s="1564"/>
      <c r="N186" s="1288"/>
      <c r="O186" s="1288"/>
      <c r="P186" s="1288"/>
      <c r="Q186" s="1288"/>
      <c r="R186" s="1564"/>
      <c r="S186" s="1288"/>
      <c r="T186" s="1288"/>
      <c r="U186" s="670"/>
      <c r="V186" s="1288"/>
      <c r="W186" s="1288"/>
      <c r="X186" s="1288"/>
      <c r="Y186" s="1288"/>
      <c r="Z186" s="1288"/>
      <c r="AA186" s="1554"/>
      <c r="AB186" s="1554"/>
      <c r="AC186" s="1554"/>
      <c r="AD186" s="1554"/>
      <c r="AE186" s="1554"/>
      <c r="AF186" s="1557">
        <v>0</v>
      </c>
    </row>
    <row r="187" spans="1:32" s="1739" customFormat="1" ht="32.25" customHeight="1">
      <c r="A187" s="3827"/>
      <c r="B187" s="1288"/>
      <c r="C187" s="1564"/>
      <c r="D187" s="617" t="s">
        <v>90</v>
      </c>
      <c r="E187" s="480" t="s">
        <v>720</v>
      </c>
      <c r="F187" s="474" t="s">
        <v>721</v>
      </c>
      <c r="G187" s="1989" t="s">
        <v>599</v>
      </c>
      <c r="H187" s="685"/>
      <c r="I187" s="685">
        <v>2</v>
      </c>
      <c r="J187" s="1447" t="s">
        <v>600</v>
      </c>
      <c r="K187" s="668"/>
      <c r="L187" s="1564"/>
      <c r="M187" s="1564"/>
      <c r="N187" s="1288"/>
      <c r="O187" s="1288"/>
      <c r="P187" s="1288"/>
      <c r="Q187" s="1288"/>
      <c r="R187" s="1564"/>
      <c r="S187" s="1288"/>
      <c r="T187" s="1288"/>
      <c r="U187" s="670"/>
      <c r="V187" s="1288"/>
      <c r="W187" s="1288"/>
      <c r="X187" s="1288"/>
      <c r="Y187" s="1288"/>
      <c r="Z187" s="1288"/>
      <c r="AA187" s="1554"/>
      <c r="AB187" s="1554"/>
      <c r="AC187" s="1554"/>
      <c r="AD187" s="1554"/>
      <c r="AE187" s="1554"/>
      <c r="AF187" s="1557">
        <v>0</v>
      </c>
    </row>
    <row r="188" spans="1:32" s="1739" customFormat="1" ht="32.25" customHeight="1">
      <c r="A188" s="3827"/>
      <c r="B188" s="1288"/>
      <c r="C188" s="1564"/>
      <c r="D188" s="617" t="s">
        <v>90</v>
      </c>
      <c r="E188" s="480" t="s">
        <v>722</v>
      </c>
      <c r="F188" s="474" t="s">
        <v>723</v>
      </c>
      <c r="G188" s="1989" t="s">
        <v>599</v>
      </c>
      <c r="H188" s="685"/>
      <c r="I188" s="685">
        <v>0.2</v>
      </c>
      <c r="J188" s="1447" t="s">
        <v>600</v>
      </c>
      <c r="K188" s="668"/>
      <c r="L188" s="1564"/>
      <c r="M188" s="1564"/>
      <c r="N188" s="1288"/>
      <c r="O188" s="1288"/>
      <c r="P188" s="1288"/>
      <c r="Q188" s="1288"/>
      <c r="R188" s="1564"/>
      <c r="S188" s="1288"/>
      <c r="T188" s="1288"/>
      <c r="U188" s="670"/>
      <c r="V188" s="1288"/>
      <c r="W188" s="1288"/>
      <c r="X188" s="1288"/>
      <c r="Y188" s="1288"/>
      <c r="Z188" s="1288"/>
      <c r="AA188" s="1554"/>
      <c r="AB188" s="1554"/>
      <c r="AC188" s="1554"/>
      <c r="AD188" s="1554"/>
      <c r="AE188" s="1554"/>
      <c r="AF188" s="1557">
        <v>0</v>
      </c>
    </row>
    <row r="189" spans="1:32" s="1739" customFormat="1" ht="30" customHeight="1">
      <c r="A189" s="3827"/>
      <c r="B189" s="1288"/>
      <c r="C189" s="1564"/>
      <c r="D189" s="617" t="s">
        <v>90</v>
      </c>
      <c r="E189" s="480" t="s">
        <v>724</v>
      </c>
      <c r="F189" s="474" t="s">
        <v>725</v>
      </c>
      <c r="G189" s="1989" t="s">
        <v>599</v>
      </c>
      <c r="H189" s="685"/>
      <c r="I189" s="685">
        <v>2.2999999999999998</v>
      </c>
      <c r="J189" s="1447" t="s">
        <v>600</v>
      </c>
      <c r="K189" s="668"/>
      <c r="L189" s="1564"/>
      <c r="M189" s="1564"/>
      <c r="N189" s="1288"/>
      <c r="O189" s="1288"/>
      <c r="P189" s="1288"/>
      <c r="Q189" s="1288"/>
      <c r="R189" s="1564"/>
      <c r="S189" s="1288"/>
      <c r="T189" s="1288"/>
      <c r="U189" s="670"/>
      <c r="V189" s="1288"/>
      <c r="W189" s="1288"/>
      <c r="X189" s="1288"/>
      <c r="Y189" s="1288"/>
      <c r="Z189" s="1288"/>
      <c r="AA189" s="1554"/>
      <c r="AB189" s="1554"/>
      <c r="AC189" s="1554"/>
      <c r="AD189" s="1554"/>
      <c r="AE189" s="1554"/>
      <c r="AF189" s="1557">
        <v>0</v>
      </c>
    </row>
    <row r="190" spans="1:32" s="1739" customFormat="1" ht="39.75" customHeight="1">
      <c r="A190" s="3827"/>
      <c r="B190" s="1288"/>
      <c r="C190" s="1564"/>
      <c r="D190" s="617" t="s">
        <v>90</v>
      </c>
      <c r="E190" s="480" t="s">
        <v>726</v>
      </c>
      <c r="F190" s="474" t="s">
        <v>727</v>
      </c>
      <c r="G190" s="1989" t="s">
        <v>599</v>
      </c>
      <c r="H190" s="685"/>
      <c r="I190" s="685">
        <v>2.2000000000000002</v>
      </c>
      <c r="J190" s="1447" t="s">
        <v>600</v>
      </c>
      <c r="K190" s="668"/>
      <c r="L190" s="1564"/>
      <c r="M190" s="1564"/>
      <c r="N190" s="1288"/>
      <c r="O190" s="1288"/>
      <c r="P190" s="1288"/>
      <c r="Q190" s="1288"/>
      <c r="R190" s="1564"/>
      <c r="S190" s="1288"/>
      <c r="T190" s="1288"/>
      <c r="U190" s="670"/>
      <c r="V190" s="1288"/>
      <c r="W190" s="1288"/>
      <c r="X190" s="1288"/>
      <c r="Y190" s="1288"/>
      <c r="Z190" s="1288"/>
      <c r="AA190" s="1554"/>
      <c r="AB190" s="1554"/>
      <c r="AC190" s="1554"/>
      <c r="AD190" s="1554"/>
      <c r="AE190" s="1554"/>
      <c r="AF190" s="1557">
        <v>0</v>
      </c>
    </row>
    <row r="191" spans="1:32" s="1739" customFormat="1" ht="34.5" customHeight="1">
      <c r="A191" s="3827"/>
      <c r="B191" s="1288"/>
      <c r="C191" s="1564"/>
      <c r="D191" s="617" t="s">
        <v>90</v>
      </c>
      <c r="E191" s="480" t="s">
        <v>728</v>
      </c>
      <c r="F191" s="474" t="s">
        <v>729</v>
      </c>
      <c r="G191" s="1989" t="s">
        <v>599</v>
      </c>
      <c r="H191" s="685"/>
      <c r="I191" s="685">
        <v>9</v>
      </c>
      <c r="J191" s="1447" t="s">
        <v>600</v>
      </c>
      <c r="K191" s="668"/>
      <c r="L191" s="1564"/>
      <c r="M191" s="1564"/>
      <c r="N191" s="1288"/>
      <c r="O191" s="1288"/>
      <c r="P191" s="1288"/>
      <c r="Q191" s="1288"/>
      <c r="R191" s="1564"/>
      <c r="S191" s="1288"/>
      <c r="T191" s="1288"/>
      <c r="U191" s="670"/>
      <c r="V191" s="1288"/>
      <c r="W191" s="1288"/>
      <c r="X191" s="1288"/>
      <c r="Y191" s="1288"/>
      <c r="Z191" s="1288"/>
      <c r="AA191" s="1554"/>
      <c r="AB191" s="1554"/>
      <c r="AC191" s="1554"/>
      <c r="AD191" s="1554"/>
      <c r="AE191" s="1554"/>
      <c r="AF191" s="1557">
        <v>0</v>
      </c>
    </row>
    <row r="192" spans="1:32" s="1739" customFormat="1" ht="35.25" customHeight="1">
      <c r="A192" s="3827"/>
      <c r="B192" s="1288"/>
      <c r="C192" s="1564"/>
      <c r="D192" s="617" t="s">
        <v>90</v>
      </c>
      <c r="E192" s="480" t="s">
        <v>730</v>
      </c>
      <c r="F192" s="474" t="s">
        <v>731</v>
      </c>
      <c r="G192" s="1989" t="s">
        <v>599</v>
      </c>
      <c r="H192" s="685"/>
      <c r="I192" s="685">
        <v>2</v>
      </c>
      <c r="J192" s="1447" t="s">
        <v>600</v>
      </c>
      <c r="K192" s="668"/>
      <c r="L192" s="1564"/>
      <c r="M192" s="1564"/>
      <c r="N192" s="1288"/>
      <c r="O192" s="1288"/>
      <c r="P192" s="1288"/>
      <c r="Q192" s="1288"/>
      <c r="R192" s="1564"/>
      <c r="S192" s="1288"/>
      <c r="T192" s="1288"/>
      <c r="U192" s="670"/>
      <c r="V192" s="1288"/>
      <c r="W192" s="1288"/>
      <c r="X192" s="1288"/>
      <c r="Y192" s="1288"/>
      <c r="Z192" s="1288"/>
      <c r="AA192" s="1554"/>
      <c r="AB192" s="1554"/>
      <c r="AC192" s="1554"/>
      <c r="AD192" s="1554"/>
      <c r="AE192" s="1554"/>
      <c r="AF192" s="1557">
        <v>0</v>
      </c>
    </row>
    <row r="193" spans="1:32" s="1739" customFormat="1" ht="24" customHeight="1">
      <c r="A193" s="3827"/>
      <c r="B193" s="1288"/>
      <c r="C193" s="1564"/>
      <c r="D193" s="617" t="s">
        <v>90</v>
      </c>
      <c r="E193" s="480" t="s">
        <v>732</v>
      </c>
      <c r="F193" s="474" t="s">
        <v>733</v>
      </c>
      <c r="G193" s="1989" t="s">
        <v>599</v>
      </c>
      <c r="H193" s="685"/>
      <c r="I193" s="685">
        <v>6.3</v>
      </c>
      <c r="J193" s="1447" t="s">
        <v>600</v>
      </c>
      <c r="K193" s="668"/>
      <c r="L193" s="1564"/>
      <c r="M193" s="1564"/>
      <c r="N193" s="1288"/>
      <c r="O193" s="1288"/>
      <c r="P193" s="1288"/>
      <c r="Q193" s="1288"/>
      <c r="R193" s="1564"/>
      <c r="S193" s="1288"/>
      <c r="T193" s="1288"/>
      <c r="U193" s="670"/>
      <c r="V193" s="1288"/>
      <c r="W193" s="1288"/>
      <c r="X193" s="1288"/>
      <c r="Y193" s="1288"/>
      <c r="Z193" s="1288"/>
      <c r="AA193" s="1554"/>
      <c r="AB193" s="1554"/>
      <c r="AC193" s="1554"/>
      <c r="AD193" s="1554"/>
      <c r="AE193" s="1554"/>
      <c r="AF193" s="1557">
        <v>0</v>
      </c>
    </row>
    <row r="194" spans="1:32" s="1739" customFormat="1" ht="24" customHeight="1">
      <c r="A194" s="3827"/>
      <c r="B194" s="1288"/>
      <c r="C194" s="1564"/>
      <c r="D194" s="617" t="s">
        <v>90</v>
      </c>
      <c r="E194" s="480" t="s">
        <v>734</v>
      </c>
      <c r="F194" s="474" t="s">
        <v>735</v>
      </c>
      <c r="G194" s="1989" t="s">
        <v>599</v>
      </c>
      <c r="H194" s="685"/>
      <c r="I194" s="685">
        <v>400</v>
      </c>
      <c r="J194" s="1447" t="s">
        <v>600</v>
      </c>
      <c r="K194" s="668"/>
      <c r="L194" s="1564"/>
      <c r="M194" s="1564"/>
      <c r="N194" s="1288"/>
      <c r="O194" s="1288"/>
      <c r="P194" s="1288"/>
      <c r="Q194" s="1288"/>
      <c r="R194" s="1564"/>
      <c r="S194" s="1288"/>
      <c r="T194" s="1288"/>
      <c r="U194" s="670"/>
      <c r="V194" s="1288"/>
      <c r="W194" s="1288"/>
      <c r="X194" s="1288"/>
      <c r="Y194" s="1288"/>
      <c r="Z194" s="1288"/>
      <c r="AA194" s="1554"/>
      <c r="AB194" s="1554"/>
      <c r="AC194" s="1554"/>
      <c r="AD194" s="1554"/>
      <c r="AE194" s="1554"/>
      <c r="AF194" s="1557">
        <v>0</v>
      </c>
    </row>
    <row r="195" spans="1:32" s="1739" customFormat="1" ht="35.25" customHeight="1">
      <c r="A195" s="3827"/>
      <c r="B195" s="1288"/>
      <c r="C195" s="1564"/>
      <c r="D195" s="617" t="s">
        <v>90</v>
      </c>
      <c r="E195" s="480" t="s">
        <v>736</v>
      </c>
      <c r="F195" s="474" t="s">
        <v>737</v>
      </c>
      <c r="G195" s="1989" t="s">
        <v>599</v>
      </c>
      <c r="H195" s="685"/>
      <c r="I195" s="685">
        <v>1.7</v>
      </c>
      <c r="J195" s="1447" t="s">
        <v>600</v>
      </c>
      <c r="K195" s="668"/>
      <c r="L195" s="1564"/>
      <c r="M195" s="1564"/>
      <c r="N195" s="1288"/>
      <c r="O195" s="1288"/>
      <c r="P195" s="1288"/>
      <c r="Q195" s="1288"/>
      <c r="R195" s="1564"/>
      <c r="S195" s="1288"/>
      <c r="T195" s="1288"/>
      <c r="U195" s="670"/>
      <c r="V195" s="1288"/>
      <c r="W195" s="1288"/>
      <c r="X195" s="1288"/>
      <c r="Y195" s="1288"/>
      <c r="Z195" s="1288"/>
      <c r="AA195" s="1554"/>
      <c r="AB195" s="1554"/>
      <c r="AC195" s="1554"/>
      <c r="AD195" s="1554"/>
      <c r="AE195" s="1554"/>
      <c r="AF195" s="1557">
        <v>0</v>
      </c>
    </row>
    <row r="196" spans="1:32" s="1739" customFormat="1" ht="24" customHeight="1">
      <c r="A196" s="3827"/>
      <c r="B196" s="1288"/>
      <c r="C196" s="1564"/>
      <c r="D196" s="617" t="s">
        <v>90</v>
      </c>
      <c r="E196" s="480" t="s">
        <v>738</v>
      </c>
      <c r="F196" s="474" t="s">
        <v>739</v>
      </c>
      <c r="G196" s="1989" t="s">
        <v>599</v>
      </c>
      <c r="H196" s="685"/>
      <c r="I196" s="685">
        <v>1.1000000000000001</v>
      </c>
      <c r="J196" s="1447" t="s">
        <v>600</v>
      </c>
      <c r="K196" s="668"/>
      <c r="L196" s="1564"/>
      <c r="M196" s="1564"/>
      <c r="N196" s="1288"/>
      <c r="O196" s="1288"/>
      <c r="P196" s="1288"/>
      <c r="Q196" s="1288"/>
      <c r="R196" s="1564"/>
      <c r="S196" s="1288"/>
      <c r="T196" s="1288"/>
      <c r="U196" s="670"/>
      <c r="V196" s="1288"/>
      <c r="W196" s="1288"/>
      <c r="X196" s="1288"/>
      <c r="Y196" s="1288"/>
      <c r="Z196" s="1288"/>
      <c r="AA196" s="1554"/>
      <c r="AB196" s="1554"/>
      <c r="AC196" s="1554"/>
      <c r="AD196" s="1554"/>
      <c r="AE196" s="1554"/>
      <c r="AF196" s="1557">
        <v>0</v>
      </c>
    </row>
    <row r="197" spans="1:32" s="1739" customFormat="1" ht="35.25" customHeight="1">
      <c r="A197" s="3827"/>
      <c r="B197" s="1288"/>
      <c r="C197" s="1564"/>
      <c r="D197" s="617" t="s">
        <v>90</v>
      </c>
      <c r="E197" s="480" t="s">
        <v>740</v>
      </c>
      <c r="F197" s="474" t="s">
        <v>741</v>
      </c>
      <c r="G197" s="1989" t="s">
        <v>599</v>
      </c>
      <c r="H197" s="685"/>
      <c r="I197" s="685">
        <v>0.1</v>
      </c>
      <c r="J197" s="1447" t="s">
        <v>600</v>
      </c>
      <c r="K197" s="668"/>
      <c r="L197" s="1564"/>
      <c r="M197" s="1564"/>
      <c r="N197" s="1288"/>
      <c r="O197" s="1288"/>
      <c r="P197" s="1288"/>
      <c r="Q197" s="1288"/>
      <c r="R197" s="1564"/>
      <c r="S197" s="1288"/>
      <c r="T197" s="1288"/>
      <c r="U197" s="670"/>
      <c r="V197" s="1288"/>
      <c r="W197" s="1288"/>
      <c r="X197" s="1288"/>
      <c r="Y197" s="1288"/>
      <c r="Z197" s="1288"/>
      <c r="AA197" s="1554"/>
      <c r="AB197" s="1554"/>
      <c r="AC197" s="1554"/>
      <c r="AD197" s="1554"/>
      <c r="AE197" s="1554"/>
      <c r="AF197" s="1557">
        <v>0</v>
      </c>
    </row>
    <row r="198" spans="1:32" s="1739" customFormat="1" ht="35.25" customHeight="1">
      <c r="A198" s="3827"/>
      <c r="B198" s="1288"/>
      <c r="C198" s="1564"/>
      <c r="D198" s="617" t="s">
        <v>90</v>
      </c>
      <c r="E198" s="480" t="s">
        <v>742</v>
      </c>
      <c r="F198" s="474" t="s">
        <v>743</v>
      </c>
      <c r="G198" s="1989" t="s">
        <v>599</v>
      </c>
      <c r="H198" s="685"/>
      <c r="I198" s="685">
        <v>0.3</v>
      </c>
      <c r="J198" s="1447" t="s">
        <v>600</v>
      </c>
      <c r="K198" s="668"/>
      <c r="L198" s="1564"/>
      <c r="M198" s="1564"/>
      <c r="N198" s="1288"/>
      <c r="O198" s="1288"/>
      <c r="P198" s="1288"/>
      <c r="Q198" s="1288"/>
      <c r="R198" s="1564"/>
      <c r="S198" s="1288"/>
      <c r="T198" s="1288"/>
      <c r="U198" s="670"/>
      <c r="V198" s="1288"/>
      <c r="W198" s="1288"/>
      <c r="X198" s="1288"/>
      <c r="Y198" s="1288"/>
      <c r="Z198" s="1288"/>
      <c r="AA198" s="1554"/>
      <c r="AB198" s="1554"/>
      <c r="AC198" s="1554"/>
      <c r="AD198" s="1554"/>
      <c r="AE198" s="1554"/>
      <c r="AF198" s="1557">
        <v>0</v>
      </c>
    </row>
    <row r="199" spans="1:32" s="1739" customFormat="1" ht="35.25" customHeight="1">
      <c r="A199" s="3827"/>
      <c r="B199" s="1288"/>
      <c r="C199" s="1564"/>
      <c r="D199" s="617" t="s">
        <v>90</v>
      </c>
      <c r="E199" s="480" t="s">
        <v>744</v>
      </c>
      <c r="F199" s="474" t="s">
        <v>745</v>
      </c>
      <c r="G199" s="1989" t="s">
        <v>599</v>
      </c>
      <c r="H199" s="685"/>
      <c r="I199" s="685">
        <v>0.3</v>
      </c>
      <c r="J199" s="1447" t="s">
        <v>600</v>
      </c>
      <c r="K199" s="668"/>
      <c r="L199" s="1564"/>
      <c r="M199" s="1564"/>
      <c r="N199" s="1288"/>
      <c r="O199" s="1288"/>
      <c r="P199" s="1288"/>
      <c r="Q199" s="1288"/>
      <c r="R199" s="1564"/>
      <c r="S199" s="1288"/>
      <c r="T199" s="1288"/>
      <c r="U199" s="670"/>
      <c r="V199" s="1288"/>
      <c r="W199" s="1288"/>
      <c r="X199" s="1288"/>
      <c r="Y199" s="1288"/>
      <c r="Z199" s="1288"/>
      <c r="AA199" s="1554"/>
      <c r="AB199" s="1554"/>
      <c r="AC199" s="1554"/>
      <c r="AD199" s="1554"/>
      <c r="AE199" s="1554"/>
      <c r="AF199" s="1557">
        <v>0</v>
      </c>
    </row>
    <row r="200" spans="1:32" s="1739" customFormat="1" ht="35.25" customHeight="1">
      <c r="A200" s="3827"/>
      <c r="B200" s="1288"/>
      <c r="C200" s="1564"/>
      <c r="D200" s="617" t="s">
        <v>90</v>
      </c>
      <c r="E200" s="480" t="s">
        <v>746</v>
      </c>
      <c r="F200" s="474" t="s">
        <v>747</v>
      </c>
      <c r="G200" s="1989" t="s">
        <v>599</v>
      </c>
      <c r="H200" s="685"/>
      <c r="I200" s="685">
        <v>1.6</v>
      </c>
      <c r="J200" s="1447" t="s">
        <v>600</v>
      </c>
      <c r="K200" s="668"/>
      <c r="L200" s="1564"/>
      <c r="M200" s="1564"/>
      <c r="N200" s="1288"/>
      <c r="O200" s="1288"/>
      <c r="P200" s="1288"/>
      <c r="Q200" s="1288"/>
      <c r="R200" s="1564"/>
      <c r="S200" s="1288"/>
      <c r="T200" s="1288"/>
      <c r="U200" s="670"/>
      <c r="V200" s="1288"/>
      <c r="W200" s="1288"/>
      <c r="X200" s="1288"/>
      <c r="Y200" s="1288"/>
      <c r="Z200" s="1288"/>
      <c r="AA200" s="1554"/>
      <c r="AB200" s="1554"/>
      <c r="AC200" s="1554"/>
      <c r="AD200" s="1554"/>
      <c r="AE200" s="1554"/>
      <c r="AF200" s="1557">
        <v>0</v>
      </c>
    </row>
    <row r="201" spans="1:32" s="1739" customFormat="1" ht="24" customHeight="1">
      <c r="A201" s="3827"/>
      <c r="B201" s="1288"/>
      <c r="C201" s="1564"/>
      <c r="D201" s="617" t="s">
        <v>90</v>
      </c>
      <c r="E201" s="480" t="s">
        <v>748</v>
      </c>
      <c r="F201" s="474" t="s">
        <v>749</v>
      </c>
      <c r="G201" s="1989" t="s">
        <v>599</v>
      </c>
      <c r="H201" s="685"/>
      <c r="I201" s="685">
        <v>8</v>
      </c>
      <c r="J201" s="1447" t="s">
        <v>600</v>
      </c>
      <c r="K201" s="668"/>
      <c r="L201" s="1564"/>
      <c r="M201" s="1564"/>
      <c r="N201" s="1288"/>
      <c r="O201" s="1288"/>
      <c r="P201" s="1288"/>
      <c r="Q201" s="1288"/>
      <c r="R201" s="1564"/>
      <c r="S201" s="1288"/>
      <c r="T201" s="1288"/>
      <c r="U201" s="670"/>
      <c r="V201" s="1288"/>
      <c r="W201" s="1288"/>
      <c r="X201" s="1288"/>
      <c r="Y201" s="1288"/>
      <c r="Z201" s="1288"/>
      <c r="AA201" s="1554"/>
      <c r="AB201" s="1554"/>
      <c r="AC201" s="1554"/>
      <c r="AD201" s="1554"/>
      <c r="AE201" s="1554"/>
      <c r="AF201" s="1557">
        <v>0</v>
      </c>
    </row>
    <row r="202" spans="1:32" s="1739" customFormat="1" ht="24" customHeight="1">
      <c r="A202" s="3827"/>
      <c r="B202" s="1288"/>
      <c r="C202" s="1564"/>
      <c r="D202" s="617" t="s">
        <v>90</v>
      </c>
      <c r="E202" s="480" t="s">
        <v>750</v>
      </c>
      <c r="F202" s="474" t="s">
        <v>751</v>
      </c>
      <c r="G202" s="1989" t="s">
        <v>599</v>
      </c>
      <c r="H202" s="685"/>
      <c r="I202" s="685">
        <v>4</v>
      </c>
      <c r="J202" s="1447" t="s">
        <v>600</v>
      </c>
      <c r="K202" s="668"/>
      <c r="L202" s="1564"/>
      <c r="M202" s="1564"/>
      <c r="N202" s="1288"/>
      <c r="O202" s="1288"/>
      <c r="P202" s="1288"/>
      <c r="Q202" s="1288"/>
      <c r="R202" s="1564"/>
      <c r="S202" s="1288"/>
      <c r="T202" s="1288"/>
      <c r="U202" s="670"/>
      <c r="V202" s="1288"/>
      <c r="W202" s="1288"/>
      <c r="X202" s="1288"/>
      <c r="Y202" s="1288"/>
      <c r="Z202" s="1288"/>
      <c r="AA202" s="1554"/>
      <c r="AB202" s="1554"/>
      <c r="AC202" s="1554"/>
      <c r="AD202" s="1554"/>
      <c r="AE202" s="1554"/>
      <c r="AF202" s="1557">
        <v>0</v>
      </c>
    </row>
    <row r="203" spans="1:32" s="1739" customFormat="1" ht="35.25" customHeight="1">
      <c r="A203" s="3827"/>
      <c r="B203" s="1288"/>
      <c r="C203" s="1564"/>
      <c r="D203" s="617" t="s">
        <v>90</v>
      </c>
      <c r="E203" s="480" t="s">
        <v>752</v>
      </c>
      <c r="F203" s="474" t="s">
        <v>753</v>
      </c>
      <c r="G203" s="1989" t="s">
        <v>599</v>
      </c>
      <c r="H203" s="685"/>
      <c r="I203" s="685">
        <v>6</v>
      </c>
      <c r="J203" s="1447" t="s">
        <v>600</v>
      </c>
      <c r="K203" s="668"/>
      <c r="L203" s="1564"/>
      <c r="M203" s="1564"/>
      <c r="N203" s="1288"/>
      <c r="O203" s="1288"/>
      <c r="P203" s="1288"/>
      <c r="Q203" s="1288"/>
      <c r="R203" s="1564"/>
      <c r="S203" s="1288"/>
      <c r="T203" s="1288"/>
      <c r="U203" s="670"/>
      <c r="V203" s="1288"/>
      <c r="W203" s="1288"/>
      <c r="X203" s="1288"/>
      <c r="Y203" s="1288"/>
      <c r="Z203" s="1288"/>
      <c r="AA203" s="1554"/>
      <c r="AB203" s="1554"/>
      <c r="AC203" s="1554"/>
      <c r="AD203" s="1554"/>
      <c r="AE203" s="1554"/>
      <c r="AF203" s="1557">
        <v>0</v>
      </c>
    </row>
    <row r="204" spans="1:32" s="1739" customFormat="1" ht="24" customHeight="1">
      <c r="A204" s="3827"/>
      <c r="B204" s="1288"/>
      <c r="C204" s="1564"/>
      <c r="D204" s="617" t="s">
        <v>90</v>
      </c>
      <c r="E204" s="480" t="s">
        <v>754</v>
      </c>
      <c r="F204" s="474" t="s">
        <v>755</v>
      </c>
      <c r="G204" s="1989" t="s">
        <v>599</v>
      </c>
      <c r="H204" s="685"/>
      <c r="I204" s="685">
        <v>0.7</v>
      </c>
      <c r="J204" s="1447" t="s">
        <v>600</v>
      </c>
      <c r="K204" s="668"/>
      <c r="L204" s="1564"/>
      <c r="M204" s="1564"/>
      <c r="N204" s="1288"/>
      <c r="O204" s="1288"/>
      <c r="P204" s="1288"/>
      <c r="Q204" s="1288"/>
      <c r="R204" s="1564"/>
      <c r="S204" s="1288"/>
      <c r="T204" s="1288"/>
      <c r="U204" s="670"/>
      <c r="V204" s="1288"/>
      <c r="W204" s="1288"/>
      <c r="X204" s="1288"/>
      <c r="Y204" s="1288"/>
      <c r="Z204" s="1288"/>
      <c r="AA204" s="1554"/>
      <c r="AB204" s="1554"/>
      <c r="AC204" s="1554"/>
      <c r="AD204" s="1554"/>
      <c r="AE204" s="1554"/>
      <c r="AF204" s="1557">
        <v>0</v>
      </c>
    </row>
    <row r="205" spans="1:32" s="1739" customFormat="1" ht="24" customHeight="1">
      <c r="A205" s="3827"/>
      <c r="B205" s="1288"/>
      <c r="C205" s="1564"/>
      <c r="D205" s="617" t="s">
        <v>90</v>
      </c>
      <c r="E205" s="480" t="s">
        <v>756</v>
      </c>
      <c r="F205" s="474" t="s">
        <v>757</v>
      </c>
      <c r="G205" s="1989" t="s">
        <v>599</v>
      </c>
      <c r="H205" s="685"/>
      <c r="I205" s="685">
        <v>4</v>
      </c>
      <c r="J205" s="1447" t="s">
        <v>600</v>
      </c>
      <c r="K205" s="668"/>
      <c r="L205" s="1564"/>
      <c r="M205" s="1564"/>
      <c r="N205" s="1288"/>
      <c r="O205" s="1288"/>
      <c r="P205" s="1288"/>
      <c r="Q205" s="1288"/>
      <c r="R205" s="1564"/>
      <c r="S205" s="1288"/>
      <c r="T205" s="1288"/>
      <c r="U205" s="670"/>
      <c r="V205" s="1288"/>
      <c r="W205" s="1288"/>
      <c r="X205" s="1288"/>
      <c r="Y205" s="1288"/>
      <c r="Z205" s="1288"/>
      <c r="AA205" s="1554"/>
      <c r="AB205" s="1554"/>
      <c r="AC205" s="1554"/>
      <c r="AD205" s="1554"/>
      <c r="AE205" s="1554"/>
      <c r="AF205" s="1557">
        <v>0</v>
      </c>
    </row>
    <row r="206" spans="1:32" s="1739" customFormat="1" ht="24" customHeight="1">
      <c r="A206" s="3827"/>
      <c r="B206" s="1288"/>
      <c r="C206" s="1564"/>
      <c r="D206" s="617" t="s">
        <v>90</v>
      </c>
      <c r="E206" s="480" t="s">
        <v>758</v>
      </c>
      <c r="F206" s="474" t="s">
        <v>759</v>
      </c>
      <c r="G206" s="1989" t="s">
        <v>599</v>
      </c>
      <c r="H206" s="685"/>
      <c r="I206" s="685">
        <v>99</v>
      </c>
      <c r="J206" s="1447" t="s">
        <v>600</v>
      </c>
      <c r="K206" s="668"/>
      <c r="L206" s="1564"/>
      <c r="M206" s="1564"/>
      <c r="N206" s="1288"/>
      <c r="O206" s="1288"/>
      <c r="P206" s="1288"/>
      <c r="Q206" s="1288"/>
      <c r="R206" s="1564"/>
      <c r="S206" s="1288"/>
      <c r="T206" s="1288"/>
      <c r="U206" s="670"/>
      <c r="V206" s="1288"/>
      <c r="W206" s="1288"/>
      <c r="X206" s="1288"/>
      <c r="Y206" s="1288"/>
      <c r="Z206" s="1288"/>
      <c r="AA206" s="1554"/>
      <c r="AB206" s="1554"/>
      <c r="AC206" s="1554"/>
      <c r="AD206" s="1554"/>
      <c r="AE206" s="1554"/>
      <c r="AF206" s="1557">
        <v>0</v>
      </c>
    </row>
    <row r="207" spans="1:32" s="1739" customFormat="1" ht="24" customHeight="1">
      <c r="A207" s="3827"/>
      <c r="B207" s="1288"/>
      <c r="C207" s="1564"/>
      <c r="D207" s="617" t="s">
        <v>90</v>
      </c>
      <c r="E207" s="480" t="s">
        <v>760</v>
      </c>
      <c r="F207" s="474" t="s">
        <v>761</v>
      </c>
      <c r="G207" s="1989" t="s">
        <v>599</v>
      </c>
      <c r="H207" s="685"/>
      <c r="I207" s="685">
        <v>4.8</v>
      </c>
      <c r="J207" s="1447" t="s">
        <v>600</v>
      </c>
      <c r="K207" s="668"/>
      <c r="L207" s="1564"/>
      <c r="M207" s="1564"/>
      <c r="N207" s="1288"/>
      <c r="O207" s="1288"/>
      <c r="P207" s="1288"/>
      <c r="Q207" s="1288"/>
      <c r="R207" s="1564"/>
      <c r="S207" s="1288"/>
      <c r="T207" s="1288"/>
      <c r="U207" s="670"/>
      <c r="V207" s="1288"/>
      <c r="W207" s="1288"/>
      <c r="X207" s="1288"/>
      <c r="Y207" s="1288"/>
      <c r="Z207" s="1288"/>
      <c r="AA207" s="1554"/>
      <c r="AB207" s="1554"/>
      <c r="AC207" s="1554"/>
      <c r="AD207" s="1554"/>
      <c r="AE207" s="1554"/>
      <c r="AF207" s="1557">
        <v>0</v>
      </c>
    </row>
    <row r="208" spans="1:32" s="1739" customFormat="1" ht="35.25" customHeight="1">
      <c r="A208" s="3827"/>
      <c r="B208" s="1288"/>
      <c r="C208" s="1564"/>
      <c r="D208" s="617" t="s">
        <v>90</v>
      </c>
      <c r="E208" s="480" t="s">
        <v>762</v>
      </c>
      <c r="F208" s="474" t="s">
        <v>763</v>
      </c>
      <c r="G208" s="1989" t="s">
        <v>599</v>
      </c>
      <c r="H208" s="685"/>
      <c r="I208" s="685">
        <v>0.9</v>
      </c>
      <c r="J208" s="1447" t="s">
        <v>600</v>
      </c>
      <c r="K208" s="668"/>
      <c r="L208" s="1564"/>
      <c r="M208" s="1564"/>
      <c r="N208" s="1288"/>
      <c r="O208" s="1288"/>
      <c r="P208" s="1288"/>
      <c r="Q208" s="1288"/>
      <c r="R208" s="1564"/>
      <c r="S208" s="1288"/>
      <c r="T208" s="1288"/>
      <c r="U208" s="670"/>
      <c r="V208" s="1288"/>
      <c r="W208" s="1288"/>
      <c r="X208" s="1288"/>
      <c r="Y208" s="1288"/>
      <c r="Z208" s="1288"/>
      <c r="AA208" s="1554"/>
      <c r="AB208" s="1554"/>
      <c r="AC208" s="1554"/>
      <c r="AD208" s="1554"/>
      <c r="AE208" s="1554"/>
      <c r="AF208" s="1557">
        <v>0</v>
      </c>
    </row>
    <row r="209" spans="1:32" s="1739" customFormat="1" ht="18.75" customHeight="1">
      <c r="A209" s="3827"/>
      <c r="B209" s="1288"/>
      <c r="C209" s="1564"/>
      <c r="D209" s="617" t="s">
        <v>90</v>
      </c>
      <c r="E209" s="480" t="s">
        <v>764</v>
      </c>
      <c r="F209" s="474" t="s">
        <v>765</v>
      </c>
      <c r="G209" s="1989" t="s">
        <v>599</v>
      </c>
      <c r="H209" s="685"/>
      <c r="I209" s="685">
        <v>0.7</v>
      </c>
      <c r="J209" s="1447" t="s">
        <v>600</v>
      </c>
      <c r="K209" s="668"/>
      <c r="L209" s="1564"/>
      <c r="M209" s="1564"/>
      <c r="N209" s="1288"/>
      <c r="O209" s="1288"/>
      <c r="P209" s="1288"/>
      <c r="Q209" s="1288"/>
      <c r="R209" s="1564"/>
      <c r="S209" s="1288"/>
      <c r="T209" s="1288"/>
      <c r="U209" s="670"/>
      <c r="V209" s="1288"/>
      <c r="W209" s="1288"/>
      <c r="X209" s="1288"/>
      <c r="Y209" s="1288"/>
      <c r="Z209" s="1288"/>
      <c r="AA209" s="1554"/>
      <c r="AB209" s="1554"/>
      <c r="AC209" s="1554"/>
      <c r="AD209" s="1554"/>
      <c r="AE209" s="1554"/>
      <c r="AF209" s="1557">
        <v>0</v>
      </c>
    </row>
    <row r="210" spans="1:32" s="1739" customFormat="1" ht="24" customHeight="1">
      <c r="A210" s="3827"/>
      <c r="B210" s="1288"/>
      <c r="C210" s="1564"/>
      <c r="D210" s="617" t="s">
        <v>90</v>
      </c>
      <c r="E210" s="480" t="s">
        <v>766</v>
      </c>
      <c r="F210" s="474" t="s">
        <v>767</v>
      </c>
      <c r="G210" s="1989" t="s">
        <v>599</v>
      </c>
      <c r="H210" s="685"/>
      <c r="I210" s="685">
        <v>15</v>
      </c>
      <c r="J210" s="1447" t="s">
        <v>600</v>
      </c>
      <c r="K210" s="668"/>
      <c r="L210" s="1564"/>
      <c r="M210" s="1564"/>
      <c r="N210" s="1288"/>
      <c r="O210" s="1288"/>
      <c r="P210" s="1288"/>
      <c r="Q210" s="1288"/>
      <c r="R210" s="1564"/>
      <c r="S210" s="1288"/>
      <c r="T210" s="1288"/>
      <c r="U210" s="670"/>
      <c r="V210" s="1288"/>
      <c r="W210" s="1288"/>
      <c r="X210" s="1288"/>
      <c r="Y210" s="1288"/>
      <c r="Z210" s="1288"/>
      <c r="AA210" s="1554"/>
      <c r="AB210" s="1554"/>
      <c r="AC210" s="1554"/>
      <c r="AD210" s="1554"/>
      <c r="AE210" s="1554"/>
      <c r="AF210" s="1557">
        <v>0</v>
      </c>
    </row>
    <row r="211" spans="1:32" s="1739" customFormat="1" ht="24" customHeight="1">
      <c r="A211" s="3827"/>
      <c r="B211" s="1288"/>
      <c r="C211" s="1564"/>
      <c r="D211" s="617" t="s">
        <v>90</v>
      </c>
      <c r="E211" s="480" t="s">
        <v>768</v>
      </c>
      <c r="F211" s="474" t="s">
        <v>769</v>
      </c>
      <c r="G211" s="1989" t="s">
        <v>599</v>
      </c>
      <c r="H211" s="685"/>
      <c r="I211" s="685">
        <v>1.9</v>
      </c>
      <c r="J211" s="1447" t="s">
        <v>600</v>
      </c>
      <c r="K211" s="668"/>
      <c r="L211" s="1564"/>
      <c r="M211" s="1564"/>
      <c r="N211" s="1288"/>
      <c r="O211" s="1288"/>
      <c r="P211" s="1288"/>
      <c r="Q211" s="1288"/>
      <c r="R211" s="1564"/>
      <c r="S211" s="1288"/>
      <c r="T211" s="1288"/>
      <c r="U211" s="670"/>
      <c r="V211" s="1288"/>
      <c r="W211" s="1288"/>
      <c r="X211" s="1288"/>
      <c r="Y211" s="1288"/>
      <c r="Z211" s="1288"/>
      <c r="AA211" s="1554"/>
      <c r="AB211" s="1554"/>
      <c r="AC211" s="1554"/>
      <c r="AD211" s="1554"/>
      <c r="AE211" s="1554"/>
      <c r="AF211" s="1557">
        <v>0</v>
      </c>
    </row>
    <row r="212" spans="1:32" s="1739" customFormat="1" ht="24" customHeight="1">
      <c r="A212" s="3827"/>
      <c r="B212" s="1288"/>
      <c r="C212" s="1564"/>
      <c r="D212" s="617" t="s">
        <v>90</v>
      </c>
      <c r="E212" s="480" t="s">
        <v>770</v>
      </c>
      <c r="F212" s="474" t="s">
        <v>771</v>
      </c>
      <c r="G212" s="1989" t="s">
        <v>599</v>
      </c>
      <c r="H212" s="685"/>
      <c r="I212" s="685">
        <v>40</v>
      </c>
      <c r="J212" s="1447" t="s">
        <v>600</v>
      </c>
      <c r="K212" s="668"/>
      <c r="L212" s="1564"/>
      <c r="M212" s="1564"/>
      <c r="N212" s="1288"/>
      <c r="O212" s="1288"/>
      <c r="P212" s="1288"/>
      <c r="Q212" s="1288"/>
      <c r="R212" s="1564"/>
      <c r="S212" s="1288"/>
      <c r="T212" s="1288"/>
      <c r="U212" s="670"/>
      <c r="V212" s="1288"/>
      <c r="W212" s="1288"/>
      <c r="X212" s="1288"/>
      <c r="Y212" s="1288"/>
      <c r="Z212" s="1288"/>
      <c r="AA212" s="1554"/>
      <c r="AB212" s="1554"/>
      <c r="AC212" s="1554"/>
      <c r="AD212" s="1554"/>
      <c r="AE212" s="1554"/>
      <c r="AF212" s="1557">
        <v>0</v>
      </c>
    </row>
    <row r="213" spans="1:32" s="1739" customFormat="1" ht="35.25" customHeight="1">
      <c r="A213" s="3827"/>
      <c r="B213" s="1288"/>
      <c r="C213" s="1564"/>
      <c r="D213" s="617" t="s">
        <v>90</v>
      </c>
      <c r="E213" s="480" t="s">
        <v>772</v>
      </c>
      <c r="F213" s="474" t="s">
        <v>773</v>
      </c>
      <c r="G213" s="1989" t="s">
        <v>599</v>
      </c>
      <c r="H213" s="685"/>
      <c r="I213" s="685">
        <v>4.4000000000000004</v>
      </c>
      <c r="J213" s="1447" t="s">
        <v>600</v>
      </c>
      <c r="K213" s="668"/>
      <c r="L213" s="1564"/>
      <c r="M213" s="1564"/>
      <c r="N213" s="1288"/>
      <c r="O213" s="1288"/>
      <c r="P213" s="1288"/>
      <c r="Q213" s="1288"/>
      <c r="R213" s="1564"/>
      <c r="S213" s="1288"/>
      <c r="T213" s="1288"/>
      <c r="U213" s="670"/>
      <c r="V213" s="1288"/>
      <c r="W213" s="1288"/>
      <c r="X213" s="1288"/>
      <c r="Y213" s="1288"/>
      <c r="Z213" s="1288"/>
      <c r="AA213" s="1554"/>
      <c r="AB213" s="1554"/>
      <c r="AC213" s="1554"/>
      <c r="AD213" s="1554"/>
      <c r="AE213" s="1554"/>
      <c r="AF213" s="1557">
        <v>0</v>
      </c>
    </row>
    <row r="214" spans="1:32" s="1739" customFormat="1" ht="24" customHeight="1">
      <c r="A214" s="3827"/>
      <c r="B214" s="1288"/>
      <c r="C214" s="1564"/>
      <c r="D214" s="617" t="s">
        <v>90</v>
      </c>
      <c r="E214" s="480" t="s">
        <v>774</v>
      </c>
      <c r="F214" s="474" t="s">
        <v>775</v>
      </c>
      <c r="G214" s="1989" t="s">
        <v>599</v>
      </c>
      <c r="H214" s="685"/>
      <c r="I214" s="685">
        <v>6.4</v>
      </c>
      <c r="J214" s="1447" t="s">
        <v>600</v>
      </c>
      <c r="K214" s="668"/>
      <c r="L214" s="1564"/>
      <c r="M214" s="1564"/>
      <c r="N214" s="1288"/>
      <c r="O214" s="1288"/>
      <c r="P214" s="1288"/>
      <c r="Q214" s="1288"/>
      <c r="R214" s="1564"/>
      <c r="S214" s="1288"/>
      <c r="T214" s="1288"/>
      <c r="U214" s="670"/>
      <c r="V214" s="1288"/>
      <c r="W214" s="1288"/>
      <c r="X214" s="1288"/>
      <c r="Y214" s="1288"/>
      <c r="Z214" s="1288"/>
      <c r="AA214" s="1554"/>
      <c r="AB214" s="1554"/>
      <c r="AC214" s="1554"/>
      <c r="AD214" s="1554"/>
      <c r="AE214" s="1554"/>
      <c r="AF214" s="1557">
        <v>0</v>
      </c>
    </row>
    <row r="215" spans="1:32" s="1739" customFormat="1" ht="24" customHeight="1">
      <c r="A215" s="3827"/>
      <c r="B215" s="1288"/>
      <c r="C215" s="1564"/>
      <c r="D215" s="617" t="s">
        <v>90</v>
      </c>
      <c r="E215" s="480" t="s">
        <v>776</v>
      </c>
      <c r="F215" s="474" t="s">
        <v>777</v>
      </c>
      <c r="G215" s="1989" t="s">
        <v>599</v>
      </c>
      <c r="H215" s="685"/>
      <c r="I215" s="685">
        <v>2.4</v>
      </c>
      <c r="J215" s="1447" t="s">
        <v>600</v>
      </c>
      <c r="K215" s="668"/>
      <c r="L215" s="1564"/>
      <c r="M215" s="1564"/>
      <c r="N215" s="1288"/>
      <c r="O215" s="1288"/>
      <c r="P215" s="1288"/>
      <c r="Q215" s="1288"/>
      <c r="R215" s="1564"/>
      <c r="S215" s="1288"/>
      <c r="T215" s="1288"/>
      <c r="U215" s="670"/>
      <c r="V215" s="1288"/>
      <c r="W215" s="1288"/>
      <c r="X215" s="1288"/>
      <c r="Y215" s="1288"/>
      <c r="Z215" s="1288"/>
      <c r="AA215" s="1554"/>
      <c r="AB215" s="1554"/>
      <c r="AC215" s="1554"/>
      <c r="AD215" s="1554"/>
      <c r="AE215" s="1554"/>
      <c r="AF215" s="1557">
        <v>0</v>
      </c>
    </row>
    <row r="216" spans="1:32" s="1739" customFormat="1" ht="24" customHeight="1">
      <c r="A216" s="3827"/>
      <c r="B216" s="1288"/>
      <c r="C216" s="1564"/>
      <c r="D216" s="617" t="s">
        <v>90</v>
      </c>
      <c r="E216" s="480" t="s">
        <v>778</v>
      </c>
      <c r="F216" s="474" t="s">
        <v>779</v>
      </c>
      <c r="G216" s="1989" t="s">
        <v>599</v>
      </c>
      <c r="H216" s="685"/>
      <c r="I216" s="685">
        <v>7.3</v>
      </c>
      <c r="J216" s="1447" t="s">
        <v>600</v>
      </c>
      <c r="K216" s="668"/>
      <c r="L216" s="1564"/>
      <c r="M216" s="1564"/>
      <c r="N216" s="1288"/>
      <c r="O216" s="1288"/>
      <c r="P216" s="1288"/>
      <c r="Q216" s="1288"/>
      <c r="R216" s="1564"/>
      <c r="S216" s="1288"/>
      <c r="T216" s="1288"/>
      <c r="U216" s="670"/>
      <c r="V216" s="1288"/>
      <c r="W216" s="1288"/>
      <c r="X216" s="1288"/>
      <c r="Y216" s="1288"/>
      <c r="Z216" s="1288"/>
      <c r="AA216" s="1554"/>
      <c r="AB216" s="1554"/>
      <c r="AC216" s="1554"/>
      <c r="AD216" s="1554"/>
      <c r="AE216" s="1554"/>
      <c r="AF216" s="1557">
        <v>0</v>
      </c>
    </row>
    <row r="217" spans="1:32" s="1739" customFormat="1" ht="35.25" customHeight="1">
      <c r="A217" s="3827"/>
      <c r="B217" s="1288"/>
      <c r="C217" s="1564"/>
      <c r="D217" s="617" t="s">
        <v>90</v>
      </c>
      <c r="E217" s="480" t="s">
        <v>780</v>
      </c>
      <c r="F217" s="474" t="s">
        <v>781</v>
      </c>
      <c r="G217" s="1989" t="s">
        <v>599</v>
      </c>
      <c r="H217" s="685"/>
      <c r="I217" s="685">
        <v>0.2</v>
      </c>
      <c r="J217" s="1447" t="s">
        <v>600</v>
      </c>
      <c r="K217" s="668"/>
      <c r="L217" s="1564"/>
      <c r="M217" s="1564"/>
      <c r="N217" s="1288"/>
      <c r="O217" s="1288"/>
      <c r="P217" s="1288"/>
      <c r="Q217" s="1288"/>
      <c r="R217" s="1564"/>
      <c r="S217" s="1288"/>
      <c r="T217" s="1288"/>
      <c r="U217" s="670"/>
      <c r="V217" s="1288"/>
      <c r="W217" s="1288"/>
      <c r="X217" s="1288"/>
      <c r="Y217" s="1288"/>
      <c r="Z217" s="1288"/>
      <c r="AA217" s="1554"/>
      <c r="AB217" s="1554"/>
      <c r="AC217" s="1554"/>
      <c r="AD217" s="1554"/>
      <c r="AE217" s="1554"/>
      <c r="AF217" s="1557">
        <v>0</v>
      </c>
    </row>
    <row r="218" spans="1:32" s="1739" customFormat="1" ht="24" customHeight="1">
      <c r="A218" s="3827"/>
      <c r="B218" s="1288"/>
      <c r="C218" s="1564"/>
      <c r="D218" s="617" t="s">
        <v>90</v>
      </c>
      <c r="E218" s="480" t="s">
        <v>782</v>
      </c>
      <c r="F218" s="474" t="s">
        <v>783</v>
      </c>
      <c r="G218" s="1989" t="s">
        <v>599</v>
      </c>
      <c r="H218" s="685"/>
      <c r="I218" s="685">
        <v>1.7</v>
      </c>
      <c r="J218" s="1447" t="s">
        <v>600</v>
      </c>
      <c r="K218" s="668"/>
      <c r="L218" s="1564"/>
      <c r="M218" s="1564"/>
      <c r="N218" s="1288"/>
      <c r="O218" s="1288"/>
      <c r="P218" s="1288"/>
      <c r="Q218" s="1288"/>
      <c r="R218" s="1564"/>
      <c r="S218" s="1288"/>
      <c r="T218" s="1288"/>
      <c r="U218" s="670"/>
      <c r="V218" s="1288"/>
      <c r="W218" s="1288"/>
      <c r="X218" s="1288"/>
      <c r="Y218" s="1288"/>
      <c r="Z218" s="1288"/>
      <c r="AA218" s="1554"/>
      <c r="AB218" s="1554"/>
      <c r="AC218" s="1554"/>
      <c r="AD218" s="1554"/>
      <c r="AE218" s="1554"/>
      <c r="AF218" s="1557">
        <v>0</v>
      </c>
    </row>
    <row r="219" spans="1:32" s="1739" customFormat="1" ht="24" customHeight="1">
      <c r="A219" s="3827"/>
      <c r="B219" s="1288"/>
      <c r="C219" s="1564"/>
      <c r="D219" s="617" t="s">
        <v>90</v>
      </c>
      <c r="E219" s="480" t="s">
        <v>784</v>
      </c>
      <c r="F219" s="474" t="s">
        <v>785</v>
      </c>
      <c r="G219" s="1989" t="s">
        <v>599</v>
      </c>
      <c r="H219" s="685"/>
      <c r="I219" s="685">
        <v>0.2</v>
      </c>
      <c r="J219" s="1447" t="s">
        <v>600</v>
      </c>
      <c r="K219" s="668"/>
      <c r="L219" s="1564"/>
      <c r="M219" s="1564"/>
      <c r="N219" s="1288"/>
      <c r="O219" s="1288"/>
      <c r="P219" s="1288"/>
      <c r="Q219" s="1288"/>
      <c r="R219" s="1564"/>
      <c r="S219" s="1288"/>
      <c r="T219" s="1288"/>
      <c r="U219" s="670"/>
      <c r="V219" s="1288"/>
      <c r="W219" s="1288"/>
      <c r="X219" s="1288"/>
      <c r="Y219" s="1288"/>
      <c r="Z219" s="1288"/>
      <c r="AA219" s="1554"/>
      <c r="AB219" s="1554"/>
      <c r="AC219" s="1554"/>
      <c r="AD219" s="1554"/>
      <c r="AE219" s="1554"/>
      <c r="AF219" s="1557">
        <v>0</v>
      </c>
    </row>
    <row r="220" spans="1:32" s="1739" customFormat="1" ht="24" customHeight="1">
      <c r="A220" s="3827"/>
      <c r="B220" s="1288"/>
      <c r="C220" s="1564"/>
      <c r="D220" s="617" t="s">
        <v>90</v>
      </c>
      <c r="E220" s="480" t="s">
        <v>786</v>
      </c>
      <c r="F220" s="474" t="s">
        <v>787</v>
      </c>
      <c r="G220" s="1989" t="s">
        <v>599</v>
      </c>
      <c r="H220" s="685"/>
      <c r="I220" s="685">
        <v>0.2</v>
      </c>
      <c r="J220" s="1447" t="s">
        <v>600</v>
      </c>
      <c r="K220" s="668"/>
      <c r="L220" s="1564"/>
      <c r="M220" s="1564"/>
      <c r="N220" s="1288"/>
      <c r="O220" s="1288"/>
      <c r="P220" s="1288"/>
      <c r="Q220" s="1288"/>
      <c r="R220" s="1564"/>
      <c r="S220" s="1288"/>
      <c r="T220" s="1288"/>
      <c r="U220" s="670"/>
      <c r="V220" s="1288"/>
      <c r="W220" s="1288"/>
      <c r="X220" s="1288"/>
      <c r="Y220" s="1288"/>
      <c r="Z220" s="1288"/>
      <c r="AA220" s="1554"/>
      <c r="AB220" s="1554"/>
      <c r="AC220" s="1554"/>
      <c r="AD220" s="1554"/>
      <c r="AE220" s="1554"/>
      <c r="AF220" s="1557">
        <v>0</v>
      </c>
    </row>
    <row r="221" spans="1:32" s="1739" customFormat="1" ht="24" customHeight="1">
      <c r="A221" s="3827"/>
      <c r="B221" s="1288"/>
      <c r="C221" s="1564"/>
      <c r="D221" s="617" t="s">
        <v>90</v>
      </c>
      <c r="E221" s="480" t="s">
        <v>788</v>
      </c>
      <c r="F221" s="474" t="s">
        <v>789</v>
      </c>
      <c r="G221" s="1989" t="s">
        <v>599</v>
      </c>
      <c r="H221" s="685"/>
      <c r="I221" s="685">
        <v>7.8</v>
      </c>
      <c r="J221" s="1447" t="s">
        <v>600</v>
      </c>
      <c r="K221" s="668"/>
      <c r="L221" s="1564"/>
      <c r="M221" s="1564"/>
      <c r="N221" s="1288"/>
      <c r="O221" s="1288"/>
      <c r="P221" s="1288"/>
      <c r="Q221" s="1288"/>
      <c r="R221" s="1564"/>
      <c r="S221" s="1288"/>
      <c r="T221" s="1288"/>
      <c r="U221" s="670"/>
      <c r="V221" s="1288"/>
      <c r="W221" s="1288"/>
      <c r="X221" s="1288"/>
      <c r="Y221" s="1288"/>
      <c r="Z221" s="1288"/>
      <c r="AA221" s="1554"/>
      <c r="AB221" s="1554"/>
      <c r="AC221" s="1554"/>
      <c r="AD221" s="1554"/>
      <c r="AE221" s="1554"/>
      <c r="AF221" s="1557">
        <v>0</v>
      </c>
    </row>
    <row r="222" spans="1:32" s="1739" customFormat="1" ht="35.25" customHeight="1">
      <c r="A222" s="3827"/>
      <c r="B222" s="1288"/>
      <c r="C222" s="1564"/>
      <c r="D222" s="617" t="s">
        <v>90</v>
      </c>
      <c r="E222" s="480" t="s">
        <v>790</v>
      </c>
      <c r="F222" s="474" t="s">
        <v>791</v>
      </c>
      <c r="G222" s="1989" t="s">
        <v>599</v>
      </c>
      <c r="H222" s="685"/>
      <c r="I222" s="685">
        <v>2</v>
      </c>
      <c r="J222" s="1447" t="s">
        <v>600</v>
      </c>
      <c r="K222" s="668"/>
      <c r="L222" s="1564"/>
      <c r="M222" s="1564"/>
      <c r="N222" s="1288"/>
      <c r="O222" s="1288"/>
      <c r="P222" s="1288"/>
      <c r="Q222" s="1288"/>
      <c r="R222" s="1564"/>
      <c r="S222" s="1288"/>
      <c r="T222" s="1288"/>
      <c r="U222" s="670"/>
      <c r="V222" s="1288"/>
      <c r="W222" s="1288"/>
      <c r="X222" s="1288"/>
      <c r="Y222" s="1288"/>
      <c r="Z222" s="1288"/>
      <c r="AA222" s="1554"/>
      <c r="AB222" s="1554"/>
      <c r="AC222" s="1554"/>
      <c r="AD222" s="1554"/>
      <c r="AE222" s="1554"/>
      <c r="AF222" s="1557">
        <v>0</v>
      </c>
    </row>
    <row r="223" spans="1:32" s="1739" customFormat="1" ht="24" customHeight="1">
      <c r="A223" s="3827"/>
      <c r="B223" s="1288"/>
      <c r="C223" s="1564"/>
      <c r="D223" s="617" t="s">
        <v>90</v>
      </c>
      <c r="E223" s="480" t="s">
        <v>792</v>
      </c>
      <c r="F223" s="474" t="s">
        <v>793</v>
      </c>
      <c r="G223" s="1989" t="s">
        <v>599</v>
      </c>
      <c r="H223" s="685"/>
      <c r="I223" s="685">
        <v>3</v>
      </c>
      <c r="J223" s="1447" t="s">
        <v>600</v>
      </c>
      <c r="K223" s="668"/>
      <c r="L223" s="1564"/>
      <c r="M223" s="1564"/>
      <c r="N223" s="1288"/>
      <c r="O223" s="1288"/>
      <c r="P223" s="1288"/>
      <c r="Q223" s="1288"/>
      <c r="R223" s="1564"/>
      <c r="S223" s="1288"/>
      <c r="T223" s="1288"/>
      <c r="U223" s="670"/>
      <c r="V223" s="1288"/>
      <c r="W223" s="1288"/>
      <c r="X223" s="1288"/>
      <c r="Y223" s="1288"/>
      <c r="Z223" s="1288"/>
      <c r="AA223" s="1554"/>
      <c r="AB223" s="1554"/>
      <c r="AC223" s="1554"/>
      <c r="AD223" s="1554"/>
      <c r="AE223" s="1554"/>
      <c r="AF223" s="1557">
        <v>0</v>
      </c>
    </row>
    <row r="224" spans="1:32" s="1739" customFormat="1" ht="35.25" customHeight="1">
      <c r="A224" s="3827"/>
      <c r="B224" s="1288"/>
      <c r="C224" s="1564"/>
      <c r="D224" s="617" t="s">
        <v>90</v>
      </c>
      <c r="E224" s="480" t="s">
        <v>794</v>
      </c>
      <c r="F224" s="474" t="s">
        <v>795</v>
      </c>
      <c r="G224" s="1989" t="s">
        <v>599</v>
      </c>
      <c r="H224" s="685"/>
      <c r="I224" s="685">
        <v>22.4</v>
      </c>
      <c r="J224" s="1447" t="s">
        <v>600</v>
      </c>
      <c r="K224" s="668"/>
      <c r="L224" s="1564"/>
      <c r="M224" s="1564"/>
      <c r="N224" s="1288"/>
      <c r="O224" s="1288"/>
      <c r="P224" s="1288"/>
      <c r="Q224" s="1288"/>
      <c r="R224" s="1564"/>
      <c r="S224" s="1288"/>
      <c r="T224" s="1288"/>
      <c r="U224" s="670"/>
      <c r="V224" s="1288"/>
      <c r="W224" s="1288"/>
      <c r="X224" s="1288"/>
      <c r="Y224" s="1288"/>
      <c r="Z224" s="1288"/>
      <c r="AA224" s="1554"/>
      <c r="AB224" s="1554"/>
      <c r="AC224" s="1554"/>
      <c r="AD224" s="1554"/>
      <c r="AE224" s="1554"/>
      <c r="AF224" s="1557">
        <v>0</v>
      </c>
    </row>
    <row r="225" spans="1:32" s="1739" customFormat="1" ht="24" customHeight="1">
      <c r="A225" s="3827"/>
      <c r="B225" s="1288"/>
      <c r="C225" s="1564"/>
      <c r="D225" s="617" t="s">
        <v>90</v>
      </c>
      <c r="E225" s="480" t="s">
        <v>796</v>
      </c>
      <c r="F225" s="474" t="s">
        <v>797</v>
      </c>
      <c r="G225" s="1989" t="s">
        <v>599</v>
      </c>
      <c r="H225" s="685"/>
      <c r="I225" s="685">
        <v>2.6</v>
      </c>
      <c r="J225" s="1447" t="s">
        <v>600</v>
      </c>
      <c r="K225" s="668"/>
      <c r="L225" s="1564"/>
      <c r="M225" s="1564"/>
      <c r="N225" s="1288"/>
      <c r="O225" s="1288"/>
      <c r="P225" s="1288"/>
      <c r="Q225" s="1288"/>
      <c r="R225" s="1564"/>
      <c r="S225" s="1288"/>
      <c r="T225" s="1288"/>
      <c r="U225" s="670"/>
      <c r="V225" s="1288"/>
      <c r="W225" s="1288"/>
      <c r="X225" s="1288"/>
      <c r="Y225" s="1288"/>
      <c r="Z225" s="1288"/>
      <c r="AA225" s="1554"/>
      <c r="AB225" s="1554"/>
      <c r="AC225" s="1554"/>
      <c r="AD225" s="1554"/>
      <c r="AE225" s="1554"/>
      <c r="AF225" s="1557">
        <v>0</v>
      </c>
    </row>
    <row r="226" spans="1:32" s="1739" customFormat="1" ht="24" customHeight="1">
      <c r="A226" s="3827"/>
      <c r="B226" s="1288"/>
      <c r="C226" s="1564"/>
      <c r="D226" s="617" t="s">
        <v>90</v>
      </c>
      <c r="E226" s="480" t="s">
        <v>798</v>
      </c>
      <c r="F226" s="474" t="s">
        <v>799</v>
      </c>
      <c r="G226" s="1989" t="s">
        <v>599</v>
      </c>
      <c r="H226" s="685"/>
      <c r="I226" s="685">
        <v>0.2</v>
      </c>
      <c r="J226" s="1447" t="s">
        <v>600</v>
      </c>
      <c r="K226" s="668"/>
      <c r="L226" s="1564"/>
      <c r="M226" s="1564"/>
      <c r="N226" s="1288"/>
      <c r="O226" s="1288"/>
      <c r="P226" s="1288"/>
      <c r="Q226" s="1288"/>
      <c r="R226" s="1564"/>
      <c r="S226" s="1288"/>
      <c r="T226" s="1288"/>
      <c r="U226" s="670"/>
      <c r="V226" s="1288"/>
      <c r="W226" s="1288"/>
      <c r="X226" s="1288"/>
      <c r="Y226" s="1288"/>
      <c r="Z226" s="1288"/>
      <c r="AA226" s="1554"/>
      <c r="AB226" s="1554"/>
      <c r="AC226" s="1554"/>
      <c r="AD226" s="1554"/>
      <c r="AE226" s="1554"/>
      <c r="AF226" s="1557">
        <v>0</v>
      </c>
    </row>
    <row r="227" spans="1:32" s="1739" customFormat="1" ht="35.25" customHeight="1">
      <c r="A227" s="3827"/>
      <c r="B227" s="1288"/>
      <c r="C227" s="1564"/>
      <c r="D227" s="617" t="s">
        <v>90</v>
      </c>
      <c r="E227" s="480" t="s">
        <v>800</v>
      </c>
      <c r="F227" s="474" t="s">
        <v>801</v>
      </c>
      <c r="G227" s="1989" t="s">
        <v>599</v>
      </c>
      <c r="H227" s="685"/>
      <c r="I227" s="685">
        <v>3.9</v>
      </c>
      <c r="J227" s="1447" t="s">
        <v>600</v>
      </c>
      <c r="K227" s="668"/>
      <c r="L227" s="1564"/>
      <c r="M227" s="1564"/>
      <c r="N227" s="1288"/>
      <c r="O227" s="1288"/>
      <c r="P227" s="1288"/>
      <c r="Q227" s="1288"/>
      <c r="R227" s="1564"/>
      <c r="S227" s="1288"/>
      <c r="T227" s="1288"/>
      <c r="U227" s="670"/>
      <c r="V227" s="1288"/>
      <c r="W227" s="1288"/>
      <c r="X227" s="1288"/>
      <c r="Y227" s="1288"/>
      <c r="Z227" s="1288"/>
      <c r="AA227" s="1554"/>
      <c r="AB227" s="1554"/>
      <c r="AC227" s="1554"/>
      <c r="AD227" s="1554"/>
      <c r="AE227" s="1554"/>
      <c r="AF227" s="1557">
        <v>0</v>
      </c>
    </row>
    <row r="228" spans="1:32" s="1739" customFormat="1" ht="35.25" customHeight="1">
      <c r="A228" s="3827"/>
      <c r="B228" s="1288"/>
      <c r="C228" s="1564"/>
      <c r="D228" s="617" t="s">
        <v>90</v>
      </c>
      <c r="E228" s="480" t="s">
        <v>802</v>
      </c>
      <c r="F228" s="474" t="s">
        <v>803</v>
      </c>
      <c r="G228" s="1989" t="s">
        <v>599</v>
      </c>
      <c r="H228" s="685"/>
      <c r="I228" s="685">
        <v>43.4</v>
      </c>
      <c r="J228" s="1447" t="s">
        <v>600</v>
      </c>
      <c r="K228" s="668"/>
      <c r="L228" s="1564"/>
      <c r="M228" s="1564"/>
      <c r="N228" s="1288"/>
      <c r="O228" s="1288"/>
      <c r="P228" s="1288"/>
      <c r="Q228" s="1288"/>
      <c r="R228" s="1564"/>
      <c r="S228" s="1288"/>
      <c r="T228" s="1288"/>
      <c r="U228" s="670"/>
      <c r="V228" s="1288"/>
      <c r="W228" s="1288"/>
      <c r="X228" s="1288"/>
      <c r="Y228" s="1288"/>
      <c r="Z228" s="1288"/>
      <c r="AA228" s="1554"/>
      <c r="AB228" s="1554"/>
      <c r="AC228" s="1554"/>
      <c r="AD228" s="1554"/>
      <c r="AE228" s="1554"/>
      <c r="AF228" s="1557">
        <v>0</v>
      </c>
    </row>
    <row r="229" spans="1:32" s="1739" customFormat="1" ht="35.25" customHeight="1">
      <c r="A229" s="3827"/>
      <c r="B229" s="1288"/>
      <c r="C229" s="1564"/>
      <c r="D229" s="617" t="s">
        <v>90</v>
      </c>
      <c r="E229" s="480" t="s">
        <v>804</v>
      </c>
      <c r="F229" s="474" t="s">
        <v>805</v>
      </c>
      <c r="G229" s="1989" t="s">
        <v>599</v>
      </c>
      <c r="H229" s="685"/>
      <c r="I229" s="685">
        <v>4.3</v>
      </c>
      <c r="J229" s="1447" t="s">
        <v>600</v>
      </c>
      <c r="K229" s="668"/>
      <c r="L229" s="1564"/>
      <c r="M229" s="1564"/>
      <c r="N229" s="1288"/>
      <c r="O229" s="1288"/>
      <c r="P229" s="1288"/>
      <c r="Q229" s="1288"/>
      <c r="R229" s="1564"/>
      <c r="S229" s="1288"/>
      <c r="T229" s="1288"/>
      <c r="U229" s="670"/>
      <c r="V229" s="1288"/>
      <c r="W229" s="1288"/>
      <c r="X229" s="1288"/>
      <c r="Y229" s="1288"/>
      <c r="Z229" s="1288"/>
      <c r="AA229" s="1554"/>
      <c r="AB229" s="1554"/>
      <c r="AC229" s="1554"/>
      <c r="AD229" s="1554"/>
      <c r="AE229" s="1554"/>
      <c r="AF229" s="1557">
        <v>0</v>
      </c>
    </row>
    <row r="230" spans="1:32" s="1739" customFormat="1" ht="35.25" customHeight="1">
      <c r="A230" s="3827"/>
      <c r="B230" s="1288"/>
      <c r="C230" s="1564"/>
      <c r="D230" s="617" t="s">
        <v>90</v>
      </c>
      <c r="E230" s="480" t="s">
        <v>806</v>
      </c>
      <c r="F230" s="474" t="s">
        <v>807</v>
      </c>
      <c r="G230" s="1989" t="s">
        <v>599</v>
      </c>
      <c r="H230" s="685"/>
      <c r="I230" s="685">
        <v>7.0999999999999994E-2</v>
      </c>
      <c r="J230" s="1447" t="s">
        <v>600</v>
      </c>
      <c r="K230" s="668"/>
      <c r="L230" s="1564"/>
      <c r="M230" s="1564"/>
      <c r="N230" s="1288"/>
      <c r="O230" s="1288"/>
      <c r="P230" s="1288"/>
      <c r="Q230" s="1288"/>
      <c r="R230" s="1564"/>
      <c r="S230" s="1288"/>
      <c r="T230" s="1288"/>
      <c r="U230" s="670"/>
      <c r="V230" s="1288"/>
      <c r="W230" s="1288"/>
      <c r="X230" s="1288"/>
      <c r="Y230" s="1288"/>
      <c r="Z230" s="1288"/>
      <c r="AA230" s="1554"/>
      <c r="AB230" s="1554"/>
      <c r="AC230" s="1554"/>
      <c r="AD230" s="1554"/>
      <c r="AE230" s="1554"/>
      <c r="AF230" s="1557">
        <v>0</v>
      </c>
    </row>
    <row r="231" spans="1:32" s="1739" customFormat="1" ht="24" customHeight="1">
      <c r="A231" s="3827"/>
      <c r="B231" s="1288"/>
      <c r="C231" s="1564"/>
      <c r="D231" s="617" t="s">
        <v>90</v>
      </c>
      <c r="E231" s="480" t="s">
        <v>808</v>
      </c>
      <c r="F231" s="474" t="s">
        <v>809</v>
      </c>
      <c r="G231" s="1989" t="s">
        <v>599</v>
      </c>
      <c r="H231" s="685"/>
      <c r="I231" s="685">
        <v>6.8</v>
      </c>
      <c r="J231" s="1447" t="s">
        <v>600</v>
      </c>
      <c r="K231" s="668"/>
      <c r="L231" s="1564"/>
      <c r="M231" s="1564"/>
      <c r="N231" s="1288"/>
      <c r="O231" s="1288"/>
      <c r="P231" s="1288"/>
      <c r="Q231" s="1288"/>
      <c r="R231" s="1564"/>
      <c r="S231" s="1288"/>
      <c r="T231" s="1288"/>
      <c r="U231" s="670"/>
      <c r="V231" s="1288"/>
      <c r="W231" s="1288"/>
      <c r="X231" s="1288"/>
      <c r="Y231" s="1288"/>
      <c r="Z231" s="1288"/>
      <c r="AA231" s="1554"/>
      <c r="AB231" s="1554"/>
      <c r="AC231" s="1554"/>
      <c r="AD231" s="1554"/>
      <c r="AE231" s="1554"/>
      <c r="AF231" s="1557">
        <v>0</v>
      </c>
    </row>
    <row r="232" spans="1:32" s="1739" customFormat="1" ht="35.25" customHeight="1">
      <c r="A232" s="3827"/>
      <c r="B232" s="1288"/>
      <c r="C232" s="1564"/>
      <c r="D232" s="617" t="s">
        <v>90</v>
      </c>
      <c r="E232" s="480" t="s">
        <v>810</v>
      </c>
      <c r="F232" s="474" t="s">
        <v>811</v>
      </c>
      <c r="G232" s="1989" t="s">
        <v>599</v>
      </c>
      <c r="H232" s="685"/>
      <c r="I232" s="685">
        <v>0.2</v>
      </c>
      <c r="J232" s="1447" t="s">
        <v>600</v>
      </c>
      <c r="K232" s="668"/>
      <c r="L232" s="1564"/>
      <c r="M232" s="1564"/>
      <c r="N232" s="1288"/>
      <c r="O232" s="1288"/>
      <c r="P232" s="1288"/>
      <c r="Q232" s="1288"/>
      <c r="R232" s="1564"/>
      <c r="S232" s="1288"/>
      <c r="T232" s="1288"/>
      <c r="U232" s="670"/>
      <c r="V232" s="1288"/>
      <c r="W232" s="1288"/>
      <c r="X232" s="1288"/>
      <c r="Y232" s="1288"/>
      <c r="Z232" s="1288"/>
      <c r="AA232" s="1554"/>
      <c r="AB232" s="1554"/>
      <c r="AC232" s="1554"/>
      <c r="AD232" s="1554"/>
      <c r="AE232" s="1554"/>
      <c r="AF232" s="1557">
        <v>0</v>
      </c>
    </row>
    <row r="233" spans="1:32" s="1739" customFormat="1" ht="24" customHeight="1">
      <c r="A233" s="3827"/>
      <c r="B233" s="1288"/>
      <c r="C233" s="1564"/>
      <c r="D233" s="617" t="s">
        <v>90</v>
      </c>
      <c r="E233" s="480" t="s">
        <v>812</v>
      </c>
      <c r="F233" s="474" t="s">
        <v>813</v>
      </c>
      <c r="G233" s="1989" t="s">
        <v>599</v>
      </c>
      <c r="H233" s="685"/>
      <c r="I233" s="685">
        <v>0.2</v>
      </c>
      <c r="J233" s="1447" t="s">
        <v>600</v>
      </c>
      <c r="K233" s="668"/>
      <c r="L233" s="1564"/>
      <c r="M233" s="1564"/>
      <c r="N233" s="1288"/>
      <c r="O233" s="1288"/>
      <c r="P233" s="1288"/>
      <c r="Q233" s="1288"/>
      <c r="R233" s="1564"/>
      <c r="S233" s="1288"/>
      <c r="T233" s="1288"/>
      <c r="U233" s="670"/>
      <c r="V233" s="1288"/>
      <c r="W233" s="1288"/>
      <c r="X233" s="1288"/>
      <c r="Y233" s="1288"/>
      <c r="Z233" s="1288"/>
      <c r="AA233" s="1554"/>
      <c r="AB233" s="1554"/>
      <c r="AC233" s="1554"/>
      <c r="AD233" s="1554"/>
      <c r="AE233" s="1554"/>
      <c r="AF233" s="1557">
        <v>0</v>
      </c>
    </row>
    <row r="234" spans="1:32" s="1739" customFormat="1" ht="35.25" customHeight="1">
      <c r="A234" s="3827"/>
      <c r="B234" s="1288"/>
      <c r="C234" s="1564"/>
      <c r="D234" s="617" t="s">
        <v>90</v>
      </c>
      <c r="E234" s="480" t="s">
        <v>814</v>
      </c>
      <c r="F234" s="474" t="s">
        <v>815</v>
      </c>
      <c r="G234" s="1989" t="s">
        <v>599</v>
      </c>
      <c r="H234" s="685"/>
      <c r="I234" s="685">
        <v>2</v>
      </c>
      <c r="J234" s="1447" t="s">
        <v>600</v>
      </c>
      <c r="K234" s="668"/>
      <c r="L234" s="1564"/>
      <c r="M234" s="1564"/>
      <c r="N234" s="1288"/>
      <c r="O234" s="1288"/>
      <c r="P234" s="1288"/>
      <c r="Q234" s="1288"/>
      <c r="R234" s="1564"/>
      <c r="S234" s="1288"/>
      <c r="T234" s="1288"/>
      <c r="U234" s="670"/>
      <c r="V234" s="1288"/>
      <c r="W234" s="1288"/>
      <c r="X234" s="1288"/>
      <c r="Y234" s="1288"/>
      <c r="Z234" s="1288"/>
      <c r="AA234" s="1554"/>
      <c r="AB234" s="1554"/>
      <c r="AC234" s="1554"/>
      <c r="AD234" s="1554"/>
      <c r="AE234" s="1554"/>
      <c r="AF234" s="1557">
        <v>0</v>
      </c>
    </row>
    <row r="235" spans="1:32" s="1739" customFormat="1" ht="35.25" customHeight="1">
      <c r="A235" s="3827"/>
      <c r="B235" s="1288"/>
      <c r="C235" s="1564"/>
      <c r="D235" s="617" t="s">
        <v>90</v>
      </c>
      <c r="E235" s="480" t="s">
        <v>816</v>
      </c>
      <c r="F235" s="474" t="s">
        <v>817</v>
      </c>
      <c r="G235" s="1989" t="s">
        <v>599</v>
      </c>
      <c r="H235" s="685"/>
      <c r="I235" s="685">
        <v>2</v>
      </c>
      <c r="J235" s="1447" t="s">
        <v>600</v>
      </c>
      <c r="K235" s="668"/>
      <c r="L235" s="1564"/>
      <c r="M235" s="1564"/>
      <c r="N235" s="1288"/>
      <c r="O235" s="1288"/>
      <c r="P235" s="1288"/>
      <c r="Q235" s="1288"/>
      <c r="R235" s="1564"/>
      <c r="S235" s="1288"/>
      <c r="T235" s="1288"/>
      <c r="U235" s="670"/>
      <c r="V235" s="1288"/>
      <c r="W235" s="1288"/>
      <c r="X235" s="1288"/>
      <c r="Y235" s="1288"/>
      <c r="Z235" s="1288"/>
      <c r="AA235" s="1554"/>
      <c r="AB235" s="1554"/>
      <c r="AC235" s="1554"/>
      <c r="AD235" s="1554"/>
      <c r="AE235" s="1554"/>
      <c r="AF235" s="1557">
        <v>0</v>
      </c>
    </row>
    <row r="236" spans="1:32" s="1739" customFormat="1" ht="35.25" customHeight="1">
      <c r="A236" s="3827"/>
      <c r="B236" s="1288"/>
      <c r="C236" s="1564"/>
      <c r="D236" s="617" t="s">
        <v>90</v>
      </c>
      <c r="E236" s="480" t="s">
        <v>818</v>
      </c>
      <c r="F236" s="474" t="s">
        <v>819</v>
      </c>
      <c r="G236" s="1989" t="s">
        <v>599</v>
      </c>
      <c r="H236" s="685"/>
      <c r="I236" s="685">
        <v>0.3</v>
      </c>
      <c r="J236" s="1447" t="s">
        <v>600</v>
      </c>
      <c r="K236" s="668"/>
      <c r="L236" s="1564"/>
      <c r="M236" s="1564"/>
      <c r="N236" s="1288"/>
      <c r="O236" s="1288"/>
      <c r="P236" s="1288"/>
      <c r="Q236" s="1288"/>
      <c r="R236" s="1564"/>
      <c r="S236" s="1288"/>
      <c r="T236" s="1288"/>
      <c r="U236" s="670"/>
      <c r="V236" s="1288"/>
      <c r="W236" s="1288"/>
      <c r="X236" s="1288"/>
      <c r="Y236" s="1288"/>
      <c r="Z236" s="1288"/>
      <c r="AA236" s="1554"/>
      <c r="AB236" s="1554"/>
      <c r="AC236" s="1554"/>
      <c r="AD236" s="1554"/>
      <c r="AE236" s="1554"/>
      <c r="AF236" s="1557">
        <v>0</v>
      </c>
    </row>
    <row r="237" spans="1:32" s="1739" customFormat="1" ht="24" customHeight="1">
      <c r="A237" s="3827"/>
      <c r="B237" s="1288"/>
      <c r="C237" s="1564"/>
      <c r="D237" s="617" t="s">
        <v>90</v>
      </c>
      <c r="E237" s="480" t="s">
        <v>820</v>
      </c>
      <c r="F237" s="474" t="s">
        <v>821</v>
      </c>
      <c r="G237" s="1989" t="s">
        <v>599</v>
      </c>
      <c r="H237" s="685"/>
      <c r="I237" s="685">
        <v>0</v>
      </c>
      <c r="J237" s="1447" t="s">
        <v>600</v>
      </c>
      <c r="K237" s="668"/>
      <c r="L237" s="1564"/>
      <c r="M237" s="1564"/>
      <c r="N237" s="1288"/>
      <c r="O237" s="1288"/>
      <c r="P237" s="1288"/>
      <c r="Q237" s="1288"/>
      <c r="R237" s="1564"/>
      <c r="S237" s="1288"/>
      <c r="T237" s="1288"/>
      <c r="U237" s="670"/>
      <c r="V237" s="1288"/>
      <c r="W237" s="1288"/>
      <c r="X237" s="1288"/>
      <c r="Y237" s="1288"/>
      <c r="Z237" s="1288"/>
      <c r="AA237" s="1554"/>
      <c r="AB237" s="1554"/>
      <c r="AC237" s="1554"/>
      <c r="AD237" s="1554"/>
      <c r="AE237" s="1554"/>
      <c r="AF237" s="1557">
        <v>0</v>
      </c>
    </row>
    <row r="238" spans="1:32" s="1739" customFormat="1" ht="24" customHeight="1">
      <c r="A238" s="3827"/>
      <c r="B238" s="1288"/>
      <c r="C238" s="1564"/>
      <c r="D238" s="617" t="s">
        <v>90</v>
      </c>
      <c r="E238" s="480" t="s">
        <v>822</v>
      </c>
      <c r="F238" s="474" t="s">
        <v>823</v>
      </c>
      <c r="G238" s="1989" t="s">
        <v>599</v>
      </c>
      <c r="H238" s="685"/>
      <c r="I238" s="685">
        <v>0</v>
      </c>
      <c r="J238" s="1447" t="s">
        <v>600</v>
      </c>
      <c r="K238" s="668"/>
      <c r="L238" s="1564"/>
      <c r="M238" s="1564"/>
      <c r="N238" s="1288"/>
      <c r="O238" s="1288"/>
      <c r="P238" s="1288"/>
      <c r="Q238" s="1288"/>
      <c r="R238" s="1564"/>
      <c r="S238" s="1288"/>
      <c r="T238" s="1288"/>
      <c r="U238" s="670"/>
      <c r="V238" s="1288"/>
      <c r="W238" s="1288"/>
      <c r="X238" s="1288"/>
      <c r="Y238" s="1288"/>
      <c r="Z238" s="1288"/>
      <c r="AA238" s="1554"/>
      <c r="AB238" s="1554"/>
      <c r="AC238" s="1554"/>
      <c r="AD238" s="1554"/>
      <c r="AE238" s="1554"/>
      <c r="AF238" s="1557">
        <v>0</v>
      </c>
    </row>
    <row r="239" spans="1:32" s="1739" customFormat="1" ht="24" customHeight="1">
      <c r="A239" s="3827"/>
      <c r="B239" s="1288"/>
      <c r="C239" s="1564"/>
      <c r="D239" s="617" t="s">
        <v>90</v>
      </c>
      <c r="E239" s="480" t="s">
        <v>824</v>
      </c>
      <c r="F239" s="474" t="s">
        <v>825</v>
      </c>
      <c r="G239" s="1989" t="s">
        <v>599</v>
      </c>
      <c r="H239" s="685"/>
      <c r="I239" s="685">
        <v>1.8</v>
      </c>
      <c r="J239" s="1447" t="s">
        <v>600</v>
      </c>
      <c r="K239" s="668"/>
      <c r="L239" s="1564"/>
      <c r="M239" s="1564"/>
      <c r="N239" s="1288"/>
      <c r="O239" s="1288"/>
      <c r="P239" s="1288"/>
      <c r="Q239" s="1288"/>
      <c r="R239" s="1564"/>
      <c r="S239" s="1288"/>
      <c r="T239" s="1288"/>
      <c r="U239" s="670"/>
      <c r="V239" s="1288"/>
      <c r="W239" s="1288"/>
      <c r="X239" s="1288"/>
      <c r="Y239" s="1288"/>
      <c r="Z239" s="1288"/>
      <c r="AA239" s="1554"/>
      <c r="AB239" s="1554"/>
      <c r="AC239" s="1554"/>
      <c r="AD239" s="1554"/>
      <c r="AE239" s="1554"/>
      <c r="AF239" s="1557">
        <v>0</v>
      </c>
    </row>
    <row r="240" spans="1:32" s="1739" customFormat="1" ht="35.25" customHeight="1">
      <c r="A240" s="3827"/>
      <c r="B240" s="1288"/>
      <c r="C240" s="1564"/>
      <c r="D240" s="617" t="s">
        <v>90</v>
      </c>
      <c r="E240" s="480" t="s">
        <v>826</v>
      </c>
      <c r="F240" s="474" t="s">
        <v>827</v>
      </c>
      <c r="G240" s="1989" t="s">
        <v>599</v>
      </c>
      <c r="H240" s="685"/>
      <c r="I240" s="685">
        <v>419.5</v>
      </c>
      <c r="J240" s="1447" t="s">
        <v>600</v>
      </c>
      <c r="K240" s="668"/>
      <c r="L240" s="1564"/>
      <c r="M240" s="1564"/>
      <c r="N240" s="1288"/>
      <c r="O240" s="1288"/>
      <c r="P240" s="1288"/>
      <c r="Q240" s="1288"/>
      <c r="R240" s="1564"/>
      <c r="S240" s="1288"/>
      <c r="T240" s="1288"/>
      <c r="U240" s="670"/>
      <c r="V240" s="1288"/>
      <c r="W240" s="1288"/>
      <c r="X240" s="1288"/>
      <c r="Y240" s="1288"/>
      <c r="Z240" s="1288"/>
      <c r="AA240" s="1554"/>
      <c r="AB240" s="1554"/>
      <c r="AC240" s="1554"/>
      <c r="AD240" s="1554"/>
      <c r="AE240" s="1554"/>
      <c r="AF240" s="1557">
        <v>0</v>
      </c>
    </row>
    <row r="241" spans="1:32" s="1739" customFormat="1" ht="35.25" customHeight="1">
      <c r="A241" s="3827"/>
      <c r="B241" s="1288"/>
      <c r="C241" s="1564"/>
      <c r="D241" s="617" t="s">
        <v>90</v>
      </c>
      <c r="E241" s="480" t="s">
        <v>828</v>
      </c>
      <c r="F241" s="474" t="s">
        <v>829</v>
      </c>
      <c r="G241" s="1989" t="s">
        <v>599</v>
      </c>
      <c r="H241" s="685"/>
      <c r="I241" s="685">
        <v>9</v>
      </c>
      <c r="J241" s="1447" t="s">
        <v>600</v>
      </c>
      <c r="K241" s="668"/>
      <c r="L241" s="1564"/>
      <c r="M241" s="1564"/>
      <c r="N241" s="1288"/>
      <c r="O241" s="1288"/>
      <c r="P241" s="1288"/>
      <c r="Q241" s="1288"/>
      <c r="R241" s="1564"/>
      <c r="S241" s="1288"/>
      <c r="T241" s="1288"/>
      <c r="U241" s="670"/>
      <c r="V241" s="1288"/>
      <c r="W241" s="1288"/>
      <c r="X241" s="1288"/>
      <c r="Y241" s="1288"/>
      <c r="Z241" s="1288"/>
      <c r="AA241" s="1554"/>
      <c r="AB241" s="1554"/>
      <c r="AC241" s="1554"/>
      <c r="AD241" s="1554"/>
      <c r="AE241" s="1554"/>
      <c r="AF241" s="1557">
        <v>0</v>
      </c>
    </row>
    <row r="242" spans="1:32" s="1739" customFormat="1" ht="35.25" customHeight="1">
      <c r="A242" s="3827"/>
      <c r="B242" s="1288"/>
      <c r="C242" s="1564"/>
      <c r="D242" s="617" t="s">
        <v>90</v>
      </c>
      <c r="E242" s="480" t="s">
        <v>830</v>
      </c>
      <c r="F242" s="474" t="s">
        <v>831</v>
      </c>
      <c r="G242" s="1989" t="s">
        <v>599</v>
      </c>
      <c r="H242" s="685"/>
      <c r="I242" s="685">
        <v>2</v>
      </c>
      <c r="J242" s="1447" t="s">
        <v>600</v>
      </c>
      <c r="K242" s="668"/>
      <c r="L242" s="1564"/>
      <c r="M242" s="1564"/>
      <c r="N242" s="1288"/>
      <c r="O242" s="1288"/>
      <c r="P242" s="1288"/>
      <c r="Q242" s="1288"/>
      <c r="R242" s="1564"/>
      <c r="S242" s="1288"/>
      <c r="T242" s="1288"/>
      <c r="U242" s="670"/>
      <c r="V242" s="1288"/>
      <c r="W242" s="1288"/>
      <c r="X242" s="1288"/>
      <c r="Y242" s="1288"/>
      <c r="Z242" s="1288"/>
      <c r="AA242" s="1554"/>
      <c r="AB242" s="1554"/>
      <c r="AC242" s="1554"/>
      <c r="AD242" s="1554"/>
      <c r="AE242" s="1554"/>
      <c r="AF242" s="1557">
        <v>0</v>
      </c>
    </row>
    <row r="243" spans="1:32" s="1739" customFormat="1" ht="24" customHeight="1">
      <c r="A243" s="3827"/>
      <c r="B243" s="1288"/>
      <c r="C243" s="1564"/>
      <c r="D243" s="617" t="s">
        <v>90</v>
      </c>
      <c r="E243" s="480" t="s">
        <v>832</v>
      </c>
      <c r="F243" s="474" t="s">
        <v>833</v>
      </c>
      <c r="G243" s="1989" t="s">
        <v>599</v>
      </c>
      <c r="H243" s="685"/>
      <c r="I243" s="685">
        <v>2.2999999999999998</v>
      </c>
      <c r="J243" s="1447" t="s">
        <v>600</v>
      </c>
      <c r="K243" s="668"/>
      <c r="L243" s="1564"/>
      <c r="M243" s="1564"/>
      <c r="N243" s="1288"/>
      <c r="O243" s="1288"/>
      <c r="P243" s="1288"/>
      <c r="Q243" s="1288"/>
      <c r="R243" s="1564"/>
      <c r="S243" s="1288"/>
      <c r="T243" s="1288"/>
      <c r="U243" s="670"/>
      <c r="V243" s="1288"/>
      <c r="W243" s="1288"/>
      <c r="X243" s="1288"/>
      <c r="Y243" s="1288"/>
      <c r="Z243" s="1288"/>
      <c r="AA243" s="1554"/>
      <c r="AB243" s="1554"/>
      <c r="AC243" s="1554"/>
      <c r="AD243" s="1554"/>
      <c r="AE243" s="1554"/>
      <c r="AF243" s="1557">
        <v>0</v>
      </c>
    </row>
    <row r="244" spans="1:32" s="1739" customFormat="1" ht="35.25" customHeight="1">
      <c r="A244" s="3827"/>
      <c r="B244" s="1288"/>
      <c r="C244" s="1564"/>
      <c r="D244" s="617" t="s">
        <v>90</v>
      </c>
      <c r="E244" s="480" t="s">
        <v>834</v>
      </c>
      <c r="F244" s="474" t="s">
        <v>835</v>
      </c>
      <c r="G244" s="1989" t="s">
        <v>599</v>
      </c>
      <c r="H244" s="685"/>
      <c r="I244" s="685">
        <v>7.2</v>
      </c>
      <c r="J244" s="1447" t="s">
        <v>600</v>
      </c>
      <c r="K244" s="668"/>
      <c r="L244" s="1564"/>
      <c r="M244" s="1564"/>
      <c r="N244" s="1288"/>
      <c r="O244" s="1288"/>
      <c r="P244" s="1288"/>
      <c r="Q244" s="1288"/>
      <c r="R244" s="1564"/>
      <c r="S244" s="1288"/>
      <c r="T244" s="1288"/>
      <c r="U244" s="670"/>
      <c r="V244" s="1288"/>
      <c r="W244" s="1288"/>
      <c r="X244" s="1288"/>
      <c r="Y244" s="1288"/>
      <c r="Z244" s="1288"/>
      <c r="AA244" s="1554"/>
      <c r="AB244" s="1554"/>
      <c r="AC244" s="1554"/>
      <c r="AD244" s="1554"/>
      <c r="AE244" s="1554"/>
      <c r="AF244" s="1557">
        <v>0</v>
      </c>
    </row>
    <row r="245" spans="1:32" s="1739" customFormat="1" ht="24" customHeight="1">
      <c r="A245" s="3827"/>
      <c r="B245" s="1288"/>
      <c r="C245" s="1564"/>
      <c r="D245" s="617" t="s">
        <v>90</v>
      </c>
      <c r="E245" s="480" t="s">
        <v>836</v>
      </c>
      <c r="F245" s="474" t="s">
        <v>837</v>
      </c>
      <c r="G245" s="1989" t="s">
        <v>599</v>
      </c>
      <c r="H245" s="685"/>
      <c r="I245" s="685">
        <v>11.9</v>
      </c>
      <c r="J245" s="1447" t="s">
        <v>600</v>
      </c>
      <c r="K245" s="668"/>
      <c r="L245" s="1564"/>
      <c r="M245" s="1564"/>
      <c r="N245" s="1288"/>
      <c r="O245" s="1288"/>
      <c r="P245" s="1288"/>
      <c r="Q245" s="1288"/>
      <c r="R245" s="1564"/>
      <c r="S245" s="1288"/>
      <c r="T245" s="1288"/>
      <c r="U245" s="670"/>
      <c r="V245" s="1288"/>
      <c r="W245" s="1288"/>
      <c r="X245" s="1288"/>
      <c r="Y245" s="1288"/>
      <c r="Z245" s="1288"/>
      <c r="AA245" s="1554"/>
      <c r="AB245" s="1554"/>
      <c r="AC245" s="1554"/>
      <c r="AD245" s="1554"/>
      <c r="AE245" s="1554"/>
      <c r="AF245" s="1557">
        <v>0</v>
      </c>
    </row>
    <row r="246" spans="1:32" s="1739" customFormat="1" ht="24" customHeight="1">
      <c r="A246" s="3827"/>
      <c r="B246" s="1288"/>
      <c r="C246" s="1564"/>
      <c r="D246" s="617" t="s">
        <v>90</v>
      </c>
      <c r="E246" s="480" t="s">
        <v>838</v>
      </c>
      <c r="F246" s="474" t="s">
        <v>839</v>
      </c>
      <c r="G246" s="1989" t="s">
        <v>599</v>
      </c>
      <c r="H246" s="685"/>
      <c r="I246" s="685">
        <v>2</v>
      </c>
      <c r="J246" s="1447" t="s">
        <v>600</v>
      </c>
      <c r="K246" s="668"/>
      <c r="L246" s="1564"/>
      <c r="M246" s="1564"/>
      <c r="N246" s="1288"/>
      <c r="O246" s="1288"/>
      <c r="P246" s="1288"/>
      <c r="Q246" s="1288"/>
      <c r="R246" s="1564"/>
      <c r="S246" s="1288"/>
      <c r="T246" s="1288"/>
      <c r="U246" s="670"/>
      <c r="V246" s="1288"/>
      <c r="W246" s="1288"/>
      <c r="X246" s="1288"/>
      <c r="Y246" s="1288"/>
      <c r="Z246" s="1288"/>
      <c r="AA246" s="1554"/>
      <c r="AB246" s="1554"/>
      <c r="AC246" s="1554"/>
      <c r="AD246" s="1554"/>
      <c r="AE246" s="1554"/>
      <c r="AF246" s="1557">
        <v>0</v>
      </c>
    </row>
    <row r="247" spans="1:32" s="1739" customFormat="1" ht="24" customHeight="1">
      <c r="A247" s="3827"/>
      <c r="B247" s="1288"/>
      <c r="C247" s="1564"/>
      <c r="D247" s="617" t="s">
        <v>90</v>
      </c>
      <c r="E247" s="480" t="s">
        <v>840</v>
      </c>
      <c r="F247" s="474" t="s">
        <v>841</v>
      </c>
      <c r="G247" s="1989" t="s">
        <v>599</v>
      </c>
      <c r="H247" s="685"/>
      <c r="I247" s="685">
        <v>4.4000000000000004</v>
      </c>
      <c r="J247" s="1447" t="s">
        <v>600</v>
      </c>
      <c r="K247" s="668"/>
      <c r="L247" s="1564"/>
      <c r="M247" s="1564"/>
      <c r="N247" s="1288"/>
      <c r="O247" s="1288"/>
      <c r="P247" s="1288"/>
      <c r="Q247" s="1288"/>
      <c r="R247" s="1564"/>
      <c r="S247" s="1288"/>
      <c r="T247" s="1288"/>
      <c r="U247" s="670"/>
      <c r="V247" s="1288"/>
      <c r="W247" s="1288"/>
      <c r="X247" s="1288"/>
      <c r="Y247" s="1288"/>
      <c r="Z247" s="1288"/>
      <c r="AA247" s="1554"/>
      <c r="AB247" s="1554"/>
      <c r="AC247" s="1554"/>
      <c r="AD247" s="1554"/>
      <c r="AE247" s="1554"/>
      <c r="AF247" s="1557">
        <v>0</v>
      </c>
    </row>
    <row r="248" spans="1:32" s="1739" customFormat="1" ht="35.25" customHeight="1">
      <c r="A248" s="3827"/>
      <c r="B248" s="1288"/>
      <c r="C248" s="1564"/>
      <c r="D248" s="617" t="s">
        <v>90</v>
      </c>
      <c r="E248" s="480" t="s">
        <v>842</v>
      </c>
      <c r="F248" s="474" t="s">
        <v>843</v>
      </c>
      <c r="G248" s="1989" t="s">
        <v>599</v>
      </c>
      <c r="H248" s="685"/>
      <c r="I248" s="685">
        <v>5</v>
      </c>
      <c r="J248" s="1447" t="s">
        <v>600</v>
      </c>
      <c r="K248" s="668"/>
      <c r="L248" s="1564"/>
      <c r="M248" s="1564"/>
      <c r="N248" s="1288"/>
      <c r="O248" s="1288"/>
      <c r="P248" s="1288"/>
      <c r="Q248" s="1288"/>
      <c r="R248" s="1564"/>
      <c r="S248" s="1288"/>
      <c r="T248" s="1288"/>
      <c r="U248" s="670"/>
      <c r="V248" s="1288"/>
      <c r="W248" s="1288"/>
      <c r="X248" s="1288"/>
      <c r="Y248" s="1288"/>
      <c r="Z248" s="1288"/>
      <c r="AA248" s="1554"/>
      <c r="AB248" s="1554"/>
      <c r="AC248" s="1554"/>
      <c r="AD248" s="1554"/>
      <c r="AE248" s="1554"/>
      <c r="AF248" s="1557">
        <v>0</v>
      </c>
    </row>
    <row r="249" spans="1:32" s="1739" customFormat="1" ht="35.25" customHeight="1">
      <c r="A249" s="3827"/>
      <c r="B249" s="1288"/>
      <c r="C249" s="1564"/>
      <c r="D249" s="617" t="s">
        <v>90</v>
      </c>
      <c r="E249" s="480" t="s">
        <v>844</v>
      </c>
      <c r="F249" s="474" t="s">
        <v>845</v>
      </c>
      <c r="G249" s="1989" t="s">
        <v>599</v>
      </c>
      <c r="H249" s="685"/>
      <c r="I249" s="685">
        <v>5</v>
      </c>
      <c r="J249" s="1447" t="s">
        <v>600</v>
      </c>
      <c r="K249" s="668"/>
      <c r="L249" s="1564"/>
      <c r="M249" s="1564"/>
      <c r="N249" s="1288"/>
      <c r="O249" s="1288"/>
      <c r="P249" s="1288"/>
      <c r="Q249" s="1288"/>
      <c r="R249" s="1564"/>
      <c r="S249" s="1288"/>
      <c r="T249" s="1288"/>
      <c r="U249" s="670"/>
      <c r="V249" s="1288"/>
      <c r="W249" s="1288"/>
      <c r="X249" s="1288"/>
      <c r="Y249" s="1288"/>
      <c r="Z249" s="1288"/>
      <c r="AA249" s="1554"/>
      <c r="AB249" s="1554"/>
      <c r="AC249" s="1554"/>
      <c r="AD249" s="1554"/>
      <c r="AE249" s="1554"/>
      <c r="AF249" s="1557">
        <v>0</v>
      </c>
    </row>
    <row r="250" spans="1:32" s="1739" customFormat="1" ht="35.25" customHeight="1">
      <c r="A250" s="3827"/>
      <c r="B250" s="1288"/>
      <c r="C250" s="1564"/>
      <c r="D250" s="617" t="s">
        <v>90</v>
      </c>
      <c r="E250" s="480" t="s">
        <v>846</v>
      </c>
      <c r="F250" s="474" t="s">
        <v>847</v>
      </c>
      <c r="G250" s="1989" t="s">
        <v>599</v>
      </c>
      <c r="H250" s="685"/>
      <c r="I250" s="685">
        <v>3.4</v>
      </c>
      <c r="J250" s="1447" t="s">
        <v>600</v>
      </c>
      <c r="K250" s="668"/>
      <c r="L250" s="1564"/>
      <c r="M250" s="1564"/>
      <c r="N250" s="1288"/>
      <c r="O250" s="1288"/>
      <c r="P250" s="1288"/>
      <c r="Q250" s="1288"/>
      <c r="R250" s="1564"/>
      <c r="S250" s="1288"/>
      <c r="T250" s="1288"/>
      <c r="U250" s="670"/>
      <c r="V250" s="1288"/>
      <c r="W250" s="1288"/>
      <c r="X250" s="1288"/>
      <c r="Y250" s="1288"/>
      <c r="Z250" s="1288"/>
      <c r="AA250" s="1554"/>
      <c r="AB250" s="1554"/>
      <c r="AC250" s="1554"/>
      <c r="AD250" s="1554"/>
      <c r="AE250" s="1554"/>
      <c r="AF250" s="1557">
        <v>0</v>
      </c>
    </row>
    <row r="251" spans="1:32" s="1739" customFormat="1" ht="24" customHeight="1">
      <c r="A251" s="3827"/>
      <c r="B251" s="1288"/>
      <c r="C251" s="1564"/>
      <c r="D251" s="617" t="s">
        <v>90</v>
      </c>
      <c r="E251" s="480" t="s">
        <v>848</v>
      </c>
      <c r="F251" s="474" t="s">
        <v>849</v>
      </c>
      <c r="G251" s="1989" t="s">
        <v>599</v>
      </c>
      <c r="H251" s="685"/>
      <c r="I251" s="685">
        <v>1.1000000000000001</v>
      </c>
      <c r="J251" s="1447" t="s">
        <v>600</v>
      </c>
      <c r="K251" s="668"/>
      <c r="L251" s="1564"/>
      <c r="M251" s="1564"/>
      <c r="N251" s="1288"/>
      <c r="O251" s="1288"/>
      <c r="P251" s="1288"/>
      <c r="Q251" s="1288"/>
      <c r="R251" s="1564"/>
      <c r="S251" s="1288"/>
      <c r="T251" s="1288"/>
      <c r="U251" s="670"/>
      <c r="V251" s="1288"/>
      <c r="W251" s="1288"/>
      <c r="X251" s="1288"/>
      <c r="Y251" s="1288"/>
      <c r="Z251" s="1288"/>
      <c r="AA251" s="1554"/>
      <c r="AB251" s="1554"/>
      <c r="AC251" s="1554"/>
      <c r="AD251" s="1554"/>
      <c r="AE251" s="1554"/>
      <c r="AF251" s="1557">
        <v>0</v>
      </c>
    </row>
    <row r="252" spans="1:32" s="1739" customFormat="1" ht="24" customHeight="1">
      <c r="A252" s="3827"/>
      <c r="B252" s="1288"/>
      <c r="C252" s="1564"/>
      <c r="D252" s="617" t="s">
        <v>90</v>
      </c>
      <c r="E252" s="480" t="s">
        <v>850</v>
      </c>
      <c r="F252" s="474" t="s">
        <v>851</v>
      </c>
      <c r="G252" s="1989" t="s">
        <v>599</v>
      </c>
      <c r="H252" s="685"/>
      <c r="I252" s="685">
        <v>0.7</v>
      </c>
      <c r="J252" s="1447" t="s">
        <v>600</v>
      </c>
      <c r="K252" s="668"/>
      <c r="L252" s="1564"/>
      <c r="M252" s="1564"/>
      <c r="N252" s="1288"/>
      <c r="O252" s="1288"/>
      <c r="P252" s="1288"/>
      <c r="Q252" s="1288"/>
      <c r="R252" s="1564"/>
      <c r="S252" s="1288"/>
      <c r="T252" s="1288"/>
      <c r="U252" s="670"/>
      <c r="V252" s="1288"/>
      <c r="W252" s="1288"/>
      <c r="X252" s="1288"/>
      <c r="Y252" s="1288"/>
      <c r="Z252" s="1288"/>
      <c r="AA252" s="1554"/>
      <c r="AB252" s="1554"/>
      <c r="AC252" s="1554"/>
      <c r="AD252" s="1554"/>
      <c r="AE252" s="1554"/>
      <c r="AF252" s="1557">
        <v>0</v>
      </c>
    </row>
    <row r="253" spans="1:32" s="1739" customFormat="1" ht="24" customHeight="1">
      <c r="A253" s="3827"/>
      <c r="B253" s="1288"/>
      <c r="C253" s="1564"/>
      <c r="D253" s="617" t="s">
        <v>90</v>
      </c>
      <c r="E253" s="480" t="s">
        <v>852</v>
      </c>
      <c r="F253" s="474" t="s">
        <v>853</v>
      </c>
      <c r="G253" s="1989" t="s">
        <v>599</v>
      </c>
      <c r="H253" s="685"/>
      <c r="I253" s="685">
        <v>6</v>
      </c>
      <c r="J253" s="1447" t="s">
        <v>600</v>
      </c>
      <c r="K253" s="668"/>
      <c r="L253" s="1564"/>
      <c r="M253" s="1564"/>
      <c r="N253" s="1288"/>
      <c r="O253" s="1288"/>
      <c r="P253" s="1288"/>
      <c r="Q253" s="1288"/>
      <c r="R253" s="1564"/>
      <c r="S253" s="1288"/>
      <c r="T253" s="1288"/>
      <c r="U253" s="670"/>
      <c r="V253" s="1288"/>
      <c r="W253" s="1288"/>
      <c r="X253" s="1288"/>
      <c r="Y253" s="1288"/>
      <c r="Z253" s="1288"/>
      <c r="AA253" s="1554"/>
      <c r="AB253" s="1554"/>
      <c r="AC253" s="1554"/>
      <c r="AD253" s="1554"/>
      <c r="AE253" s="1554"/>
      <c r="AF253" s="1557">
        <v>0</v>
      </c>
    </row>
    <row r="254" spans="1:32" s="1739" customFormat="1" ht="24" customHeight="1">
      <c r="A254" s="3827"/>
      <c r="B254" s="1288"/>
      <c r="C254" s="1564"/>
      <c r="D254" s="617" t="s">
        <v>90</v>
      </c>
      <c r="E254" s="480" t="s">
        <v>854</v>
      </c>
      <c r="F254" s="474" t="s">
        <v>855</v>
      </c>
      <c r="G254" s="1989" t="s">
        <v>599</v>
      </c>
      <c r="H254" s="685"/>
      <c r="I254" s="685">
        <v>2.5</v>
      </c>
      <c r="J254" s="1447" t="s">
        <v>600</v>
      </c>
      <c r="K254" s="668"/>
      <c r="L254" s="1564"/>
      <c r="M254" s="1564"/>
      <c r="N254" s="1288"/>
      <c r="O254" s="1288"/>
      <c r="P254" s="1288"/>
      <c r="Q254" s="1288"/>
      <c r="R254" s="1564"/>
      <c r="S254" s="1288"/>
      <c r="T254" s="1288"/>
      <c r="U254" s="670"/>
      <c r="V254" s="1288"/>
      <c r="W254" s="1288"/>
      <c r="X254" s="1288"/>
      <c r="Y254" s="1288"/>
      <c r="Z254" s="1288"/>
      <c r="AA254" s="1554"/>
      <c r="AB254" s="1554"/>
      <c r="AC254" s="1554"/>
      <c r="AD254" s="1554"/>
      <c r="AE254" s="1554"/>
      <c r="AF254" s="1557">
        <v>0</v>
      </c>
    </row>
    <row r="255" spans="1:32" s="1739" customFormat="1" ht="35.25" customHeight="1">
      <c r="A255" s="3827"/>
      <c r="B255" s="1288"/>
      <c r="C255" s="1564"/>
      <c r="D255" s="617" t="s">
        <v>90</v>
      </c>
      <c r="E255" s="480" t="s">
        <v>856</v>
      </c>
      <c r="F255" s="474" t="s">
        <v>857</v>
      </c>
      <c r="G255" s="1989" t="s">
        <v>599</v>
      </c>
      <c r="H255" s="685"/>
      <c r="I255" s="685">
        <v>16.600000000000001</v>
      </c>
      <c r="J255" s="1447" t="s">
        <v>600</v>
      </c>
      <c r="K255" s="668"/>
      <c r="L255" s="1564"/>
      <c r="M255" s="1564"/>
      <c r="N255" s="1288"/>
      <c r="O255" s="1288"/>
      <c r="P255" s="1288"/>
      <c r="Q255" s="1288"/>
      <c r="R255" s="1564"/>
      <c r="S255" s="1288"/>
      <c r="T255" s="1288"/>
      <c r="U255" s="670"/>
      <c r="V255" s="1288"/>
      <c r="W255" s="1288"/>
      <c r="X255" s="1288"/>
      <c r="Y255" s="1288"/>
      <c r="Z255" s="1288"/>
      <c r="AA255" s="1554"/>
      <c r="AB255" s="1554"/>
      <c r="AC255" s="1554"/>
      <c r="AD255" s="1554"/>
      <c r="AE255" s="1554"/>
      <c r="AF255" s="1557">
        <v>0</v>
      </c>
    </row>
    <row r="256" spans="1:32" s="1739" customFormat="1" ht="24" customHeight="1">
      <c r="A256" s="3827"/>
      <c r="B256" s="1288"/>
      <c r="C256" s="1564"/>
      <c r="D256" s="617" t="s">
        <v>90</v>
      </c>
      <c r="E256" s="480" t="s">
        <v>858</v>
      </c>
      <c r="F256" s="474" t="s">
        <v>859</v>
      </c>
      <c r="G256" s="1989" t="s">
        <v>599</v>
      </c>
      <c r="H256" s="685"/>
      <c r="I256" s="685">
        <v>2</v>
      </c>
      <c r="J256" s="1447" t="s">
        <v>600</v>
      </c>
      <c r="K256" s="668"/>
      <c r="L256" s="1564"/>
      <c r="M256" s="1564"/>
      <c r="N256" s="1288"/>
      <c r="O256" s="1288"/>
      <c r="P256" s="1288"/>
      <c r="Q256" s="1288"/>
      <c r="R256" s="1564"/>
      <c r="S256" s="1288"/>
      <c r="T256" s="1288"/>
      <c r="U256" s="670"/>
      <c r="V256" s="1288"/>
      <c r="W256" s="1288"/>
      <c r="X256" s="1288"/>
      <c r="Y256" s="1288"/>
      <c r="Z256" s="1288"/>
      <c r="AA256" s="1554"/>
      <c r="AB256" s="1554"/>
      <c r="AC256" s="1554"/>
      <c r="AD256" s="1554"/>
      <c r="AE256" s="1554"/>
      <c r="AF256" s="1557">
        <v>0</v>
      </c>
    </row>
    <row r="257" spans="1:32" s="1739" customFormat="1" ht="35.25" customHeight="1">
      <c r="A257" s="3827"/>
      <c r="B257" s="1288"/>
      <c r="C257" s="1564"/>
      <c r="D257" s="617" t="s">
        <v>90</v>
      </c>
      <c r="E257" s="480" t="s">
        <v>860</v>
      </c>
      <c r="F257" s="474" t="s">
        <v>861</v>
      </c>
      <c r="G257" s="1989" t="s">
        <v>599</v>
      </c>
      <c r="H257" s="685"/>
      <c r="I257" s="685">
        <v>0.3</v>
      </c>
      <c r="J257" s="1447" t="s">
        <v>600</v>
      </c>
      <c r="K257" s="668"/>
      <c r="L257" s="1564"/>
      <c r="M257" s="1564"/>
      <c r="N257" s="1288"/>
      <c r="O257" s="1288"/>
      <c r="P257" s="1288"/>
      <c r="Q257" s="1288"/>
      <c r="R257" s="1564"/>
      <c r="S257" s="1288"/>
      <c r="T257" s="1288"/>
      <c r="U257" s="670"/>
      <c r="V257" s="1288"/>
      <c r="W257" s="1288"/>
      <c r="X257" s="1288"/>
      <c r="Y257" s="1288"/>
      <c r="Z257" s="1288"/>
      <c r="AA257" s="1554"/>
      <c r="AB257" s="1554"/>
      <c r="AC257" s="1554"/>
      <c r="AD257" s="1554"/>
      <c r="AE257" s="1554"/>
      <c r="AF257" s="1557">
        <v>0</v>
      </c>
    </row>
    <row r="258" spans="1:32" s="1739" customFormat="1" ht="24" customHeight="1">
      <c r="A258" s="3827"/>
      <c r="B258" s="1288"/>
      <c r="C258" s="1564"/>
      <c r="D258" s="617" t="s">
        <v>90</v>
      </c>
      <c r="E258" s="480" t="s">
        <v>862</v>
      </c>
      <c r="F258" s="474" t="s">
        <v>863</v>
      </c>
      <c r="G258" s="1989" t="s">
        <v>599</v>
      </c>
      <c r="H258" s="685"/>
      <c r="I258" s="685">
        <v>2.8</v>
      </c>
      <c r="J258" s="1447" t="s">
        <v>600</v>
      </c>
      <c r="K258" s="668"/>
      <c r="L258" s="1564"/>
      <c r="M258" s="1564"/>
      <c r="N258" s="1288"/>
      <c r="O258" s="1288"/>
      <c r="P258" s="1288"/>
      <c r="Q258" s="1288"/>
      <c r="R258" s="1564"/>
      <c r="S258" s="1288"/>
      <c r="T258" s="1288"/>
      <c r="U258" s="670"/>
      <c r="V258" s="1288"/>
      <c r="W258" s="1288"/>
      <c r="X258" s="1288"/>
      <c r="Y258" s="1288"/>
      <c r="Z258" s="1288"/>
      <c r="AA258" s="1554"/>
      <c r="AB258" s="1554"/>
      <c r="AC258" s="1554"/>
      <c r="AD258" s="1554"/>
      <c r="AE258" s="1554"/>
      <c r="AF258" s="1557">
        <v>0</v>
      </c>
    </row>
    <row r="259" spans="1:32" s="1739" customFormat="1" ht="24" customHeight="1">
      <c r="A259" s="3827"/>
      <c r="B259" s="1288"/>
      <c r="C259" s="1564"/>
      <c r="D259" s="617" t="s">
        <v>90</v>
      </c>
      <c r="E259" s="480" t="s">
        <v>864</v>
      </c>
      <c r="F259" s="474" t="s">
        <v>865</v>
      </c>
      <c r="G259" s="1989" t="s">
        <v>599</v>
      </c>
      <c r="H259" s="685"/>
      <c r="I259" s="685">
        <v>3.5</v>
      </c>
      <c r="J259" s="1447" t="s">
        <v>600</v>
      </c>
      <c r="K259" s="668"/>
      <c r="L259" s="1564"/>
      <c r="M259" s="1564"/>
      <c r="N259" s="1288"/>
      <c r="O259" s="1288"/>
      <c r="P259" s="1288"/>
      <c r="Q259" s="1288"/>
      <c r="R259" s="1564"/>
      <c r="S259" s="1288"/>
      <c r="T259" s="1288"/>
      <c r="U259" s="670"/>
      <c r="V259" s="1288"/>
      <c r="W259" s="1288"/>
      <c r="X259" s="1288"/>
      <c r="Y259" s="1288"/>
      <c r="Z259" s="1288"/>
      <c r="AA259" s="1554"/>
      <c r="AB259" s="1554"/>
      <c r="AC259" s="1554"/>
      <c r="AD259" s="1554"/>
      <c r="AE259" s="1554"/>
      <c r="AF259" s="1557">
        <v>0</v>
      </c>
    </row>
    <row r="260" spans="1:32" s="1739" customFormat="1" ht="24" customHeight="1">
      <c r="A260" s="3827"/>
      <c r="B260" s="1288"/>
      <c r="C260" s="1564"/>
      <c r="D260" s="617" t="s">
        <v>90</v>
      </c>
      <c r="E260" s="480" t="s">
        <v>866</v>
      </c>
      <c r="F260" s="474" t="s">
        <v>867</v>
      </c>
      <c r="G260" s="1989" t="s">
        <v>599</v>
      </c>
      <c r="H260" s="685"/>
      <c r="I260" s="685">
        <v>2.6</v>
      </c>
      <c r="J260" s="1447" t="s">
        <v>600</v>
      </c>
      <c r="K260" s="668"/>
      <c r="L260" s="1564"/>
      <c r="M260" s="1564"/>
      <c r="N260" s="1288"/>
      <c r="O260" s="1288"/>
      <c r="P260" s="1288"/>
      <c r="Q260" s="1288"/>
      <c r="R260" s="1564"/>
      <c r="S260" s="1288"/>
      <c r="T260" s="1288"/>
      <c r="U260" s="670"/>
      <c r="V260" s="1288"/>
      <c r="W260" s="1288"/>
      <c r="X260" s="1288"/>
      <c r="Y260" s="1288"/>
      <c r="Z260" s="1288"/>
      <c r="AA260" s="1554"/>
      <c r="AB260" s="1554"/>
      <c r="AC260" s="1554"/>
      <c r="AD260" s="1554"/>
      <c r="AE260" s="1554"/>
      <c r="AF260" s="1557">
        <v>0</v>
      </c>
    </row>
    <row r="261" spans="1:32" s="1739" customFormat="1" ht="32.25" customHeight="1">
      <c r="A261" s="3827"/>
      <c r="B261" s="1288"/>
      <c r="C261" s="1564"/>
      <c r="D261" s="617" t="s">
        <v>90</v>
      </c>
      <c r="E261" s="480" t="s">
        <v>868</v>
      </c>
      <c r="F261" s="474" t="s">
        <v>869</v>
      </c>
      <c r="G261" s="1989" t="s">
        <v>599</v>
      </c>
      <c r="H261" s="685"/>
      <c r="I261" s="685">
        <v>1.8</v>
      </c>
      <c r="J261" s="1447" t="s">
        <v>600</v>
      </c>
      <c r="K261" s="668"/>
      <c r="L261" s="1564"/>
      <c r="M261" s="1564"/>
      <c r="N261" s="1288"/>
      <c r="O261" s="1288"/>
      <c r="P261" s="1288"/>
      <c r="Q261" s="1288"/>
      <c r="R261" s="1564"/>
      <c r="S261" s="1288"/>
      <c r="T261" s="1288"/>
      <c r="U261" s="670"/>
      <c r="V261" s="1288"/>
      <c r="W261" s="1288"/>
      <c r="X261" s="1288"/>
      <c r="Y261" s="1288"/>
      <c r="Z261" s="1288"/>
      <c r="AA261" s="1554"/>
      <c r="AB261" s="1554"/>
      <c r="AC261" s="1554"/>
      <c r="AD261" s="1554"/>
      <c r="AE261" s="1554"/>
      <c r="AF261" s="1557">
        <v>0</v>
      </c>
    </row>
    <row r="262" spans="1:32" s="1739" customFormat="1" ht="32.25" customHeight="1">
      <c r="A262" s="3827"/>
      <c r="B262" s="1288"/>
      <c r="C262" s="1564"/>
      <c r="D262" s="617" t="s">
        <v>90</v>
      </c>
      <c r="E262" s="480" t="s">
        <v>870</v>
      </c>
      <c r="F262" s="474" t="s">
        <v>871</v>
      </c>
      <c r="G262" s="1989" t="s">
        <v>599</v>
      </c>
      <c r="H262" s="685"/>
      <c r="I262" s="685">
        <v>1.9</v>
      </c>
      <c r="J262" s="1447" t="s">
        <v>600</v>
      </c>
      <c r="K262" s="668"/>
      <c r="L262" s="1564"/>
      <c r="M262" s="1564"/>
      <c r="N262" s="1288"/>
      <c r="O262" s="1288"/>
      <c r="P262" s="1288"/>
      <c r="Q262" s="1288"/>
      <c r="R262" s="1564"/>
      <c r="S262" s="1288"/>
      <c r="T262" s="1288"/>
      <c r="U262" s="670"/>
      <c r="V262" s="1288"/>
      <c r="W262" s="1288"/>
      <c r="X262" s="1288"/>
      <c r="Y262" s="1288"/>
      <c r="Z262" s="1288"/>
      <c r="AA262" s="1554"/>
      <c r="AB262" s="1554"/>
      <c r="AC262" s="1554"/>
      <c r="AD262" s="1554"/>
      <c r="AE262" s="1554"/>
      <c r="AF262" s="1557">
        <v>0</v>
      </c>
    </row>
    <row r="263" spans="1:32" s="1739" customFormat="1" ht="32.25" customHeight="1">
      <c r="A263" s="3827"/>
      <c r="B263" s="1288"/>
      <c r="C263" s="1564"/>
      <c r="D263" s="617" t="s">
        <v>90</v>
      </c>
      <c r="E263" s="480" t="s">
        <v>872</v>
      </c>
      <c r="F263" s="474" t="s">
        <v>873</v>
      </c>
      <c r="G263" s="1989" t="s">
        <v>599</v>
      </c>
      <c r="H263" s="685"/>
      <c r="I263" s="685">
        <v>0.1</v>
      </c>
      <c r="J263" s="1447" t="s">
        <v>600</v>
      </c>
      <c r="K263" s="668"/>
      <c r="L263" s="1564"/>
      <c r="M263" s="1564"/>
      <c r="N263" s="1288"/>
      <c r="O263" s="1288"/>
      <c r="P263" s="1288"/>
      <c r="Q263" s="1288"/>
      <c r="R263" s="1564"/>
      <c r="S263" s="1288"/>
      <c r="T263" s="1288"/>
      <c r="U263" s="670"/>
      <c r="V263" s="1288"/>
      <c r="W263" s="1288"/>
      <c r="X263" s="1288"/>
      <c r="Y263" s="1288"/>
      <c r="Z263" s="1288"/>
      <c r="AA263" s="1554"/>
      <c r="AB263" s="1554"/>
      <c r="AC263" s="1554"/>
      <c r="AD263" s="1554"/>
      <c r="AE263" s="1554"/>
      <c r="AF263" s="1557">
        <v>0</v>
      </c>
    </row>
    <row r="264" spans="1:32" s="1739" customFormat="1" ht="32.25" customHeight="1">
      <c r="A264" s="3827"/>
      <c r="B264" s="1288"/>
      <c r="C264" s="1564"/>
      <c r="D264" s="617" t="s">
        <v>90</v>
      </c>
      <c r="E264" s="480" t="s">
        <v>874</v>
      </c>
      <c r="F264" s="474" t="s">
        <v>875</v>
      </c>
      <c r="G264" s="1989" t="s">
        <v>599</v>
      </c>
      <c r="H264" s="685"/>
      <c r="I264" s="685">
        <v>0.1</v>
      </c>
      <c r="J264" s="1447" t="s">
        <v>600</v>
      </c>
      <c r="K264" s="668"/>
      <c r="L264" s="1564"/>
      <c r="M264" s="1564"/>
      <c r="N264" s="1288"/>
      <c r="O264" s="1288"/>
      <c r="P264" s="1288"/>
      <c r="Q264" s="1288"/>
      <c r="R264" s="1564"/>
      <c r="S264" s="1288"/>
      <c r="T264" s="1288"/>
      <c r="U264" s="670"/>
      <c r="V264" s="1288"/>
      <c r="W264" s="1288"/>
      <c r="X264" s="1288"/>
      <c r="Y264" s="1288"/>
      <c r="Z264" s="1288"/>
      <c r="AA264" s="1554"/>
      <c r="AB264" s="1554"/>
      <c r="AC264" s="1554"/>
      <c r="AD264" s="1554"/>
      <c r="AE264" s="1554"/>
      <c r="AF264" s="1557">
        <v>0</v>
      </c>
    </row>
    <row r="265" spans="1:32" s="1739" customFormat="1" ht="32.25" customHeight="1">
      <c r="A265" s="3827"/>
      <c r="B265" s="1288"/>
      <c r="C265" s="1564"/>
      <c r="D265" s="617" t="s">
        <v>90</v>
      </c>
      <c r="E265" s="480" t="s">
        <v>876</v>
      </c>
      <c r="F265" s="474" t="s">
        <v>877</v>
      </c>
      <c r="G265" s="1989" t="s">
        <v>599</v>
      </c>
      <c r="H265" s="685"/>
      <c r="I265" s="685">
        <v>1.9</v>
      </c>
      <c r="J265" s="1447" t="s">
        <v>600</v>
      </c>
      <c r="K265" s="668"/>
      <c r="L265" s="1564"/>
      <c r="M265" s="1564"/>
      <c r="N265" s="1288"/>
      <c r="O265" s="1288"/>
      <c r="P265" s="1288"/>
      <c r="Q265" s="1288"/>
      <c r="R265" s="1564"/>
      <c r="S265" s="1288"/>
      <c r="T265" s="1288"/>
      <c r="U265" s="670"/>
      <c r="V265" s="1288"/>
      <c r="W265" s="1288"/>
      <c r="X265" s="1288"/>
      <c r="Y265" s="1288"/>
      <c r="Z265" s="1288"/>
      <c r="AA265" s="1554"/>
      <c r="AB265" s="1554"/>
      <c r="AC265" s="1554"/>
      <c r="AD265" s="1554"/>
      <c r="AE265" s="1554"/>
      <c r="AF265" s="1557">
        <v>0</v>
      </c>
    </row>
    <row r="266" spans="1:32" s="1739" customFormat="1" ht="32.25" customHeight="1">
      <c r="A266" s="3827"/>
      <c r="B266" s="1288"/>
      <c r="C266" s="1564"/>
      <c r="D266" s="617" t="s">
        <v>90</v>
      </c>
      <c r="E266" s="480" t="s">
        <v>878</v>
      </c>
      <c r="F266" s="474" t="s">
        <v>879</v>
      </c>
      <c r="G266" s="1989" t="s">
        <v>599</v>
      </c>
      <c r="H266" s="685"/>
      <c r="I266" s="685">
        <v>1.7</v>
      </c>
      <c r="J266" s="1447" t="s">
        <v>600</v>
      </c>
      <c r="K266" s="668"/>
      <c r="L266" s="1564"/>
      <c r="M266" s="1564"/>
      <c r="N266" s="1288"/>
      <c r="O266" s="1288"/>
      <c r="P266" s="1288"/>
      <c r="Q266" s="1288"/>
      <c r="R266" s="1564"/>
      <c r="S266" s="1288"/>
      <c r="T266" s="1288"/>
      <c r="U266" s="670"/>
      <c r="V266" s="1288"/>
      <c r="W266" s="1288"/>
      <c r="X266" s="1288"/>
      <c r="Y266" s="1288"/>
      <c r="Z266" s="1288"/>
      <c r="AA266" s="1554"/>
      <c r="AB266" s="1554"/>
      <c r="AC266" s="1554"/>
      <c r="AD266" s="1554"/>
      <c r="AE266" s="1554"/>
      <c r="AF266" s="1557">
        <v>0</v>
      </c>
    </row>
    <row r="267" spans="1:32" s="1739" customFormat="1" ht="32.25" customHeight="1">
      <c r="A267" s="3827"/>
      <c r="B267" s="1288"/>
      <c r="C267" s="1564"/>
      <c r="D267" s="617" t="s">
        <v>90</v>
      </c>
      <c r="E267" s="480" t="s">
        <v>880</v>
      </c>
      <c r="F267" s="474" t="s">
        <v>881</v>
      </c>
      <c r="G267" s="1989" t="s">
        <v>599</v>
      </c>
      <c r="H267" s="685"/>
      <c r="I267" s="685">
        <v>0.4</v>
      </c>
      <c r="J267" s="1447" t="s">
        <v>600</v>
      </c>
      <c r="K267" s="668"/>
      <c r="L267" s="1564"/>
      <c r="M267" s="1564"/>
      <c r="N267" s="1288"/>
      <c r="O267" s="1288"/>
      <c r="P267" s="1288"/>
      <c r="Q267" s="1288"/>
      <c r="R267" s="1564"/>
      <c r="S267" s="1288"/>
      <c r="T267" s="1288"/>
      <c r="U267" s="670"/>
      <c r="V267" s="1288"/>
      <c r="W267" s="1288"/>
      <c r="X267" s="1288"/>
      <c r="Y267" s="1288"/>
      <c r="Z267" s="1288"/>
      <c r="AA267" s="1554"/>
      <c r="AB267" s="1554"/>
      <c r="AC267" s="1554"/>
      <c r="AD267" s="1554"/>
      <c r="AE267" s="1554"/>
      <c r="AF267" s="1557">
        <v>0</v>
      </c>
    </row>
    <row r="268" spans="1:32" s="1739" customFormat="1" ht="32.25" customHeight="1">
      <c r="A268" s="3827"/>
      <c r="B268" s="1288"/>
      <c r="C268" s="1564"/>
      <c r="D268" s="617" t="s">
        <v>90</v>
      </c>
      <c r="E268" s="480" t="s">
        <v>882</v>
      </c>
      <c r="F268" s="474" t="s">
        <v>883</v>
      </c>
      <c r="G268" s="1989" t="s">
        <v>599</v>
      </c>
      <c r="H268" s="685"/>
      <c r="I268" s="685">
        <v>0.4</v>
      </c>
      <c r="J268" s="1447" t="s">
        <v>600</v>
      </c>
      <c r="K268" s="668"/>
      <c r="L268" s="1564"/>
      <c r="M268" s="1564"/>
      <c r="N268" s="1288"/>
      <c r="O268" s="1288"/>
      <c r="P268" s="1288"/>
      <c r="Q268" s="1288"/>
      <c r="R268" s="1564"/>
      <c r="S268" s="1288"/>
      <c r="T268" s="1288"/>
      <c r="U268" s="670"/>
      <c r="V268" s="1288"/>
      <c r="W268" s="1288"/>
      <c r="X268" s="1288"/>
      <c r="Y268" s="1288"/>
      <c r="Z268" s="1288"/>
      <c r="AA268" s="1554"/>
      <c r="AB268" s="1554"/>
      <c r="AC268" s="1554"/>
      <c r="AD268" s="1554"/>
      <c r="AE268" s="1554"/>
      <c r="AF268" s="1557">
        <v>0</v>
      </c>
    </row>
    <row r="269" spans="1:32" s="1739" customFormat="1" ht="32.25" customHeight="1">
      <c r="A269" s="3827"/>
      <c r="B269" s="1288"/>
      <c r="C269" s="1564"/>
      <c r="D269" s="617" t="s">
        <v>90</v>
      </c>
      <c r="E269" s="480" t="s">
        <v>884</v>
      </c>
      <c r="F269" s="474" t="s">
        <v>885</v>
      </c>
      <c r="G269" s="1989" t="s">
        <v>599</v>
      </c>
      <c r="H269" s="685"/>
      <c r="I269" s="685">
        <v>0.9</v>
      </c>
      <c r="J269" s="1447" t="s">
        <v>600</v>
      </c>
      <c r="K269" s="668"/>
      <c r="L269" s="1564"/>
      <c r="M269" s="1564"/>
      <c r="N269" s="1288"/>
      <c r="O269" s="1288"/>
      <c r="P269" s="1288"/>
      <c r="Q269" s="1288"/>
      <c r="R269" s="1564"/>
      <c r="S269" s="1288"/>
      <c r="T269" s="1288"/>
      <c r="U269" s="670"/>
      <c r="V269" s="1288"/>
      <c r="W269" s="1288"/>
      <c r="X269" s="1288"/>
      <c r="Y269" s="1288"/>
      <c r="Z269" s="1288"/>
      <c r="AA269" s="1554"/>
      <c r="AB269" s="1554"/>
      <c r="AC269" s="1554"/>
      <c r="AD269" s="1554"/>
      <c r="AE269" s="1554"/>
      <c r="AF269" s="1557">
        <v>0</v>
      </c>
    </row>
    <row r="270" spans="1:32" s="1739" customFormat="1" ht="32.25" customHeight="1">
      <c r="A270" s="3827"/>
      <c r="B270" s="1288"/>
      <c r="C270" s="1564"/>
      <c r="D270" s="617" t="s">
        <v>90</v>
      </c>
      <c r="E270" s="480" t="s">
        <v>886</v>
      </c>
      <c r="F270" s="474" t="s">
        <v>887</v>
      </c>
      <c r="G270" s="1989" t="s">
        <v>599</v>
      </c>
      <c r="H270" s="685"/>
      <c r="I270" s="685">
        <v>0.9</v>
      </c>
      <c r="J270" s="1447" t="s">
        <v>600</v>
      </c>
      <c r="K270" s="668"/>
      <c r="L270" s="1564"/>
      <c r="M270" s="1564"/>
      <c r="N270" s="1288"/>
      <c r="O270" s="1288"/>
      <c r="P270" s="1288"/>
      <c r="Q270" s="1288"/>
      <c r="R270" s="1564"/>
      <c r="S270" s="1288"/>
      <c r="T270" s="1288"/>
      <c r="U270" s="670"/>
      <c r="V270" s="1288"/>
      <c r="W270" s="1288"/>
      <c r="X270" s="1288"/>
      <c r="Y270" s="1288"/>
      <c r="Z270" s="1288"/>
      <c r="AA270" s="1554"/>
      <c r="AB270" s="1554"/>
      <c r="AC270" s="1554"/>
      <c r="AD270" s="1554"/>
      <c r="AE270" s="1554"/>
      <c r="AF270" s="1557">
        <v>0</v>
      </c>
    </row>
    <row r="271" spans="1:32" s="1739" customFormat="1" ht="32.25" customHeight="1">
      <c r="A271" s="3827"/>
      <c r="B271" s="1288"/>
      <c r="C271" s="1564"/>
      <c r="D271" s="617" t="s">
        <v>90</v>
      </c>
      <c r="E271" s="480" t="s">
        <v>888</v>
      </c>
      <c r="F271" s="474" t="s">
        <v>889</v>
      </c>
      <c r="G271" s="1989" t="s">
        <v>599</v>
      </c>
      <c r="H271" s="685"/>
      <c r="I271" s="685">
        <v>2.6</v>
      </c>
      <c r="J271" s="1447" t="s">
        <v>600</v>
      </c>
      <c r="K271" s="668"/>
      <c r="L271" s="1564"/>
      <c r="M271" s="1564"/>
      <c r="N271" s="1288"/>
      <c r="O271" s="1288"/>
      <c r="P271" s="1288"/>
      <c r="Q271" s="1288"/>
      <c r="R271" s="1564"/>
      <c r="S271" s="1288"/>
      <c r="T271" s="1288"/>
      <c r="U271" s="670"/>
      <c r="V271" s="1288"/>
      <c r="W271" s="1288"/>
      <c r="X271" s="1288"/>
      <c r="Y271" s="1288"/>
      <c r="Z271" s="1288"/>
      <c r="AA271" s="1554"/>
      <c r="AB271" s="1554"/>
      <c r="AC271" s="1554"/>
      <c r="AD271" s="1554"/>
      <c r="AE271" s="1554"/>
      <c r="AF271" s="1557">
        <v>0</v>
      </c>
    </row>
    <row r="272" spans="1:32" s="1739" customFormat="1" ht="32.25" customHeight="1">
      <c r="A272" s="3827"/>
      <c r="B272" s="1288"/>
      <c r="C272" s="1564"/>
      <c r="D272" s="617" t="s">
        <v>90</v>
      </c>
      <c r="E272" s="480" t="s">
        <v>890</v>
      </c>
      <c r="F272" s="474" t="s">
        <v>891</v>
      </c>
      <c r="G272" s="1989" t="s">
        <v>599</v>
      </c>
      <c r="H272" s="685"/>
      <c r="I272" s="685">
        <v>2.6</v>
      </c>
      <c r="J272" s="1447" t="s">
        <v>600</v>
      </c>
      <c r="K272" s="668"/>
      <c r="L272" s="1564"/>
      <c r="M272" s="1564"/>
      <c r="N272" s="1288"/>
      <c r="O272" s="1288"/>
      <c r="P272" s="1288"/>
      <c r="Q272" s="1288"/>
      <c r="R272" s="1564"/>
      <c r="S272" s="1288"/>
      <c r="T272" s="1288"/>
      <c r="U272" s="670"/>
      <c r="V272" s="1288"/>
      <c r="W272" s="1288"/>
      <c r="X272" s="1288"/>
      <c r="Y272" s="1288"/>
      <c r="Z272" s="1288"/>
      <c r="AA272" s="1554"/>
      <c r="AB272" s="1554"/>
      <c r="AC272" s="1554"/>
      <c r="AD272" s="1554"/>
      <c r="AE272" s="1554"/>
      <c r="AF272" s="1557">
        <v>0</v>
      </c>
    </row>
    <row r="273" spans="1:32" s="1739" customFormat="1" ht="32.25" customHeight="1">
      <c r="A273" s="3827"/>
      <c r="B273" s="1288"/>
      <c r="C273" s="1564"/>
      <c r="D273" s="617" t="s">
        <v>90</v>
      </c>
      <c r="E273" s="480" t="s">
        <v>892</v>
      </c>
      <c r="F273" s="474" t="s">
        <v>893</v>
      </c>
      <c r="G273" s="1989" t="s">
        <v>599</v>
      </c>
      <c r="H273" s="685"/>
      <c r="I273" s="685">
        <v>2.6</v>
      </c>
      <c r="J273" s="1447" t="s">
        <v>600</v>
      </c>
      <c r="K273" s="668"/>
      <c r="L273" s="1564"/>
      <c r="M273" s="1564"/>
      <c r="N273" s="1288"/>
      <c r="O273" s="1288"/>
      <c r="P273" s="1288"/>
      <c r="Q273" s="1288"/>
      <c r="R273" s="1564"/>
      <c r="S273" s="1288"/>
      <c r="T273" s="1288"/>
      <c r="U273" s="670"/>
      <c r="V273" s="1288"/>
      <c r="W273" s="1288"/>
      <c r="X273" s="1288"/>
      <c r="Y273" s="1288"/>
      <c r="Z273" s="1288"/>
      <c r="AA273" s="1554"/>
      <c r="AB273" s="1554"/>
      <c r="AC273" s="1554"/>
      <c r="AD273" s="1554"/>
      <c r="AE273" s="1554"/>
      <c r="AF273" s="1557">
        <v>0</v>
      </c>
    </row>
    <row r="274" spans="1:32" s="1739" customFormat="1" ht="32.25" customHeight="1">
      <c r="A274" s="3827"/>
      <c r="B274" s="1288"/>
      <c r="C274" s="1564"/>
      <c r="D274" s="617" t="s">
        <v>90</v>
      </c>
      <c r="E274" s="480" t="s">
        <v>894</v>
      </c>
      <c r="F274" s="474" t="s">
        <v>895</v>
      </c>
      <c r="G274" s="1989" t="s">
        <v>599</v>
      </c>
      <c r="H274" s="685"/>
      <c r="I274" s="685">
        <v>1.7</v>
      </c>
      <c r="J274" s="1447" t="s">
        <v>600</v>
      </c>
      <c r="K274" s="668"/>
      <c r="L274" s="1564"/>
      <c r="M274" s="1564"/>
      <c r="N274" s="1288"/>
      <c r="O274" s="1288"/>
      <c r="P274" s="1288"/>
      <c r="Q274" s="1288"/>
      <c r="R274" s="1564"/>
      <c r="S274" s="1288"/>
      <c r="T274" s="1288"/>
      <c r="U274" s="670"/>
      <c r="V274" s="1288"/>
      <c r="W274" s="1288"/>
      <c r="X274" s="1288"/>
      <c r="Y274" s="1288"/>
      <c r="Z274" s="1288"/>
      <c r="AA274" s="1554"/>
      <c r="AB274" s="1554"/>
      <c r="AC274" s="1554"/>
      <c r="AD274" s="1554"/>
      <c r="AE274" s="1554"/>
      <c r="AF274" s="1557">
        <v>0</v>
      </c>
    </row>
    <row r="275" spans="1:32" s="1739" customFormat="1" ht="32.25" customHeight="1">
      <c r="A275" s="3827"/>
      <c r="B275" s="1288"/>
      <c r="C275" s="1564"/>
      <c r="D275" s="617" t="s">
        <v>90</v>
      </c>
      <c r="E275" s="480" t="s">
        <v>896</v>
      </c>
      <c r="F275" s="474" t="s">
        <v>897</v>
      </c>
      <c r="G275" s="1989" t="s">
        <v>599</v>
      </c>
      <c r="H275" s="685"/>
      <c r="I275" s="685">
        <v>0.3</v>
      </c>
      <c r="J275" s="1447" t="s">
        <v>600</v>
      </c>
      <c r="K275" s="668"/>
      <c r="L275" s="1564"/>
      <c r="M275" s="1564"/>
      <c r="N275" s="1288"/>
      <c r="O275" s="1288"/>
      <c r="P275" s="1288"/>
      <c r="Q275" s="1288"/>
      <c r="R275" s="1564"/>
      <c r="S275" s="1288"/>
      <c r="T275" s="1288"/>
      <c r="U275" s="670"/>
      <c r="V275" s="1288"/>
      <c r="W275" s="1288"/>
      <c r="X275" s="1288"/>
      <c r="Y275" s="1288"/>
      <c r="Z275" s="1288"/>
      <c r="AA275" s="1554"/>
      <c r="AB275" s="1554"/>
      <c r="AC275" s="1554"/>
      <c r="AD275" s="1554"/>
      <c r="AE275" s="1554"/>
      <c r="AF275" s="1557">
        <v>0</v>
      </c>
    </row>
    <row r="276" spans="1:32" s="1739" customFormat="1" ht="32.25" customHeight="1">
      <c r="A276" s="3827"/>
      <c r="B276" s="1288"/>
      <c r="C276" s="1564"/>
      <c r="D276" s="617" t="s">
        <v>90</v>
      </c>
      <c r="E276" s="480" t="s">
        <v>898</v>
      </c>
      <c r="F276" s="474" t="s">
        <v>899</v>
      </c>
      <c r="G276" s="1989" t="s">
        <v>599</v>
      </c>
      <c r="H276" s="685"/>
      <c r="I276" s="685">
        <v>3.4</v>
      </c>
      <c r="J276" s="1447" t="s">
        <v>600</v>
      </c>
      <c r="K276" s="668"/>
      <c r="L276" s="1564"/>
      <c r="M276" s="1564"/>
      <c r="N276" s="1288"/>
      <c r="O276" s="1288"/>
      <c r="P276" s="1288"/>
      <c r="Q276" s="1288"/>
      <c r="R276" s="1564"/>
      <c r="S276" s="1288"/>
      <c r="T276" s="1288"/>
      <c r="U276" s="670"/>
      <c r="V276" s="1288"/>
      <c r="W276" s="1288"/>
      <c r="X276" s="1288"/>
      <c r="Y276" s="1288"/>
      <c r="Z276" s="1288"/>
      <c r="AA276" s="1554"/>
      <c r="AB276" s="1554"/>
      <c r="AC276" s="1554"/>
      <c r="AD276" s="1554"/>
      <c r="AE276" s="1554"/>
      <c r="AF276" s="1557">
        <v>0</v>
      </c>
    </row>
    <row r="277" spans="1:32" s="1739" customFormat="1" ht="32.25" customHeight="1">
      <c r="A277" s="3827"/>
      <c r="B277" s="1288"/>
      <c r="C277" s="1564"/>
      <c r="D277" s="617" t="s">
        <v>90</v>
      </c>
      <c r="E277" s="480" t="s">
        <v>900</v>
      </c>
      <c r="F277" s="474" t="s">
        <v>901</v>
      </c>
      <c r="G277" s="1989" t="s">
        <v>599</v>
      </c>
      <c r="H277" s="685"/>
      <c r="I277" s="685">
        <v>2</v>
      </c>
      <c r="J277" s="1447" t="s">
        <v>600</v>
      </c>
      <c r="K277" s="668"/>
      <c r="L277" s="1564"/>
      <c r="M277" s="1564"/>
      <c r="N277" s="1288"/>
      <c r="O277" s="1288"/>
      <c r="P277" s="1288"/>
      <c r="Q277" s="1288"/>
      <c r="R277" s="1564"/>
      <c r="S277" s="1288"/>
      <c r="T277" s="1288"/>
      <c r="U277" s="670"/>
      <c r="V277" s="1288"/>
      <c r="W277" s="1288"/>
      <c r="X277" s="1288"/>
      <c r="Y277" s="1288"/>
      <c r="Z277" s="1288"/>
      <c r="AA277" s="1554"/>
      <c r="AB277" s="1554"/>
      <c r="AC277" s="1554"/>
      <c r="AD277" s="1554"/>
      <c r="AE277" s="1554"/>
      <c r="AF277" s="1557">
        <v>0</v>
      </c>
    </row>
    <row r="278" spans="1:32" s="1739" customFormat="1" ht="32.25" customHeight="1">
      <c r="A278" s="3827"/>
      <c r="B278" s="1288"/>
      <c r="C278" s="1564"/>
      <c r="D278" s="617" t="s">
        <v>90</v>
      </c>
      <c r="E278" s="480" t="s">
        <v>902</v>
      </c>
      <c r="F278" s="474" t="s">
        <v>903</v>
      </c>
      <c r="G278" s="1989" t="s">
        <v>599</v>
      </c>
      <c r="H278" s="685"/>
      <c r="I278" s="685">
        <v>0.7</v>
      </c>
      <c r="J278" s="1447" t="s">
        <v>600</v>
      </c>
      <c r="K278" s="668"/>
      <c r="L278" s="1564"/>
      <c r="M278" s="1564"/>
      <c r="N278" s="1288"/>
      <c r="O278" s="1288"/>
      <c r="P278" s="1288"/>
      <c r="Q278" s="1288"/>
      <c r="R278" s="1564"/>
      <c r="S278" s="1288"/>
      <c r="T278" s="1288"/>
      <c r="U278" s="670"/>
      <c r="V278" s="1288"/>
      <c r="W278" s="1288"/>
      <c r="X278" s="1288"/>
      <c r="Y278" s="1288"/>
      <c r="Z278" s="1288"/>
      <c r="AA278" s="1554"/>
      <c r="AB278" s="1554"/>
      <c r="AC278" s="1554"/>
      <c r="AD278" s="1554"/>
      <c r="AE278" s="1554"/>
      <c r="AF278" s="1557">
        <v>0</v>
      </c>
    </row>
    <row r="279" spans="1:32" s="1739" customFormat="1" ht="18.75" customHeight="1">
      <c r="A279" s="3827"/>
      <c r="B279" s="1288"/>
      <c r="C279" s="1564"/>
      <c r="D279" s="617" t="s">
        <v>90</v>
      </c>
      <c r="E279" s="480" t="s">
        <v>904</v>
      </c>
      <c r="F279" s="474" t="s">
        <v>905</v>
      </c>
      <c r="G279" s="1989" t="s">
        <v>599</v>
      </c>
      <c r="H279" s="685"/>
      <c r="I279" s="685">
        <v>43</v>
      </c>
      <c r="J279" s="1447" t="s">
        <v>600</v>
      </c>
      <c r="K279" s="668"/>
      <c r="L279" s="1564"/>
      <c r="M279" s="1564"/>
      <c r="N279" s="1288"/>
      <c r="O279" s="1288"/>
      <c r="P279" s="1288"/>
      <c r="Q279" s="1288"/>
      <c r="R279" s="1564"/>
      <c r="S279" s="1288"/>
      <c r="T279" s="1288"/>
      <c r="U279" s="670"/>
      <c r="V279" s="1288"/>
      <c r="W279" s="1288"/>
      <c r="X279" s="1288"/>
      <c r="Y279" s="1288"/>
      <c r="Z279" s="1288"/>
      <c r="AA279" s="1554"/>
      <c r="AB279" s="1554"/>
      <c r="AC279" s="1554"/>
      <c r="AD279" s="1554"/>
      <c r="AE279" s="1554"/>
      <c r="AF279" s="1557">
        <v>0</v>
      </c>
    </row>
    <row r="280" spans="1:32" s="1739" customFormat="1" ht="18.75" customHeight="1">
      <c r="A280" s="3827"/>
      <c r="B280" s="1288"/>
      <c r="C280" s="1564"/>
      <c r="D280" s="617" t="s">
        <v>90</v>
      </c>
      <c r="E280" s="480" t="s">
        <v>906</v>
      </c>
      <c r="F280" s="474" t="s">
        <v>907</v>
      </c>
      <c r="G280" s="1989" t="s">
        <v>599</v>
      </c>
      <c r="H280" s="685"/>
      <c r="I280" s="685">
        <v>4</v>
      </c>
      <c r="J280" s="1447" t="s">
        <v>600</v>
      </c>
      <c r="K280" s="668"/>
      <c r="L280" s="1564"/>
      <c r="M280" s="1564"/>
      <c r="N280" s="1288"/>
      <c r="O280" s="1288"/>
      <c r="P280" s="1288"/>
      <c r="Q280" s="1288"/>
      <c r="R280" s="1564"/>
      <c r="S280" s="1288"/>
      <c r="T280" s="1288"/>
      <c r="U280" s="670"/>
      <c r="V280" s="1288"/>
      <c r="W280" s="1288"/>
      <c r="X280" s="1288"/>
      <c r="Y280" s="1288"/>
      <c r="Z280" s="1288"/>
      <c r="AA280" s="1554"/>
      <c r="AB280" s="1554"/>
      <c r="AC280" s="1554"/>
      <c r="AD280" s="1554"/>
      <c r="AE280" s="1554"/>
      <c r="AF280" s="1557">
        <v>0</v>
      </c>
    </row>
    <row r="281" spans="1:32" ht="15" customHeight="1">
      <c r="A281" s="3826"/>
      <c r="D281" s="1555"/>
      <c r="E281" s="897"/>
      <c r="F281" s="898" t="s">
        <v>908</v>
      </c>
      <c r="G281" s="506"/>
      <c r="H281" s="507"/>
      <c r="I281" s="507"/>
      <c r="J281" s="930" t="s">
        <v>909</v>
      </c>
      <c r="K281" s="477"/>
      <c r="AF281" s="1553">
        <v>0</v>
      </c>
    </row>
    <row r="282" spans="1:32" s="1288" customFormat="1" ht="18.75" customHeight="1">
      <c r="A282" s="3826"/>
      <c r="C282" s="1558"/>
      <c r="D282" s="1560"/>
      <c r="E282" s="480" t="str">
        <f>FHD_NUM_P_62</f>
        <v>8</v>
      </c>
      <c r="F282" s="1769" t="str">
        <f>FHD_P_62</f>
        <v>Тепловая нагрузка по договорам, заключенным в рамках осуществления регулируемых видов деятельности</v>
      </c>
      <c r="G282" s="1766" t="s">
        <v>599</v>
      </c>
      <c r="H282" s="491"/>
      <c r="I282" s="491">
        <f>96.03+155.703+186.506+18.1256+121.5349</f>
        <v>577.89949999999999</v>
      </c>
      <c r="J28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282" s="477"/>
      <c r="L282" s="1558"/>
      <c r="M282" s="1558"/>
      <c r="R282" s="1558"/>
      <c r="U282" s="478"/>
      <c r="AA282" s="1554"/>
      <c r="AB282" s="1554"/>
      <c r="AC282" s="1554"/>
      <c r="AD282" s="1554"/>
      <c r="AE282" s="1554"/>
      <c r="AF282" s="1082">
        <v>0</v>
      </c>
    </row>
    <row r="283" spans="1:32" s="1288" customFormat="1" ht="36.75" customHeight="1">
      <c r="A283" s="3826"/>
      <c r="C283" s="1558"/>
      <c r="D283" s="1560"/>
      <c r="E283" s="480" t="str">
        <f>FHD_NUM_P_63</f>
        <v>9</v>
      </c>
      <c r="F283" s="1769" t="str">
        <f>FHD_P_63</f>
        <v>Объем вырабатываемой регулируемой организацией тепловой энергии в рамках осуществления регулируемых видов деятельности</v>
      </c>
      <c r="G283" s="1766" t="s">
        <v>639</v>
      </c>
      <c r="H283" s="511"/>
      <c r="I283" s="511">
        <v>1460.1626900000001</v>
      </c>
      <c r="J28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283" s="477"/>
      <c r="L283" s="1558"/>
      <c r="M283" s="1558"/>
      <c r="R283" s="1558"/>
      <c r="U283" s="478"/>
      <c r="AA283" s="1554"/>
      <c r="AB283" s="1554"/>
      <c r="AC283" s="1554"/>
      <c r="AD283" s="1554"/>
      <c r="AE283" s="1554"/>
      <c r="AF283" s="1082">
        <v>0</v>
      </c>
    </row>
    <row r="284" spans="1:32" s="1288" customFormat="1" ht="42" customHeight="1">
      <c r="A284" s="3826"/>
      <c r="C284" s="1558"/>
      <c r="D284" s="1560"/>
      <c r="E284" s="480" t="str">
        <f>FHD_NUM_P_64</f>
        <v>9.1</v>
      </c>
      <c r="F284" s="1769" t="str">
        <f>FHD_P_64</f>
        <v>Объем приобретаемой регулируемой организацией тепловой энергии в рамках осуществления регулируемых видов деятельности</v>
      </c>
      <c r="G284" s="1766" t="s">
        <v>639</v>
      </c>
      <c r="H284" s="1329"/>
      <c r="I284" s="685">
        <v>42.271529999999998</v>
      </c>
      <c r="J284" s="224" t="str">
        <f>FHD_NOTE_P_64</f>
        <v>Информация указывается только едиными теплоснабжающими организациями.</v>
      </c>
      <c r="K284" s="477"/>
      <c r="L284" s="1558"/>
      <c r="M284" s="1558"/>
      <c r="R284" s="1558"/>
      <c r="U284" s="478"/>
      <c r="AA284" s="1554"/>
      <c r="AB284" s="1554"/>
      <c r="AC284" s="1554"/>
      <c r="AD284" s="1554"/>
      <c r="AE284" s="1554"/>
      <c r="AF284" s="1082">
        <v>0</v>
      </c>
    </row>
    <row r="285" spans="1:32" s="1288" customFormat="1" ht="42" customHeight="1">
      <c r="A285" s="3826"/>
      <c r="C285" s="1558"/>
      <c r="D285" s="1560"/>
      <c r="E285" s="480" t="str">
        <f>FHD_NUM_P_65</f>
        <v>10</v>
      </c>
      <c r="F285" s="176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285" s="1766" t="s">
        <v>639</v>
      </c>
      <c r="H285" s="511"/>
      <c r="I285" s="511">
        <v>1169.30825</v>
      </c>
      <c r="J28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285" s="477"/>
      <c r="L285" s="1558"/>
      <c r="M285" s="1558"/>
      <c r="R285" s="1558"/>
      <c r="U285" s="478"/>
      <c r="AA285" s="1554"/>
      <c r="AB285" s="1554"/>
      <c r="AC285" s="1554"/>
      <c r="AD285" s="1554"/>
      <c r="AE285" s="1554"/>
      <c r="AF285" s="1082">
        <v>0</v>
      </c>
    </row>
    <row r="286" spans="1:32" s="1288" customFormat="1" ht="18.75" customHeight="1">
      <c r="A286" s="3826"/>
      <c r="C286" s="1558"/>
      <c r="D286" s="1560"/>
      <c r="E286" s="480" t="str">
        <f>FHD_NUM_P_66</f>
        <v>10.1</v>
      </c>
      <c r="F286" s="1446" t="str">
        <f>FHD_P_66</f>
        <v xml:space="preserve">По приборам учёта </v>
      </c>
      <c r="G286" s="1766" t="s">
        <v>639</v>
      </c>
      <c r="H286" s="511"/>
      <c r="I286" s="511">
        <v>395.81046600000002</v>
      </c>
      <c r="J286" s="224" t="str">
        <f>FHD_NOTE_P_66</f>
        <v/>
      </c>
      <c r="K286" s="477"/>
      <c r="L286" s="1558"/>
      <c r="M286" s="1558"/>
      <c r="R286" s="1558"/>
      <c r="U286" s="478"/>
      <c r="AA286" s="1554"/>
      <c r="AB286" s="1554"/>
      <c r="AC286" s="1554"/>
      <c r="AD286" s="1554"/>
      <c r="AE286" s="1554"/>
      <c r="AF286" s="1082">
        <v>0</v>
      </c>
    </row>
    <row r="287" spans="1:32" s="1288" customFormat="1" ht="52.5" customHeight="1">
      <c r="A287" s="3826"/>
      <c r="C287" s="1558"/>
      <c r="D287" s="1560"/>
      <c r="E287" s="480" t="str">
        <f>FHD_NUM_P_67</f>
        <v>10.1.1</v>
      </c>
      <c r="F287" s="1572"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287" s="1766" t="s">
        <v>639</v>
      </c>
      <c r="H287" s="511"/>
      <c r="I287" s="511">
        <v>0</v>
      </c>
      <c r="J287" s="224" t="str">
        <f>FHD_NOTE_P_67</f>
        <v/>
      </c>
      <c r="K287" s="477"/>
      <c r="L287" s="1558"/>
      <c r="M287" s="1558"/>
      <c r="R287" s="1558"/>
      <c r="U287" s="478"/>
      <c r="AA287" s="1554"/>
      <c r="AB287" s="1554"/>
      <c r="AC287" s="1554"/>
      <c r="AD287" s="1554"/>
      <c r="AE287" s="1554"/>
      <c r="AF287" s="1082">
        <v>0</v>
      </c>
    </row>
    <row r="288" spans="1:32" s="1288" customFormat="1" ht="18.75" customHeight="1">
      <c r="A288" s="3826"/>
      <c r="C288" s="1558"/>
      <c r="D288" s="1560"/>
      <c r="E288" s="480" t="str">
        <f>FHD_NUM_P_68</f>
        <v>10.2</v>
      </c>
      <c r="F288" s="1446" t="str">
        <f>FHD_P_68</f>
        <v>Расчётным путём</v>
      </c>
      <c r="G288" s="1766" t="s">
        <v>639</v>
      </c>
      <c r="H288" s="511"/>
      <c r="I288" s="511">
        <v>770.73649999999998</v>
      </c>
      <c r="J288" s="224" t="str">
        <f>FHD_NOTE_P_68</f>
        <v/>
      </c>
      <c r="K288" s="477"/>
      <c r="L288" s="1558"/>
      <c r="M288" s="1558"/>
      <c r="R288" s="1558"/>
      <c r="U288" s="478"/>
      <c r="AA288" s="1554"/>
      <c r="AB288" s="1554"/>
      <c r="AC288" s="1554"/>
      <c r="AD288" s="1554"/>
      <c r="AE288" s="1554"/>
      <c r="AF288" s="1082">
        <v>0</v>
      </c>
    </row>
    <row r="289" spans="1:32" s="1288" customFormat="1" ht="39" customHeight="1">
      <c r="A289" s="3826"/>
      <c r="C289" s="1558"/>
      <c r="D289" s="1560"/>
      <c r="E289" s="480" t="str">
        <f>FHD_NUM_P_69</f>
        <v>10.3</v>
      </c>
      <c r="F289" s="1446" t="str">
        <f>FHD_P_69</f>
        <v>По нормативам потребления коммунальных услуг и нормативам потребления коммунальных ресурсов</v>
      </c>
      <c r="G289" s="1766" t="s">
        <v>639</v>
      </c>
      <c r="H289" s="511"/>
      <c r="I289" s="511">
        <f>I285-I286-I288</f>
        <v>2.761284000000046</v>
      </c>
      <c r="J289" s="224" t="str">
        <f>FHD_NOTE_P_69</f>
        <v/>
      </c>
      <c r="K289" s="477"/>
      <c r="L289" s="1558"/>
      <c r="M289" s="1558"/>
      <c r="R289" s="1558"/>
      <c r="U289" s="478"/>
      <c r="AA289" s="1554"/>
      <c r="AB289" s="1554"/>
      <c r="AC289" s="1554"/>
      <c r="AD289" s="1554"/>
      <c r="AE289" s="1554"/>
      <c r="AF289" s="1082">
        <v>0</v>
      </c>
    </row>
    <row r="290" spans="1:32" s="1288" customFormat="1" ht="40.5" customHeight="1">
      <c r="A290" s="3826"/>
      <c r="C290" s="1558"/>
      <c r="D290" s="1560"/>
      <c r="E290" s="480" t="str">
        <f>FHD_NUM_P_70</f>
        <v>11</v>
      </c>
      <c r="F290" s="1769" t="str">
        <f>FHD_P_70</f>
        <v>Нормативы технологических потерь при передаче тепловой энергии, теплоносителя по тепловым сетям, утвержденные уполномоченным органом</v>
      </c>
      <c r="G290" s="1766" t="s">
        <v>910</v>
      </c>
      <c r="H290" s="491"/>
      <c r="I290" s="491">
        <v>270.94873999999999</v>
      </c>
      <c r="J290" s="224" t="str">
        <f>FHD_NOTE_P_70</f>
        <v/>
      </c>
      <c r="K290" s="477"/>
      <c r="L290" s="1558"/>
      <c r="M290" s="1558"/>
      <c r="R290" s="1558"/>
      <c r="U290" s="478"/>
      <c r="AA290" s="1554"/>
      <c r="AB290" s="1554"/>
      <c r="AC290" s="1554"/>
      <c r="AD290" s="1554"/>
      <c r="AE290" s="1554"/>
      <c r="AF290" s="1082">
        <v>0</v>
      </c>
    </row>
    <row r="291" spans="1:32" s="1288" customFormat="1" ht="22.5" customHeight="1">
      <c r="A291" s="3826"/>
      <c r="C291" s="1558"/>
      <c r="D291" s="1560"/>
      <c r="E291" s="480" t="str">
        <f>FHD_NUM_P_71</f>
        <v>12</v>
      </c>
      <c r="F291" s="1769" t="str">
        <f>FHD_P_71</f>
        <v>Фактический объем потерь при передаче тепловой энергии</v>
      </c>
      <c r="G291" s="1766" t="s">
        <v>910</v>
      </c>
      <c r="H291" s="491"/>
      <c r="I291" s="491">
        <v>291.48457000000002</v>
      </c>
      <c r="J291" s="224" t="str">
        <f>FHD_NOTE_P_71</f>
        <v/>
      </c>
      <c r="K291" s="477"/>
      <c r="L291" s="1558"/>
      <c r="M291" s="1558"/>
      <c r="R291" s="1558"/>
      <c r="U291" s="478"/>
      <c r="AA291" s="1554"/>
      <c r="AB291" s="1554"/>
      <c r="AC291" s="1554"/>
      <c r="AD291" s="1554"/>
      <c r="AE291" s="1554"/>
      <c r="AF291" s="1082">
        <v>0</v>
      </c>
    </row>
    <row r="292" spans="1:32" ht="20.25" customHeight="1">
      <c r="D292" s="1560"/>
      <c r="E292" s="480" t="str">
        <f>FHD_NUM_P_72</f>
        <v>13</v>
      </c>
      <c r="F292" s="1769" t="str">
        <f>FHD_P_72</f>
        <v>Среднесписочная численность основного производственного персонала</v>
      </c>
      <c r="G292" s="1765" t="s">
        <v>911</v>
      </c>
      <c r="H292" s="511"/>
      <c r="I292" s="511">
        <f>919.27+271.7</f>
        <v>1190.97</v>
      </c>
      <c r="J292" s="224" t="str">
        <f>FHD_NOTE_P_72</f>
        <v/>
      </c>
      <c r="K292" s="477"/>
      <c r="AF292" s="1553">
        <v>19</v>
      </c>
    </row>
    <row r="293" spans="1:32" ht="18.75" customHeight="1">
      <c r="A293" s="915" t="s">
        <v>912</v>
      </c>
      <c r="D293" s="1560"/>
      <c r="E293" s="480" t="str">
        <f>FHD_NUM_P_73</f>
        <v>14</v>
      </c>
      <c r="F293" s="1769" t="str">
        <f>FHD_P_73</f>
        <v>Среднесписочная численность административно-управленческого персонала</v>
      </c>
      <c r="G293" s="896" t="s">
        <v>911</v>
      </c>
      <c r="H293" s="894"/>
      <c r="I293" s="894">
        <f>235.87+90.89</f>
        <v>326.76</v>
      </c>
      <c r="J293" s="224" t="str">
        <f>FHD_NOTE_P_73</f>
        <v/>
      </c>
      <c r="K293" s="477"/>
      <c r="AF293" s="1553">
        <v>0</v>
      </c>
    </row>
    <row r="294" spans="1:32" ht="33.75" hidden="1" customHeight="1">
      <c r="A294" s="915" t="s">
        <v>913</v>
      </c>
      <c r="D294" s="1560"/>
      <c r="E294" s="480" t="str">
        <f>FHD_NUM_P_74</f>
        <v/>
      </c>
      <c r="F294" s="1769" t="str">
        <f>FHD_P_74</f>
        <v/>
      </c>
      <c r="G294" s="1765" t="s">
        <v>914</v>
      </c>
      <c r="H294" s="511"/>
      <c r="I294" s="511"/>
      <c r="J294" s="224" t="str">
        <f>FHD_NOTE_P_74</f>
        <v/>
      </c>
      <c r="K294" s="477"/>
      <c r="AF294" s="1553">
        <v>0</v>
      </c>
    </row>
    <row r="295" spans="1:32" s="1557" customFormat="1" ht="18.75" hidden="1" customHeight="1">
      <c r="A295" s="3826" t="s">
        <v>915</v>
      </c>
      <c r="B295" s="837"/>
      <c r="C295" s="669"/>
      <c r="D295" s="667"/>
      <c r="E295" s="480" t="str">
        <f>FHD_NUM_P_75</f>
        <v/>
      </c>
      <c r="F295" s="1769" t="str">
        <f>FHD_P_75</f>
        <v/>
      </c>
      <c r="G295" s="1765" t="s">
        <v>601</v>
      </c>
      <c r="H295" s="491"/>
      <c r="I295" s="491"/>
      <c r="J295" s="224" t="str">
        <f>FHD_NOTE_P_75</f>
        <v/>
      </c>
      <c r="K295" s="668"/>
      <c r="L295" s="669"/>
      <c r="M295" s="669"/>
      <c r="N295" s="837"/>
      <c r="O295" s="837"/>
      <c r="P295" s="837"/>
      <c r="Q295" s="837"/>
      <c r="R295" s="669"/>
      <c r="S295" s="837"/>
      <c r="T295" s="837"/>
      <c r="U295" s="670"/>
      <c r="V295" s="837"/>
      <c r="W295" s="837"/>
      <c r="X295" s="837"/>
      <c r="Y295" s="837"/>
      <c r="Z295" s="837"/>
      <c r="AA295" s="671"/>
      <c r="AB295" s="671"/>
      <c r="AC295" s="671"/>
      <c r="AD295" s="671"/>
      <c r="AE295" s="671"/>
      <c r="AF295" s="673">
        <v>0</v>
      </c>
    </row>
    <row r="296" spans="1:32" s="1557" customFormat="1" ht="18.75" hidden="1" customHeight="1">
      <c r="A296" s="3826"/>
      <c r="B296" s="837"/>
      <c r="C296" s="669"/>
      <c r="D296" s="667"/>
      <c r="E296" s="480" t="str">
        <f>FHD_NUM_P_76</f>
        <v/>
      </c>
      <c r="F296" s="1769" t="str">
        <f>FHD_P_76</f>
        <v/>
      </c>
      <c r="G296" s="1765" t="s">
        <v>601</v>
      </c>
      <c r="H296" s="491"/>
      <c r="I296" s="491"/>
      <c r="J296" s="224" t="str">
        <f>FHD_NOTE_P_76</f>
        <v/>
      </c>
      <c r="K296" s="668"/>
      <c r="L296" s="669"/>
      <c r="M296" s="669"/>
      <c r="N296" s="837"/>
      <c r="O296" s="837"/>
      <c r="P296" s="837"/>
      <c r="Q296" s="837"/>
      <c r="R296" s="669"/>
      <c r="S296" s="837"/>
      <c r="T296" s="837"/>
      <c r="U296" s="670"/>
      <c r="V296" s="837"/>
      <c r="W296" s="837"/>
      <c r="X296" s="837"/>
      <c r="Y296" s="837"/>
      <c r="Z296" s="837"/>
      <c r="AA296" s="671"/>
      <c r="AB296" s="671"/>
      <c r="AC296" s="671"/>
      <c r="AD296" s="671"/>
      <c r="AE296" s="671"/>
      <c r="AF296" s="673">
        <v>0</v>
      </c>
    </row>
    <row r="297" spans="1:32" s="1557" customFormat="1" ht="18.75" hidden="1" customHeight="1">
      <c r="A297" s="3826"/>
      <c r="B297" s="837"/>
      <c r="C297" s="669"/>
      <c r="D297" s="667"/>
      <c r="E297" s="480" t="str">
        <f>FHD_NUM_P_77</f>
        <v/>
      </c>
      <c r="F297" s="1769" t="str">
        <f>FHD_P_77</f>
        <v/>
      </c>
      <c r="G297" s="1765" t="s">
        <v>601</v>
      </c>
      <c r="H297" s="491"/>
      <c r="I297" s="491"/>
      <c r="J297" s="224" t="str">
        <f>FHD_NOTE_P_77</f>
        <v/>
      </c>
      <c r="K297" s="668"/>
      <c r="L297" s="669"/>
      <c r="M297" s="669"/>
      <c r="N297" s="837"/>
      <c r="O297" s="837"/>
      <c r="P297" s="837"/>
      <c r="Q297" s="837"/>
      <c r="R297" s="669"/>
      <c r="S297" s="837"/>
      <c r="T297" s="837"/>
      <c r="U297" s="670"/>
      <c r="V297" s="837"/>
      <c r="W297" s="837"/>
      <c r="X297" s="837"/>
      <c r="Y297" s="837"/>
      <c r="Z297" s="837"/>
      <c r="AA297" s="671"/>
      <c r="AB297" s="671"/>
      <c r="AC297" s="671"/>
      <c r="AD297" s="671"/>
      <c r="AE297" s="671"/>
      <c r="AF297" s="673">
        <v>0</v>
      </c>
    </row>
    <row r="298" spans="1:32" s="1564" customFormat="1" ht="0.75" hidden="1" customHeight="1">
      <c r="A298" s="3826"/>
      <c r="D298" s="482"/>
      <c r="E298" s="939" t="str">
        <f>E297&amp;".0"</f>
        <v>.0</v>
      </c>
      <c r="F298" s="923"/>
      <c r="G298" s="1573"/>
      <c r="H298" s="918"/>
      <c r="I298" s="918"/>
      <c r="J298" s="922"/>
      <c r="AF298" s="1558">
        <v>0</v>
      </c>
    </row>
    <row r="299" spans="1:32" s="1557" customFormat="1" ht="15" hidden="1" customHeight="1">
      <c r="A299" s="3826"/>
      <c r="B299" s="837"/>
      <c r="C299" s="669"/>
      <c r="D299" s="680"/>
      <c r="E299" s="899"/>
      <c r="F299" s="900" t="s">
        <v>916</v>
      </c>
      <c r="G299" s="681"/>
      <c r="H299" s="682"/>
      <c r="I299" s="682"/>
      <c r="J299" s="929" t="s">
        <v>917</v>
      </c>
      <c r="K299" s="668"/>
      <c r="L299" s="669"/>
      <c r="M299" s="669"/>
      <c r="N299" s="837"/>
      <c r="O299" s="837"/>
      <c r="P299" s="837"/>
      <c r="Q299" s="837"/>
      <c r="R299" s="669"/>
      <c r="S299" s="837"/>
      <c r="T299" s="837"/>
      <c r="U299" s="670"/>
      <c r="V299" s="837"/>
      <c r="W299" s="837"/>
      <c r="X299" s="837"/>
      <c r="Y299" s="837"/>
      <c r="Z299" s="837"/>
      <c r="AA299" s="671"/>
      <c r="AB299" s="671"/>
      <c r="AC299" s="671"/>
      <c r="AD299" s="671"/>
      <c r="AE299" s="671"/>
      <c r="AF299" s="673">
        <v>0</v>
      </c>
    </row>
    <row r="300" spans="1:32" ht="78" customHeight="1">
      <c r="A300" s="3826" t="s">
        <v>918</v>
      </c>
      <c r="D300" s="1560"/>
      <c r="E300" s="480" t="str">
        <f>FHD_NUM_P_78</f>
        <v>15</v>
      </c>
      <c r="F300" s="176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300" s="1766" t="s">
        <v>603</v>
      </c>
      <c r="H300" s="511"/>
      <c r="I300" s="511">
        <v>164.10400000000001</v>
      </c>
      <c r="J300" s="224" t="str">
        <f>FHD_NOTE_P_78</f>
        <v/>
      </c>
      <c r="K300" s="477"/>
      <c r="AF300" s="1553">
        <v>0</v>
      </c>
    </row>
    <row r="301" spans="1:32" s="1564" customFormat="1" ht="3.75" customHeight="1">
      <c r="A301" s="3826"/>
      <c r="D301" s="482"/>
      <c r="E301" s="939" t="str">
        <f>E300&amp;".0"</f>
        <v>15.0</v>
      </c>
      <c r="F301" s="923"/>
      <c r="G301" s="1573"/>
      <c r="H301" s="918"/>
      <c r="I301" s="918"/>
      <c r="J301" s="922"/>
      <c r="AF301" s="1558">
        <v>0</v>
      </c>
    </row>
    <row r="302" spans="1:32" ht="15" customHeight="1">
      <c r="A302" s="3826"/>
      <c r="D302" s="1555"/>
      <c r="E302" s="504"/>
      <c r="F302" s="1090" t="s">
        <v>908</v>
      </c>
      <c r="G302" s="506"/>
      <c r="H302" s="507"/>
      <c r="I302" s="507"/>
      <c r="J302" s="930" t="s">
        <v>919</v>
      </c>
      <c r="K302" s="477"/>
      <c r="AF302" s="1553">
        <v>0</v>
      </c>
    </row>
    <row r="303" spans="1:32" ht="78" customHeight="1">
      <c r="A303" s="3826"/>
      <c r="D303" s="1560"/>
      <c r="E303" s="480" t="str">
        <f>FHD_NUM_P_79</f>
        <v>16</v>
      </c>
      <c r="F303" s="176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303" s="1767" t="s">
        <v>605</v>
      </c>
      <c r="H303" s="511"/>
      <c r="I303" s="511">
        <v>155.4</v>
      </c>
      <c r="J30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303" s="477"/>
      <c r="AF303" s="1553">
        <v>0</v>
      </c>
    </row>
    <row r="304" spans="1:32" s="1564" customFormat="1" ht="5.25" customHeight="1">
      <c r="A304" s="3826"/>
      <c r="D304" s="482"/>
      <c r="E304" s="939" t="str">
        <f>E303&amp;".0"</f>
        <v>16.0</v>
      </c>
      <c r="F304" s="924"/>
      <c r="G304" s="1573"/>
      <c r="H304" s="918"/>
      <c r="I304" s="918"/>
      <c r="J304" s="922"/>
      <c r="AF304" s="1558">
        <v>0</v>
      </c>
    </row>
    <row r="305" spans="1:32" ht="15" customHeight="1">
      <c r="A305" s="3826"/>
      <c r="D305" s="1555"/>
      <c r="E305" s="504"/>
      <c r="F305" s="1090" t="s">
        <v>908</v>
      </c>
      <c r="G305" s="506"/>
      <c r="H305" s="507"/>
      <c r="I305" s="507"/>
      <c r="J305" s="930" t="s">
        <v>920</v>
      </c>
      <c r="K305" s="477"/>
      <c r="AF305" s="1553">
        <v>0</v>
      </c>
    </row>
    <row r="306" spans="1:32" ht="45.75" customHeight="1">
      <c r="A306" s="3826"/>
      <c r="D306" s="1560"/>
      <c r="E306" s="480" t="str">
        <f>FHD_NUM_P_80</f>
        <v>17</v>
      </c>
      <c r="F306" s="176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306" s="1767" t="s">
        <v>921</v>
      </c>
      <c r="H306" s="491"/>
      <c r="I306" s="491">
        <f>I58/I285/1000</f>
        <v>4.3418365832961499E-2</v>
      </c>
      <c r="J306" s="224" t="str">
        <f>FHD_NOTE_P_80</f>
        <v>Регулируемыми организациями указывается информация с по договорам, заключенным в рамках осуществления регулируемой деятельности.</v>
      </c>
      <c r="K306" s="477"/>
      <c r="AF306" s="1553">
        <v>0</v>
      </c>
    </row>
    <row r="307" spans="1:32" ht="51" customHeight="1">
      <c r="A307" s="3826"/>
      <c r="D307" s="1560"/>
      <c r="E307" s="480" t="str">
        <f>FHD_NUM_P_81</f>
        <v>18</v>
      </c>
      <c r="F307" s="176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307" s="1767" t="s">
        <v>922</v>
      </c>
      <c r="H307" s="491"/>
      <c r="I307" s="491">
        <f>651924.81/I285/1000</f>
        <v>0.55753032615651177</v>
      </c>
      <c r="J307" s="224" t="str">
        <f>FHD_NOTE_P_81</f>
        <v>Регулируемыми организациями указывается информация с по договорам, заключенным в рамках осуществления регулируемой деятельности.</v>
      </c>
      <c r="K307" s="477"/>
      <c r="AF307" s="1553">
        <v>0</v>
      </c>
    </row>
    <row r="308" spans="1:32" ht="63" customHeight="1">
      <c r="A308" s="3826"/>
      <c r="C308" s="1558" t="s">
        <v>634</v>
      </c>
      <c r="D308" s="1560"/>
      <c r="E308" s="480" t="str">
        <f>FHD_NUM_P_82</f>
        <v>19</v>
      </c>
      <c r="F308" s="176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308" s="1767" t="s">
        <v>351</v>
      </c>
      <c r="H308" s="335"/>
      <c r="I308" s="335" t="s">
        <v>9</v>
      </c>
      <c r="J308" s="224" t="str">
        <f>FHD_NOTE_P_82</f>
        <v>Указывается ссылка на документ, предварительно загруженный в хранилище файлов ФГИС ЕИАС.</v>
      </c>
      <c r="K308" s="477"/>
      <c r="AF308" s="1553">
        <v>0</v>
      </c>
    </row>
    <row r="309" spans="1:32" ht="63" customHeight="1">
      <c r="A309" s="3826"/>
      <c r="C309" s="1558" t="s">
        <v>634</v>
      </c>
      <c r="D309" s="1560"/>
      <c r="E309" s="480" t="str">
        <f>FHD_NUM_P_83</f>
        <v>19.1</v>
      </c>
      <c r="F309" s="1446" t="str">
        <f>FHD_P_83</f>
        <v>Информация о показателях физического износа объектов теплоснабжения</v>
      </c>
      <c r="G309" s="1767" t="s">
        <v>351</v>
      </c>
      <c r="H309" s="335"/>
      <c r="I309" s="335"/>
      <c r="J309" s="224" t="str">
        <f>FHD_NOTE_P_83</f>
        <v>Указывается ссылка на документ, предварительно загруженный в хранилище файлов ФГИС ЕИАС.</v>
      </c>
      <c r="K309" s="477"/>
      <c r="AF309" s="1553">
        <v>0</v>
      </c>
    </row>
    <row r="310" spans="1:32" ht="18.75" customHeight="1">
      <c r="A310" s="3826"/>
      <c r="C310" s="1558" t="s">
        <v>634</v>
      </c>
      <c r="D310" s="1560"/>
      <c r="E310" s="480" t="str">
        <f>FHD_NUM_P_84</f>
        <v>19.2</v>
      </c>
      <c r="F310" s="1446" t="str">
        <f>FHD_P_84</f>
        <v>Информация о показателях энергетической эффективности объектов теплоснабжения</v>
      </c>
      <c r="G310" s="1767" t="s">
        <v>351</v>
      </c>
      <c r="H310" s="335"/>
      <c r="I310" s="335"/>
      <c r="J310" s="224" t="str">
        <f>FHD_NOTE_P_84</f>
        <v>Указывается ссылка на документ, предварительно загруженный в хранилище файлов ФГИС ЕИАС.</v>
      </c>
      <c r="K310" s="477"/>
      <c r="AF310" s="1553">
        <v>0</v>
      </c>
    </row>
    <row r="311" spans="1:32" ht="11.45" customHeight="1">
      <c r="D311" s="1560"/>
      <c r="AF311" s="1553">
        <v>11</v>
      </c>
    </row>
    <row r="312" spans="1:32" ht="13.5" customHeight="1">
      <c r="D312" s="1560"/>
      <c r="E312" s="271"/>
      <c r="F312" s="303"/>
      <c r="G312" s="303"/>
      <c r="H312" s="303"/>
      <c r="I312" s="1569"/>
      <c r="J312" s="515"/>
      <c r="AF312" s="1553">
        <v>13</v>
      </c>
    </row>
    <row r="313" spans="1:32" s="1563" customFormat="1" ht="11.45" customHeight="1">
      <c r="A313" s="913"/>
      <c r="B313" s="1558"/>
      <c r="C313" s="1558"/>
      <c r="D313" s="285"/>
      <c r="F313" s="1562"/>
      <c r="G313" s="1553"/>
      <c r="H313" s="1553"/>
      <c r="I313" s="1553"/>
      <c r="K313" s="1082"/>
      <c r="L313" s="1558"/>
      <c r="M313" s="1558"/>
      <c r="N313" s="1082"/>
      <c r="O313" s="1082"/>
      <c r="P313" s="1082"/>
      <c r="Q313" s="1082"/>
      <c r="R313" s="1558"/>
      <c r="S313" s="1082"/>
      <c r="T313" s="1082"/>
      <c r="U313" s="478"/>
      <c r="V313" s="1082"/>
      <c r="W313" s="1082"/>
      <c r="X313" s="1082"/>
      <c r="Y313" s="1082"/>
      <c r="Z313" s="1082"/>
      <c r="AA313" s="1554"/>
      <c r="AB313" s="500"/>
      <c r="AC313" s="500"/>
      <c r="AD313" s="500"/>
      <c r="AE313" s="500"/>
      <c r="AF313" s="1563">
        <v>11</v>
      </c>
    </row>
    <row r="314" spans="1:32" s="1563" customFormat="1" ht="11.45" customHeight="1">
      <c r="A314" s="913"/>
      <c r="B314" s="1558"/>
      <c r="C314" s="1558"/>
      <c r="D314" s="285"/>
      <c r="K314" s="1082"/>
      <c r="L314" s="1558"/>
      <c r="M314" s="1558"/>
      <c r="N314" s="1082"/>
      <c r="O314" s="1082"/>
      <c r="P314" s="1082"/>
      <c r="Q314" s="1082"/>
      <c r="R314" s="1558"/>
      <c r="S314" s="1082"/>
      <c r="T314" s="1082"/>
      <c r="U314" s="478"/>
      <c r="V314" s="1082"/>
      <c r="W314" s="1082"/>
      <c r="X314" s="1082"/>
      <c r="Y314" s="1082"/>
      <c r="Z314" s="1082"/>
      <c r="AA314" s="1554"/>
      <c r="AB314" s="500"/>
      <c r="AC314" s="500"/>
      <c r="AD314" s="500"/>
      <c r="AE314" s="500"/>
      <c r="AF314" s="1563">
        <v>11</v>
      </c>
    </row>
    <row r="315" spans="1:32" s="1563" customFormat="1" ht="11.45" customHeight="1">
      <c r="A315" s="913"/>
      <c r="B315" s="1558"/>
      <c r="C315" s="1558"/>
      <c r="D315" s="285"/>
      <c r="K315" s="1082"/>
      <c r="L315" s="1558"/>
      <c r="M315" s="1558"/>
      <c r="N315" s="1082"/>
      <c r="O315" s="1082"/>
      <c r="P315" s="1082"/>
      <c r="Q315" s="1082"/>
      <c r="R315" s="1558"/>
      <c r="S315" s="1082"/>
      <c r="T315" s="1082"/>
      <c r="U315" s="478"/>
      <c r="V315" s="1082"/>
      <c r="W315" s="1082"/>
      <c r="X315" s="1082"/>
      <c r="Y315" s="1082"/>
      <c r="Z315" s="1082"/>
      <c r="AA315" s="1554"/>
      <c r="AB315" s="500"/>
      <c r="AC315" s="500"/>
      <c r="AD315" s="500"/>
      <c r="AE315" s="500"/>
      <c r="AF315" s="1563">
        <v>11</v>
      </c>
    </row>
    <row r="316" spans="1:32" s="1563" customFormat="1" ht="11.45" customHeight="1">
      <c r="A316" s="913"/>
      <c r="B316" s="1558"/>
      <c r="C316" s="1558"/>
      <c r="D316" s="285"/>
      <c r="H316" s="500" t="str">
        <f>IF(H30-H31&lt;&gt;H89,"WARNING","")</f>
        <v/>
      </c>
      <c r="I316" s="500" t="str">
        <f>IF(I30-I31&lt;&gt;I89,"WARNING","")</f>
        <v/>
      </c>
      <c r="K316" s="1082"/>
      <c r="L316" s="1558"/>
      <c r="M316" s="1558"/>
      <c r="N316" s="1082"/>
      <c r="O316" s="1082"/>
      <c r="P316" s="1082"/>
      <c r="Q316" s="1082"/>
      <c r="R316" s="1558"/>
      <c r="S316" s="1082"/>
      <c r="T316" s="1082"/>
      <c r="U316" s="478"/>
      <c r="V316" s="1082"/>
      <c r="W316" s="1082"/>
      <c r="X316" s="1082"/>
      <c r="Y316" s="1082"/>
      <c r="Z316" s="1082"/>
      <c r="AA316" s="1554"/>
      <c r="AB316" s="500"/>
      <c r="AC316" s="500"/>
      <c r="AD316" s="500"/>
      <c r="AE316" s="500"/>
      <c r="AF316" s="1563">
        <v>11</v>
      </c>
    </row>
    <row r="317" spans="1:32" s="1563" customFormat="1" ht="11.45" customHeight="1">
      <c r="A317" s="913"/>
      <c r="B317" s="1558"/>
      <c r="C317" s="1558"/>
      <c r="D317" s="285"/>
      <c r="K317" s="1082"/>
      <c r="L317" s="1558"/>
      <c r="M317" s="1558"/>
      <c r="N317" s="1082"/>
      <c r="O317" s="1082"/>
      <c r="P317" s="1082"/>
      <c r="Q317" s="1082"/>
      <c r="R317" s="1558"/>
      <c r="S317" s="1082"/>
      <c r="T317" s="1082"/>
      <c r="U317" s="478"/>
      <c r="V317" s="1082"/>
      <c r="W317" s="1082"/>
      <c r="X317" s="1082"/>
      <c r="Y317" s="1082"/>
      <c r="Z317" s="1082"/>
      <c r="AA317" s="1554"/>
      <c r="AB317" s="500"/>
      <c r="AC317" s="500"/>
      <c r="AD317" s="500"/>
      <c r="AE317" s="500"/>
      <c r="AF317" s="1563">
        <v>11</v>
      </c>
    </row>
    <row r="318" spans="1:32" s="1563" customFormat="1" ht="11.45" customHeight="1">
      <c r="A318" s="913"/>
      <c r="B318" s="1558"/>
      <c r="C318" s="1558"/>
      <c r="D318" s="285"/>
      <c r="K318" s="1082"/>
      <c r="L318" s="1558"/>
      <c r="M318" s="1558"/>
      <c r="N318" s="1082"/>
      <c r="O318" s="1082"/>
      <c r="P318" s="1082"/>
      <c r="Q318" s="1082"/>
      <c r="R318" s="1558"/>
      <c r="S318" s="1082"/>
      <c r="T318" s="1082"/>
      <c r="U318" s="478"/>
      <c r="V318" s="1082"/>
      <c r="W318" s="1082"/>
      <c r="X318" s="1082"/>
      <c r="Y318" s="1082"/>
      <c r="Z318" s="1082"/>
      <c r="AA318" s="1554"/>
      <c r="AB318" s="500"/>
      <c r="AC318" s="500"/>
      <c r="AD318" s="500"/>
      <c r="AE318" s="500"/>
      <c r="AF318" s="1563">
        <v>11</v>
      </c>
    </row>
    <row r="319" spans="1:32" s="1563" customFormat="1" ht="11.45" customHeight="1">
      <c r="A319" s="913"/>
      <c r="B319" s="1558"/>
      <c r="C319" s="1558"/>
      <c r="D319" s="285"/>
      <c r="K319" s="1082"/>
      <c r="L319" s="1558"/>
      <c r="M319" s="1558"/>
      <c r="N319" s="1082"/>
      <c r="O319" s="1082"/>
      <c r="P319" s="1082"/>
      <c r="Q319" s="1082"/>
      <c r="R319" s="1558"/>
      <c r="S319" s="1082"/>
      <c r="T319" s="1082"/>
      <c r="U319" s="478"/>
      <c r="V319" s="1082"/>
      <c r="W319" s="1082"/>
      <c r="X319" s="1082"/>
      <c r="Y319" s="1082"/>
      <c r="Z319" s="1082"/>
      <c r="AA319" s="1554"/>
      <c r="AB319" s="500"/>
      <c r="AC319" s="500"/>
      <c r="AD319" s="500"/>
      <c r="AE319" s="500"/>
      <c r="AF319" s="1563">
        <v>11</v>
      </c>
    </row>
    <row r="320" spans="1:32" s="1563" customFormat="1" ht="11.45" customHeight="1">
      <c r="A320" s="913"/>
      <c r="B320" s="1558"/>
      <c r="C320" s="1558"/>
      <c r="D320" s="285"/>
      <c r="K320" s="1082"/>
      <c r="L320" s="1558"/>
      <c r="M320" s="1558"/>
      <c r="N320" s="1082"/>
      <c r="O320" s="1082"/>
      <c r="P320" s="1082"/>
      <c r="Q320" s="1082"/>
      <c r="R320" s="1558"/>
      <c r="S320" s="1082"/>
      <c r="T320" s="1082"/>
      <c r="U320" s="478"/>
      <c r="V320" s="1082"/>
      <c r="W320" s="1082"/>
      <c r="X320" s="1082"/>
      <c r="Y320" s="1082"/>
      <c r="Z320" s="1082"/>
      <c r="AA320" s="1554"/>
      <c r="AB320" s="500"/>
      <c r="AC320" s="500"/>
      <c r="AD320" s="500"/>
      <c r="AE320" s="500"/>
      <c r="AF320" s="1563">
        <v>11</v>
      </c>
    </row>
    <row r="321" spans="1:32" s="1563" customFormat="1" ht="11.45" customHeight="1">
      <c r="A321" s="913"/>
      <c r="B321" s="1558"/>
      <c r="C321" s="1558"/>
      <c r="D321" s="285"/>
      <c r="K321" s="1082"/>
      <c r="L321" s="1558"/>
      <c r="M321" s="1558"/>
      <c r="N321" s="1082"/>
      <c r="O321" s="1082"/>
      <c r="P321" s="1082"/>
      <c r="Q321" s="1082"/>
      <c r="R321" s="1558"/>
      <c r="S321" s="1082"/>
      <c r="T321" s="1082"/>
      <c r="U321" s="478"/>
      <c r="V321" s="1082"/>
      <c r="W321" s="1082"/>
      <c r="X321" s="1082"/>
      <c r="Y321" s="1082"/>
      <c r="Z321" s="1082"/>
      <c r="AA321" s="1554"/>
      <c r="AB321" s="500"/>
      <c r="AC321" s="500"/>
      <c r="AD321" s="500"/>
      <c r="AE321" s="500"/>
      <c r="AF321" s="1563">
        <v>11</v>
      </c>
    </row>
    <row r="322" spans="1:32" s="1563" customFormat="1" ht="11.45" customHeight="1">
      <c r="A322" s="913"/>
      <c r="B322" s="1558"/>
      <c r="C322" s="1558"/>
      <c r="D322" s="285"/>
      <c r="K322" s="1082"/>
      <c r="L322" s="1558"/>
      <c r="M322" s="1558"/>
      <c r="N322" s="1082"/>
      <c r="O322" s="1082"/>
      <c r="P322" s="1082"/>
      <c r="Q322" s="1082"/>
      <c r="R322" s="1558"/>
      <c r="S322" s="1082"/>
      <c r="T322" s="1082"/>
      <c r="U322" s="478"/>
      <c r="V322" s="1082"/>
      <c r="W322" s="1082"/>
      <c r="X322" s="1082"/>
      <c r="Y322" s="1082"/>
      <c r="Z322" s="1082"/>
      <c r="AA322" s="1554"/>
      <c r="AB322" s="500"/>
      <c r="AC322" s="500"/>
      <c r="AD322" s="500"/>
      <c r="AE322" s="500"/>
      <c r="AF322" s="1563">
        <v>11</v>
      </c>
    </row>
    <row r="323" spans="1:32" s="1563" customFormat="1" ht="11.45" customHeight="1">
      <c r="A323" s="913"/>
      <c r="B323" s="1558"/>
      <c r="C323" s="1558"/>
      <c r="D323" s="285"/>
      <c r="K323" s="1082"/>
      <c r="L323" s="1558"/>
      <c r="M323" s="1558"/>
      <c r="N323" s="1082"/>
      <c r="O323" s="1082"/>
      <c r="P323" s="1082"/>
      <c r="Q323" s="1082"/>
      <c r="R323" s="1558"/>
      <c r="S323" s="1082"/>
      <c r="T323" s="1082"/>
      <c r="U323" s="478"/>
      <c r="V323" s="1082"/>
      <c r="W323" s="1082"/>
      <c r="X323" s="1082"/>
      <c r="Y323" s="1082"/>
      <c r="Z323" s="1082"/>
      <c r="AA323" s="1554"/>
      <c r="AB323" s="500"/>
      <c r="AC323" s="500"/>
      <c r="AD323" s="500"/>
      <c r="AE323" s="500"/>
      <c r="AF323" s="1563">
        <v>11</v>
      </c>
    </row>
    <row r="324" spans="1:32" s="1563" customFormat="1" ht="11.45" customHeight="1">
      <c r="A324" s="913"/>
      <c r="B324" s="1558"/>
      <c r="C324" s="1558"/>
      <c r="D324" s="285"/>
      <c r="K324" s="1082"/>
      <c r="L324" s="1558"/>
      <c r="M324" s="1558"/>
      <c r="N324" s="1082"/>
      <c r="O324" s="1082"/>
      <c r="P324" s="1082"/>
      <c r="Q324" s="1082"/>
      <c r="R324" s="1558"/>
      <c r="S324" s="1082"/>
      <c r="T324" s="1082"/>
      <c r="U324" s="478"/>
      <c r="V324" s="1082"/>
      <c r="W324" s="1082"/>
      <c r="X324" s="1082"/>
      <c r="Y324" s="1082"/>
      <c r="Z324" s="1082"/>
      <c r="AA324" s="1554"/>
      <c r="AB324" s="500"/>
      <c r="AC324" s="500"/>
      <c r="AD324" s="500"/>
      <c r="AE324" s="500"/>
      <c r="AF324" s="1563">
        <v>11</v>
      </c>
    </row>
    <row r="325" spans="1:32" s="1563" customFormat="1" ht="11.45" customHeight="1">
      <c r="A325" s="913"/>
      <c r="B325" s="1558"/>
      <c r="C325" s="1558"/>
      <c r="D325" s="285"/>
      <c r="K325" s="1082"/>
      <c r="L325" s="1558"/>
      <c r="M325" s="1558"/>
      <c r="N325" s="1082"/>
      <c r="O325" s="1082"/>
      <c r="P325" s="1082"/>
      <c r="Q325" s="1082"/>
      <c r="R325" s="1558"/>
      <c r="S325" s="1082"/>
      <c r="T325" s="1082"/>
      <c r="U325" s="478"/>
      <c r="V325" s="1082"/>
      <c r="W325" s="1082"/>
      <c r="X325" s="1082"/>
      <c r="Y325" s="1082"/>
      <c r="Z325" s="1082"/>
      <c r="AA325" s="1554"/>
      <c r="AB325" s="500"/>
      <c r="AC325" s="500"/>
      <c r="AD325" s="500"/>
      <c r="AE325" s="500"/>
      <c r="AF325" s="1563">
        <v>11</v>
      </c>
    </row>
    <row r="326" spans="1:32" s="1563" customFormat="1" ht="11.45" customHeight="1">
      <c r="A326" s="913"/>
      <c r="B326" s="1558"/>
      <c r="C326" s="1558"/>
      <c r="D326" s="285"/>
      <c r="K326" s="1082"/>
      <c r="L326" s="1558"/>
      <c r="M326" s="1558"/>
      <c r="N326" s="1082"/>
      <c r="O326" s="1082"/>
      <c r="P326" s="1082"/>
      <c r="Q326" s="1082"/>
      <c r="R326" s="1558"/>
      <c r="S326" s="1082"/>
      <c r="T326" s="1082"/>
      <c r="U326" s="478"/>
      <c r="V326" s="1082"/>
      <c r="W326" s="1082"/>
      <c r="X326" s="1082"/>
      <c r="Y326" s="1082"/>
      <c r="Z326" s="1082"/>
      <c r="AA326" s="1554"/>
      <c r="AB326" s="500"/>
      <c r="AC326" s="500"/>
      <c r="AD326" s="500"/>
      <c r="AE326" s="500"/>
      <c r="AF326" s="1563">
        <v>11</v>
      </c>
    </row>
    <row r="327" spans="1:32" s="1563" customFormat="1" ht="11.45" customHeight="1">
      <c r="A327" s="913"/>
      <c r="B327" s="1558"/>
      <c r="C327" s="1558"/>
      <c r="D327" s="285"/>
      <c r="K327" s="1082"/>
      <c r="L327" s="1558"/>
      <c r="M327" s="1558"/>
      <c r="N327" s="1082"/>
      <c r="O327" s="1082"/>
      <c r="P327" s="1082"/>
      <c r="Q327" s="1082"/>
      <c r="R327" s="1558"/>
      <c r="S327" s="1082"/>
      <c r="T327" s="1082"/>
      <c r="U327" s="478"/>
      <c r="V327" s="1082"/>
      <c r="W327" s="1082"/>
      <c r="X327" s="1082"/>
      <c r="Y327" s="1082"/>
      <c r="Z327" s="1082"/>
      <c r="AA327" s="1554"/>
      <c r="AB327" s="500"/>
      <c r="AC327" s="500"/>
      <c r="AD327" s="500"/>
      <c r="AE327" s="500"/>
      <c r="AF327" s="1563">
        <v>11</v>
      </c>
    </row>
    <row r="328" spans="1:32" s="1563" customFormat="1" ht="11.45" customHeight="1">
      <c r="A328" s="913"/>
      <c r="B328" s="1558"/>
      <c r="C328" s="1558"/>
      <c r="D328" s="285"/>
      <c r="K328" s="1082"/>
      <c r="L328" s="1558"/>
      <c r="M328" s="1558"/>
      <c r="N328" s="1082"/>
      <c r="O328" s="1082"/>
      <c r="P328" s="1082"/>
      <c r="Q328" s="1082"/>
      <c r="R328" s="1558"/>
      <c r="S328" s="1082"/>
      <c r="T328" s="1082"/>
      <c r="U328" s="478"/>
      <c r="V328" s="1082"/>
      <c r="W328" s="1082"/>
      <c r="X328" s="1082"/>
      <c r="Y328" s="1082"/>
      <c r="Z328" s="1082"/>
      <c r="AA328" s="1554"/>
      <c r="AB328" s="500"/>
      <c r="AC328" s="500"/>
      <c r="AD328" s="500"/>
      <c r="AE328" s="500"/>
      <c r="AF328" s="1563">
        <v>11</v>
      </c>
    </row>
    <row r="329" spans="1:32" s="1563" customFormat="1" ht="11.45" customHeight="1">
      <c r="A329" s="913"/>
      <c r="B329" s="1558"/>
      <c r="C329" s="1558"/>
      <c r="D329" s="285"/>
      <c r="K329" s="1082"/>
      <c r="L329" s="1558"/>
      <c r="M329" s="1558"/>
      <c r="N329" s="1082"/>
      <c r="O329" s="1082"/>
      <c r="P329" s="1082"/>
      <c r="Q329" s="1082"/>
      <c r="R329" s="1558"/>
      <c r="S329" s="1082"/>
      <c r="T329" s="1082"/>
      <c r="U329" s="478"/>
      <c r="V329" s="1082"/>
      <c r="W329" s="1082"/>
      <c r="X329" s="1082"/>
      <c r="Y329" s="1082"/>
      <c r="Z329" s="1082"/>
      <c r="AA329" s="1554"/>
      <c r="AB329" s="500"/>
      <c r="AC329" s="500"/>
      <c r="AD329" s="500"/>
      <c r="AE329" s="500"/>
      <c r="AF329" s="1563">
        <v>11</v>
      </c>
    </row>
    <row r="330" spans="1:32" s="1563" customFormat="1" ht="11.45" customHeight="1">
      <c r="A330" s="913"/>
      <c r="B330" s="1558"/>
      <c r="C330" s="1558"/>
      <c r="D330" s="285"/>
      <c r="K330" s="1082"/>
      <c r="L330" s="1558"/>
      <c r="M330" s="1558"/>
      <c r="N330" s="1082"/>
      <c r="O330" s="1082"/>
      <c r="P330" s="1082"/>
      <c r="Q330" s="1082"/>
      <c r="R330" s="1558"/>
      <c r="S330" s="1082"/>
      <c r="T330" s="1082"/>
      <c r="U330" s="478"/>
      <c r="V330" s="1082"/>
      <c r="W330" s="1082"/>
      <c r="X330" s="1082"/>
      <c r="Y330" s="1082"/>
      <c r="Z330" s="1082"/>
      <c r="AA330" s="1554"/>
      <c r="AB330" s="500"/>
      <c r="AC330" s="500"/>
      <c r="AD330" s="500"/>
      <c r="AE330" s="500"/>
      <c r="AF330" s="1563">
        <v>11</v>
      </c>
    </row>
    <row r="331" spans="1:32" s="1563" customFormat="1" ht="11.45" customHeight="1">
      <c r="A331" s="913"/>
      <c r="B331" s="1558"/>
      <c r="C331" s="1558"/>
      <c r="D331" s="285"/>
      <c r="K331" s="1082"/>
      <c r="L331" s="1558"/>
      <c r="M331" s="1558"/>
      <c r="N331" s="1082"/>
      <c r="O331" s="1082"/>
      <c r="P331" s="1082"/>
      <c r="Q331" s="1082"/>
      <c r="R331" s="1558"/>
      <c r="S331" s="1082"/>
      <c r="T331" s="1082"/>
      <c r="U331" s="478"/>
      <c r="V331" s="1082"/>
      <c r="W331" s="1082"/>
      <c r="X331" s="1082"/>
      <c r="Y331" s="1082"/>
      <c r="Z331" s="1082"/>
      <c r="AA331" s="1554"/>
      <c r="AB331" s="500"/>
      <c r="AC331" s="500"/>
      <c r="AD331" s="500"/>
      <c r="AE331" s="500"/>
      <c r="AF331" s="1563">
        <v>11</v>
      </c>
    </row>
    <row r="332" spans="1:32" s="1563" customFormat="1" ht="11.45" customHeight="1">
      <c r="A332" s="913"/>
      <c r="B332" s="1558"/>
      <c r="C332" s="1558"/>
      <c r="D332" s="285"/>
      <c r="K332" s="1082"/>
      <c r="L332" s="1558"/>
      <c r="M332" s="1558"/>
      <c r="N332" s="1082"/>
      <c r="O332" s="1082"/>
      <c r="P332" s="1082"/>
      <c r="Q332" s="1082"/>
      <c r="R332" s="1558"/>
      <c r="S332" s="1082"/>
      <c r="T332" s="1082"/>
      <c r="U332" s="478"/>
      <c r="V332" s="1082"/>
      <c r="W332" s="1082"/>
      <c r="X332" s="1082"/>
      <c r="Y332" s="1082"/>
      <c r="Z332" s="1082"/>
      <c r="AA332" s="1554"/>
      <c r="AB332" s="500"/>
      <c r="AC332" s="500"/>
      <c r="AD332" s="500"/>
      <c r="AE332" s="500"/>
      <c r="AF332" s="1563">
        <v>11</v>
      </c>
    </row>
    <row r="333" spans="1:32" s="1563" customFormat="1" ht="11.45" customHeight="1">
      <c r="A333" s="913"/>
      <c r="B333" s="1558"/>
      <c r="C333" s="1558"/>
      <c r="D333" s="285"/>
      <c r="K333" s="1082"/>
      <c r="L333" s="1558"/>
      <c r="M333" s="1558"/>
      <c r="N333" s="1082"/>
      <c r="O333" s="1082"/>
      <c r="P333" s="1082"/>
      <c r="Q333" s="1082"/>
      <c r="R333" s="1558"/>
      <c r="S333" s="1082"/>
      <c r="T333" s="1082"/>
      <c r="U333" s="478"/>
      <c r="V333" s="1082"/>
      <c r="W333" s="1082"/>
      <c r="X333" s="1082"/>
      <c r="Y333" s="1082"/>
      <c r="Z333" s="1082"/>
      <c r="AA333" s="1554"/>
      <c r="AB333" s="500"/>
      <c r="AC333" s="500"/>
      <c r="AD333" s="500"/>
      <c r="AE333" s="500"/>
      <c r="AF333" s="1563">
        <v>11</v>
      </c>
    </row>
    <row r="334" spans="1:32" s="1563" customFormat="1" ht="11.45" customHeight="1">
      <c r="A334" s="913"/>
      <c r="B334" s="1558"/>
      <c r="C334" s="1558"/>
      <c r="D334" s="285"/>
      <c r="K334" s="1082"/>
      <c r="L334" s="1558"/>
      <c r="M334" s="1558"/>
      <c r="N334" s="1082"/>
      <c r="O334" s="1082"/>
      <c r="P334" s="1082"/>
      <c r="Q334" s="1082"/>
      <c r="R334" s="1558"/>
      <c r="S334" s="1082"/>
      <c r="T334" s="1082"/>
      <c r="U334" s="478"/>
      <c r="V334" s="1082"/>
      <c r="W334" s="1082"/>
      <c r="X334" s="1082"/>
      <c r="Y334" s="1082"/>
      <c r="Z334" s="1082"/>
      <c r="AA334" s="1554"/>
      <c r="AB334" s="500"/>
      <c r="AC334" s="500"/>
      <c r="AD334" s="500"/>
      <c r="AE334" s="500"/>
      <c r="AF334" s="1563">
        <v>11</v>
      </c>
    </row>
    <row r="335" spans="1:32" s="1563" customFormat="1" ht="11.45" customHeight="1">
      <c r="A335" s="913"/>
      <c r="B335" s="1558"/>
      <c r="C335" s="1558"/>
      <c r="D335" s="285"/>
      <c r="K335" s="1082"/>
      <c r="L335" s="1558"/>
      <c r="M335" s="1558"/>
      <c r="N335" s="1082"/>
      <c r="O335" s="1082"/>
      <c r="P335" s="1082"/>
      <c r="Q335" s="1082"/>
      <c r="R335" s="1558"/>
      <c r="S335" s="1082"/>
      <c r="T335" s="1082"/>
      <c r="U335" s="478"/>
      <c r="V335" s="1082"/>
      <c r="W335" s="1082"/>
      <c r="X335" s="1082"/>
      <c r="Y335" s="1082"/>
      <c r="Z335" s="1082"/>
      <c r="AA335" s="1554"/>
      <c r="AB335" s="500"/>
      <c r="AC335" s="500"/>
      <c r="AD335" s="500"/>
      <c r="AE335" s="500"/>
      <c r="AF335" s="1563">
        <v>11</v>
      </c>
    </row>
    <row r="336" spans="1:32" s="1563" customFormat="1" ht="11.45" customHeight="1">
      <c r="A336" s="913"/>
      <c r="B336" s="1558"/>
      <c r="C336" s="1558"/>
      <c r="D336" s="285"/>
      <c r="K336" s="1082"/>
      <c r="L336" s="1558"/>
      <c r="M336" s="1558"/>
      <c r="N336" s="1082"/>
      <c r="O336" s="1082"/>
      <c r="P336" s="1082"/>
      <c r="Q336" s="1082"/>
      <c r="R336" s="1558"/>
      <c r="S336" s="1082"/>
      <c r="T336" s="1082"/>
      <c r="U336" s="478"/>
      <c r="V336" s="1082"/>
      <c r="W336" s="1082"/>
      <c r="X336" s="1082"/>
      <c r="Y336" s="1082"/>
      <c r="Z336" s="1082"/>
      <c r="AA336" s="1554"/>
      <c r="AB336" s="500"/>
      <c r="AC336" s="500"/>
      <c r="AD336" s="500"/>
      <c r="AE336" s="500"/>
      <c r="AF336" s="1563">
        <v>11</v>
      </c>
    </row>
    <row r="337" spans="1:32" s="1563" customFormat="1" ht="11.45" customHeight="1">
      <c r="A337" s="913"/>
      <c r="B337" s="1558"/>
      <c r="C337" s="1558"/>
      <c r="D337" s="285"/>
      <c r="K337" s="1082"/>
      <c r="L337" s="1558"/>
      <c r="M337" s="1558"/>
      <c r="N337" s="1082"/>
      <c r="O337" s="1082"/>
      <c r="P337" s="1082"/>
      <c r="Q337" s="1082"/>
      <c r="R337" s="1558"/>
      <c r="S337" s="1082"/>
      <c r="T337" s="1082"/>
      <c r="U337" s="478"/>
      <c r="V337" s="1082"/>
      <c r="W337" s="1082"/>
      <c r="X337" s="1082"/>
      <c r="Y337" s="1082"/>
      <c r="Z337" s="1082"/>
      <c r="AA337" s="1554"/>
      <c r="AB337" s="500"/>
      <c r="AC337" s="500"/>
      <c r="AD337" s="500"/>
      <c r="AE337" s="500"/>
      <c r="AF337" s="1563">
        <v>11</v>
      </c>
    </row>
    <row r="338" spans="1:32" s="1563" customFormat="1" ht="11.45" customHeight="1">
      <c r="A338" s="913"/>
      <c r="B338" s="1558"/>
      <c r="C338" s="1558"/>
      <c r="D338" s="285"/>
      <c r="K338" s="1082"/>
      <c r="L338" s="1558"/>
      <c r="M338" s="1558"/>
      <c r="N338" s="1082"/>
      <c r="O338" s="1082"/>
      <c r="P338" s="1082"/>
      <c r="Q338" s="1082"/>
      <c r="R338" s="1558"/>
      <c r="S338" s="1082"/>
      <c r="T338" s="1082"/>
      <c r="U338" s="478"/>
      <c r="V338" s="1082"/>
      <c r="W338" s="1082"/>
      <c r="X338" s="1082"/>
      <c r="Y338" s="1082"/>
      <c r="Z338" s="1082"/>
      <c r="AA338" s="1554"/>
      <c r="AB338" s="500"/>
      <c r="AC338" s="500"/>
      <c r="AD338" s="500"/>
      <c r="AE338" s="500"/>
      <c r="AF338" s="1563">
        <v>11</v>
      </c>
    </row>
    <row r="339" spans="1:32" s="1563" customFormat="1" ht="11.45" customHeight="1">
      <c r="A339" s="913"/>
      <c r="B339" s="1558"/>
      <c r="C339" s="1558"/>
      <c r="D339" s="285"/>
      <c r="K339" s="1082"/>
      <c r="L339" s="1558"/>
      <c r="M339" s="1558"/>
      <c r="N339" s="1082"/>
      <c r="O339" s="1082"/>
      <c r="P339" s="1082"/>
      <c r="Q339" s="1082"/>
      <c r="R339" s="1558"/>
      <c r="S339" s="1082"/>
      <c r="T339" s="1082"/>
      <c r="U339" s="478"/>
      <c r="V339" s="1082"/>
      <c r="W339" s="1082"/>
      <c r="X339" s="1082"/>
      <c r="Y339" s="1082"/>
      <c r="Z339" s="1082"/>
      <c r="AA339" s="1554"/>
      <c r="AB339" s="500"/>
      <c r="AC339" s="500"/>
      <c r="AD339" s="500"/>
      <c r="AE339" s="500"/>
      <c r="AF339" s="1563">
        <v>11</v>
      </c>
    </row>
    <row r="340" spans="1:32" s="1563" customFormat="1" ht="11.45" customHeight="1">
      <c r="A340" s="913"/>
      <c r="B340" s="1558"/>
      <c r="C340" s="1558"/>
      <c r="D340" s="285"/>
      <c r="K340" s="1082"/>
      <c r="L340" s="1558"/>
      <c r="M340" s="1558"/>
      <c r="N340" s="1082"/>
      <c r="O340" s="1082"/>
      <c r="P340" s="1082"/>
      <c r="Q340" s="1082"/>
      <c r="R340" s="1558"/>
      <c r="S340" s="1082"/>
      <c r="T340" s="1082"/>
      <c r="U340" s="478"/>
      <c r="V340" s="1082"/>
      <c r="W340" s="1082"/>
      <c r="X340" s="1082"/>
      <c r="Y340" s="1082"/>
      <c r="Z340" s="1082"/>
      <c r="AA340" s="1554"/>
      <c r="AB340" s="500"/>
      <c r="AC340" s="500"/>
      <c r="AD340" s="500"/>
      <c r="AE340" s="500"/>
      <c r="AF340" s="1563">
        <v>11</v>
      </c>
    </row>
    <row r="341" spans="1:32" s="1563" customFormat="1" ht="11.45" customHeight="1">
      <c r="A341" s="913"/>
      <c r="B341" s="1558"/>
      <c r="C341" s="1558"/>
      <c r="D341" s="285"/>
      <c r="K341" s="1082"/>
      <c r="L341" s="1558"/>
      <c r="M341" s="1558"/>
      <c r="N341" s="1082"/>
      <c r="O341" s="1082"/>
      <c r="P341" s="1082"/>
      <c r="Q341" s="1082"/>
      <c r="R341" s="1558"/>
      <c r="S341" s="1082"/>
      <c r="T341" s="1082"/>
      <c r="U341" s="478"/>
      <c r="V341" s="1082"/>
      <c r="W341" s="1082"/>
      <c r="X341" s="1082"/>
      <c r="Y341" s="1082"/>
      <c r="Z341" s="1082"/>
      <c r="AA341" s="1554"/>
      <c r="AB341" s="500"/>
      <c r="AC341" s="500"/>
      <c r="AD341" s="500"/>
      <c r="AE341" s="500"/>
      <c r="AF341" s="1563">
        <v>11</v>
      </c>
    </row>
    <row r="342" spans="1:32" s="1563" customFormat="1" ht="11.45" customHeight="1">
      <c r="A342" s="913"/>
      <c r="B342" s="1558"/>
      <c r="C342" s="1558"/>
      <c r="D342" s="285"/>
      <c r="K342" s="1082"/>
      <c r="L342" s="1558"/>
      <c r="M342" s="1558"/>
      <c r="N342" s="1082"/>
      <c r="O342" s="1082"/>
      <c r="P342" s="1082"/>
      <c r="Q342" s="1082"/>
      <c r="R342" s="1558"/>
      <c r="S342" s="1082"/>
      <c r="T342" s="1082"/>
      <c r="U342" s="478"/>
      <c r="V342" s="1082"/>
      <c r="W342" s="1082"/>
      <c r="X342" s="1082"/>
      <c r="Y342" s="1082"/>
      <c r="Z342" s="1082"/>
      <c r="AA342" s="1554"/>
      <c r="AB342" s="500"/>
      <c r="AC342" s="500"/>
      <c r="AD342" s="500"/>
      <c r="AE342" s="500"/>
      <c r="AF342" s="1563">
        <v>11</v>
      </c>
    </row>
    <row r="343" spans="1:32" s="1563" customFormat="1" ht="11.45" customHeight="1">
      <c r="A343" s="913"/>
      <c r="B343" s="1558"/>
      <c r="C343" s="1558"/>
      <c r="D343" s="285"/>
      <c r="K343" s="1082"/>
      <c r="L343" s="1558"/>
      <c r="M343" s="1558"/>
      <c r="N343" s="1082"/>
      <c r="O343" s="1082"/>
      <c r="P343" s="1082"/>
      <c r="Q343" s="1082"/>
      <c r="R343" s="1558"/>
      <c r="S343" s="1082"/>
      <c r="T343" s="1082"/>
      <c r="U343" s="478"/>
      <c r="V343" s="1082"/>
      <c r="W343" s="1082"/>
      <c r="X343" s="1082"/>
      <c r="Y343" s="1082"/>
      <c r="Z343" s="1082"/>
      <c r="AA343" s="1554"/>
      <c r="AB343" s="500"/>
      <c r="AC343" s="500"/>
      <c r="AD343" s="500"/>
      <c r="AE343" s="500"/>
      <c r="AF343" s="1563">
        <v>11</v>
      </c>
    </row>
    <row r="344" spans="1:32" s="1563" customFormat="1" ht="11.45" customHeight="1">
      <c r="A344" s="913"/>
      <c r="B344" s="1558"/>
      <c r="C344" s="1558"/>
      <c r="D344" s="285"/>
      <c r="K344" s="1082"/>
      <c r="L344" s="1558"/>
      <c r="M344" s="1558"/>
      <c r="N344" s="1082"/>
      <c r="O344" s="1082"/>
      <c r="P344" s="1082"/>
      <c r="Q344" s="1082"/>
      <c r="R344" s="1558"/>
      <c r="S344" s="1082"/>
      <c r="T344" s="1082"/>
      <c r="U344" s="478"/>
      <c r="V344" s="1082"/>
      <c r="W344" s="1082"/>
      <c r="X344" s="1082"/>
      <c r="Y344" s="1082"/>
      <c r="Z344" s="1082"/>
      <c r="AA344" s="1554"/>
      <c r="AB344" s="500"/>
      <c r="AC344" s="500"/>
      <c r="AD344" s="500"/>
      <c r="AE344" s="500"/>
      <c r="AF344" s="1563">
        <v>11</v>
      </c>
    </row>
    <row r="345" spans="1:32" s="1563" customFormat="1" ht="11.45" customHeight="1">
      <c r="A345" s="913"/>
      <c r="B345" s="1558"/>
      <c r="C345" s="1558"/>
      <c r="D345" s="285"/>
      <c r="K345" s="1082"/>
      <c r="L345" s="1558"/>
      <c r="M345" s="1558"/>
      <c r="N345" s="1082"/>
      <c r="O345" s="1082"/>
      <c r="P345" s="1082"/>
      <c r="Q345" s="1082"/>
      <c r="R345" s="1558"/>
      <c r="S345" s="1082"/>
      <c r="T345" s="1082"/>
      <c r="U345" s="478"/>
      <c r="V345" s="1082"/>
      <c r="W345" s="1082"/>
      <c r="X345" s="1082"/>
      <c r="Y345" s="1082"/>
      <c r="Z345" s="1082"/>
      <c r="AA345" s="1554"/>
      <c r="AB345" s="500"/>
      <c r="AC345" s="500"/>
      <c r="AD345" s="500"/>
      <c r="AE345" s="500"/>
      <c r="AF345" s="1563">
        <v>11</v>
      </c>
    </row>
    <row r="346" spans="1:32" s="1563" customFormat="1" ht="11.45" customHeight="1">
      <c r="A346" s="913"/>
      <c r="B346" s="1558"/>
      <c r="C346" s="1558"/>
      <c r="D346" s="285"/>
      <c r="K346" s="1082"/>
      <c r="L346" s="1558"/>
      <c r="M346" s="1558"/>
      <c r="N346" s="1082"/>
      <c r="O346" s="1082"/>
      <c r="P346" s="1082"/>
      <c r="Q346" s="1082"/>
      <c r="R346" s="1558"/>
      <c r="S346" s="1082"/>
      <c r="T346" s="1082"/>
      <c r="U346" s="478"/>
      <c r="V346" s="1082"/>
      <c r="W346" s="1082"/>
      <c r="X346" s="1082"/>
      <c r="Y346" s="1082"/>
      <c r="Z346" s="1082"/>
      <c r="AA346" s="1554"/>
      <c r="AB346" s="500"/>
      <c r="AC346" s="500"/>
      <c r="AD346" s="500"/>
      <c r="AE346" s="500"/>
      <c r="AF346" s="1563">
        <v>11</v>
      </c>
    </row>
    <row r="347" spans="1:32" s="1563" customFormat="1" ht="11.45" customHeight="1">
      <c r="A347" s="913"/>
      <c r="B347" s="1558"/>
      <c r="C347" s="1558"/>
      <c r="D347" s="285"/>
      <c r="K347" s="1082"/>
      <c r="L347" s="1558"/>
      <c r="M347" s="1558"/>
      <c r="N347" s="1082"/>
      <c r="O347" s="1082"/>
      <c r="P347" s="1082"/>
      <c r="Q347" s="1082"/>
      <c r="R347" s="1558"/>
      <c r="S347" s="1082"/>
      <c r="T347" s="1082"/>
      <c r="U347" s="478"/>
      <c r="V347" s="1082"/>
      <c r="W347" s="1082"/>
      <c r="X347" s="1082"/>
      <c r="Y347" s="1082"/>
      <c r="Z347" s="1082"/>
      <c r="AA347" s="1554"/>
      <c r="AB347" s="500"/>
      <c r="AC347" s="500"/>
      <c r="AD347" s="500"/>
      <c r="AE347" s="500"/>
      <c r="AF347" s="1563">
        <v>11</v>
      </c>
    </row>
    <row r="348" spans="1:32" s="1563" customFormat="1" ht="11.45" customHeight="1">
      <c r="A348" s="913"/>
      <c r="B348" s="1558"/>
      <c r="C348" s="1558"/>
      <c r="D348" s="285"/>
      <c r="K348" s="1082"/>
      <c r="L348" s="1558"/>
      <c r="M348" s="1558"/>
      <c r="N348" s="1082"/>
      <c r="O348" s="1082"/>
      <c r="P348" s="1082"/>
      <c r="Q348" s="1082"/>
      <c r="R348" s="1558"/>
      <c r="S348" s="1082"/>
      <c r="T348" s="1082"/>
      <c r="U348" s="478"/>
      <c r="V348" s="1082"/>
      <c r="W348" s="1082"/>
      <c r="X348" s="1082"/>
      <c r="Y348" s="1082"/>
      <c r="Z348" s="1082"/>
      <c r="AA348" s="1554"/>
      <c r="AB348" s="500"/>
      <c r="AC348" s="500"/>
      <c r="AD348" s="500"/>
      <c r="AE348" s="500"/>
      <c r="AF348" s="1563">
        <v>11</v>
      </c>
    </row>
    <row r="349" spans="1:32" s="1563" customFormat="1" ht="11.45" customHeight="1">
      <c r="A349" s="913"/>
      <c r="B349" s="1558"/>
      <c r="C349" s="1558"/>
      <c r="D349" s="285"/>
      <c r="K349" s="1082"/>
      <c r="L349" s="1558"/>
      <c r="M349" s="1558"/>
      <c r="N349" s="1082"/>
      <c r="O349" s="1082"/>
      <c r="P349" s="1082"/>
      <c r="Q349" s="1082"/>
      <c r="R349" s="1558"/>
      <c r="S349" s="1082"/>
      <c r="T349" s="1082"/>
      <c r="U349" s="478"/>
      <c r="V349" s="1082"/>
      <c r="W349" s="1082"/>
      <c r="X349" s="1082"/>
      <c r="Y349" s="1082"/>
      <c r="Z349" s="1082"/>
      <c r="AA349" s="1554"/>
      <c r="AB349" s="500"/>
      <c r="AC349" s="500"/>
      <c r="AD349" s="500"/>
      <c r="AE349" s="500"/>
      <c r="AF349" s="1563">
        <v>11</v>
      </c>
    </row>
    <row r="350" spans="1:32" s="1563" customFormat="1" ht="11.45" customHeight="1">
      <c r="A350" s="913"/>
      <c r="B350" s="1558"/>
      <c r="C350" s="1558"/>
      <c r="D350" s="285"/>
      <c r="K350" s="1082"/>
      <c r="L350" s="1558"/>
      <c r="M350" s="1558"/>
      <c r="N350" s="1082"/>
      <c r="O350" s="1082"/>
      <c r="P350" s="1082"/>
      <c r="Q350" s="1082"/>
      <c r="R350" s="1558"/>
      <c r="S350" s="1082"/>
      <c r="T350" s="1082"/>
      <c r="U350" s="478"/>
      <c r="V350" s="1082"/>
      <c r="W350" s="1082"/>
      <c r="X350" s="1082"/>
      <c r="Y350" s="1082"/>
      <c r="Z350" s="1082"/>
      <c r="AA350" s="1554"/>
      <c r="AB350" s="500"/>
      <c r="AC350" s="500"/>
      <c r="AD350" s="500"/>
      <c r="AE350" s="500"/>
      <c r="AF350" s="1563">
        <v>11</v>
      </c>
    </row>
    <row r="351" spans="1:32" s="1563" customFormat="1" ht="11.45" customHeight="1">
      <c r="A351" s="913"/>
      <c r="B351" s="1558"/>
      <c r="C351" s="1558"/>
      <c r="D351" s="285"/>
      <c r="K351" s="1082"/>
      <c r="L351" s="1558"/>
      <c r="M351" s="1558"/>
      <c r="N351" s="1082"/>
      <c r="O351" s="1082"/>
      <c r="P351" s="1082"/>
      <c r="Q351" s="1082"/>
      <c r="R351" s="1558"/>
      <c r="S351" s="1082"/>
      <c r="T351" s="1082"/>
      <c r="U351" s="478"/>
      <c r="V351" s="1082"/>
      <c r="W351" s="1082"/>
      <c r="X351" s="1082"/>
      <c r="Y351" s="1082"/>
      <c r="Z351" s="1082"/>
      <c r="AA351" s="1554"/>
      <c r="AB351" s="500"/>
      <c r="AC351" s="500"/>
      <c r="AD351" s="500"/>
      <c r="AE351" s="500"/>
      <c r="AF351" s="1563">
        <v>11</v>
      </c>
    </row>
    <row r="352" spans="1:32" s="1563" customFormat="1" ht="11.45" customHeight="1">
      <c r="A352" s="913"/>
      <c r="B352" s="1558"/>
      <c r="C352" s="1558"/>
      <c r="D352" s="285"/>
      <c r="K352" s="1082"/>
      <c r="L352" s="1558"/>
      <c r="M352" s="1558"/>
      <c r="N352" s="1082"/>
      <c r="O352" s="1082"/>
      <c r="P352" s="1082"/>
      <c r="Q352" s="1082"/>
      <c r="R352" s="1558"/>
      <c r="S352" s="1082"/>
      <c r="T352" s="1082"/>
      <c r="U352" s="478"/>
      <c r="V352" s="1082"/>
      <c r="W352" s="1082"/>
      <c r="X352" s="1082"/>
      <c r="Y352" s="1082"/>
      <c r="Z352" s="1082"/>
      <c r="AA352" s="1554"/>
      <c r="AB352" s="500"/>
      <c r="AC352" s="500"/>
      <c r="AD352" s="500"/>
      <c r="AE352" s="500"/>
      <c r="AF352" s="1563">
        <v>11</v>
      </c>
    </row>
    <row r="353" spans="1:32" s="1563" customFormat="1" ht="11.45" customHeight="1">
      <c r="A353" s="913"/>
      <c r="B353" s="1558"/>
      <c r="C353" s="1558"/>
      <c r="D353" s="285"/>
      <c r="K353" s="1082"/>
      <c r="L353" s="1558"/>
      <c r="M353" s="1558"/>
      <c r="N353" s="1082"/>
      <c r="O353" s="1082"/>
      <c r="P353" s="1082"/>
      <c r="Q353" s="1082"/>
      <c r="R353" s="1558"/>
      <c r="S353" s="1082"/>
      <c r="T353" s="1082"/>
      <c r="U353" s="478"/>
      <c r="V353" s="1082"/>
      <c r="W353" s="1082"/>
      <c r="X353" s="1082"/>
      <c r="Y353" s="1082"/>
      <c r="Z353" s="1082"/>
      <c r="AA353" s="1554"/>
      <c r="AB353" s="500"/>
      <c r="AC353" s="500"/>
      <c r="AD353" s="500"/>
      <c r="AE353" s="500"/>
      <c r="AF353" s="1563">
        <v>11</v>
      </c>
    </row>
    <row r="354" spans="1:32" s="1563" customFormat="1" ht="11.45" customHeight="1">
      <c r="A354" s="913"/>
      <c r="B354" s="1558"/>
      <c r="C354" s="1558"/>
      <c r="D354" s="285"/>
      <c r="K354" s="1082"/>
      <c r="L354" s="1558"/>
      <c r="M354" s="1558"/>
      <c r="N354" s="1082"/>
      <c r="O354" s="1082"/>
      <c r="P354" s="1082"/>
      <c r="Q354" s="1082"/>
      <c r="R354" s="1558"/>
      <c r="S354" s="1082"/>
      <c r="T354" s="1082"/>
      <c r="U354" s="478"/>
      <c r="V354" s="1082"/>
      <c r="W354" s="1082"/>
      <c r="X354" s="1082"/>
      <c r="Y354" s="1082"/>
      <c r="Z354" s="1082"/>
      <c r="AA354" s="1554"/>
      <c r="AB354" s="500"/>
      <c r="AC354" s="500"/>
      <c r="AD354" s="500"/>
      <c r="AE354" s="500"/>
      <c r="AF354" s="1563">
        <v>11</v>
      </c>
    </row>
    <row r="355" spans="1:32" s="1563" customFormat="1" ht="11.45" customHeight="1">
      <c r="A355" s="913"/>
      <c r="B355" s="1558"/>
      <c r="C355" s="1558"/>
      <c r="D355" s="285"/>
      <c r="K355" s="1082"/>
      <c r="L355" s="1558"/>
      <c r="M355" s="1558"/>
      <c r="N355" s="1082"/>
      <c r="O355" s="1082"/>
      <c r="P355" s="1082"/>
      <c r="Q355" s="1082"/>
      <c r="R355" s="1558"/>
      <c r="S355" s="1082"/>
      <c r="T355" s="1082"/>
      <c r="U355" s="478"/>
      <c r="V355" s="1082"/>
      <c r="W355" s="1082"/>
      <c r="X355" s="1082"/>
      <c r="Y355" s="1082"/>
      <c r="Z355" s="1082"/>
      <c r="AA355" s="1554"/>
      <c r="AB355" s="500"/>
      <c r="AC355" s="500"/>
      <c r="AD355" s="500"/>
      <c r="AE355" s="500"/>
      <c r="AF355" s="1563">
        <v>11</v>
      </c>
    </row>
    <row r="356" spans="1:32" s="1563" customFormat="1" ht="11.45" customHeight="1">
      <c r="A356" s="913"/>
      <c r="B356" s="1558"/>
      <c r="C356" s="1558"/>
      <c r="D356" s="285"/>
      <c r="K356" s="1082"/>
      <c r="L356" s="1558"/>
      <c r="M356" s="1558"/>
      <c r="N356" s="1082"/>
      <c r="O356" s="1082"/>
      <c r="P356" s="1082"/>
      <c r="Q356" s="1082"/>
      <c r="R356" s="1558"/>
      <c r="S356" s="1082"/>
      <c r="T356" s="1082"/>
      <c r="U356" s="478"/>
      <c r="V356" s="1082"/>
      <c r="W356" s="1082"/>
      <c r="X356" s="1082"/>
      <c r="Y356" s="1082"/>
      <c r="Z356" s="1082"/>
      <c r="AA356" s="1554"/>
      <c r="AB356" s="500"/>
      <c r="AC356" s="500"/>
      <c r="AD356" s="500"/>
      <c r="AE356" s="500"/>
      <c r="AF356" s="1563">
        <v>11</v>
      </c>
    </row>
    <row r="357" spans="1:32" s="1563" customFormat="1" ht="11.45" customHeight="1">
      <c r="A357" s="913"/>
      <c r="B357" s="1558"/>
      <c r="C357" s="1558"/>
      <c r="D357" s="285"/>
      <c r="K357" s="1082"/>
      <c r="L357" s="1558"/>
      <c r="M357" s="1558"/>
      <c r="N357" s="1082"/>
      <c r="O357" s="1082"/>
      <c r="P357" s="1082"/>
      <c r="Q357" s="1082"/>
      <c r="R357" s="1558"/>
      <c r="S357" s="1082"/>
      <c r="T357" s="1082"/>
      <c r="U357" s="478"/>
      <c r="V357" s="1082"/>
      <c r="W357" s="1082"/>
      <c r="X357" s="1082"/>
      <c r="Y357" s="1082"/>
      <c r="Z357" s="1082"/>
      <c r="AA357" s="1554"/>
      <c r="AB357" s="500"/>
      <c r="AC357" s="500"/>
      <c r="AD357" s="500"/>
      <c r="AE357" s="500"/>
      <c r="AF357" s="1563">
        <v>11</v>
      </c>
    </row>
    <row r="358" spans="1:32" s="1563" customFormat="1" ht="11.45" customHeight="1">
      <c r="A358" s="913"/>
      <c r="B358" s="1558"/>
      <c r="C358" s="1558"/>
      <c r="D358" s="285"/>
      <c r="K358" s="1082"/>
      <c r="L358" s="1558"/>
      <c r="M358" s="1558"/>
      <c r="N358" s="1082"/>
      <c r="O358" s="1082"/>
      <c r="P358" s="1082"/>
      <c r="Q358" s="1082"/>
      <c r="R358" s="1558"/>
      <c r="S358" s="1082"/>
      <c r="T358" s="1082"/>
      <c r="U358" s="478"/>
      <c r="V358" s="1082"/>
      <c r="W358" s="1082"/>
      <c r="X358" s="1082"/>
      <c r="Y358" s="1082"/>
      <c r="Z358" s="1082"/>
      <c r="AA358" s="1554"/>
      <c r="AB358" s="500"/>
      <c r="AC358" s="500"/>
      <c r="AD358" s="500"/>
      <c r="AE358" s="500"/>
      <c r="AF358" s="1563">
        <v>11</v>
      </c>
    </row>
    <row r="359" spans="1:32" s="1563" customFormat="1" ht="11.45" customHeight="1">
      <c r="A359" s="913"/>
      <c r="B359" s="1558"/>
      <c r="C359" s="1558"/>
      <c r="D359" s="285"/>
      <c r="K359" s="1082"/>
      <c r="L359" s="1558"/>
      <c r="M359" s="1558"/>
      <c r="N359" s="1082"/>
      <c r="O359" s="1082"/>
      <c r="P359" s="1082"/>
      <c r="Q359" s="1082"/>
      <c r="R359" s="1558"/>
      <c r="S359" s="1082"/>
      <c r="T359" s="1082"/>
      <c r="U359" s="478"/>
      <c r="V359" s="1082"/>
      <c r="W359" s="1082"/>
      <c r="X359" s="1082"/>
      <c r="Y359" s="1082"/>
      <c r="Z359" s="1082"/>
      <c r="AA359" s="1554"/>
      <c r="AB359" s="500"/>
      <c r="AC359" s="500"/>
      <c r="AD359" s="500"/>
      <c r="AE359" s="500"/>
      <c r="AF359" s="1563">
        <v>11</v>
      </c>
    </row>
    <row r="360" spans="1:32" s="1563" customFormat="1" ht="11.45" customHeight="1">
      <c r="A360" s="913"/>
      <c r="B360" s="1558"/>
      <c r="C360" s="1558"/>
      <c r="D360" s="285"/>
      <c r="K360" s="1082"/>
      <c r="L360" s="1558"/>
      <c r="M360" s="1558"/>
      <c r="N360" s="1082"/>
      <c r="O360" s="1082"/>
      <c r="P360" s="1082"/>
      <c r="Q360" s="1082"/>
      <c r="R360" s="1558"/>
      <c r="S360" s="1082"/>
      <c r="T360" s="1082"/>
      <c r="U360" s="478"/>
      <c r="V360" s="1082"/>
      <c r="W360" s="1082"/>
      <c r="X360" s="1082"/>
      <c r="Y360" s="1082"/>
      <c r="Z360" s="1082"/>
      <c r="AA360" s="1554"/>
      <c r="AB360" s="500"/>
      <c r="AC360" s="500"/>
      <c r="AD360" s="500"/>
      <c r="AE360" s="500"/>
      <c r="AF360" s="1563">
        <v>11</v>
      </c>
    </row>
    <row r="361" spans="1:32" s="1563" customFormat="1" ht="11.45" customHeight="1">
      <c r="A361" s="913"/>
      <c r="B361" s="1558"/>
      <c r="C361" s="1558"/>
      <c r="D361" s="285"/>
      <c r="K361" s="1082"/>
      <c r="L361" s="1558"/>
      <c r="M361" s="1558"/>
      <c r="N361" s="1082"/>
      <c r="O361" s="1082"/>
      <c r="P361" s="1082"/>
      <c r="Q361" s="1082"/>
      <c r="R361" s="1558"/>
      <c r="S361" s="1082"/>
      <c r="T361" s="1082"/>
      <c r="U361" s="478"/>
      <c r="V361" s="1082"/>
      <c r="W361" s="1082"/>
      <c r="X361" s="1082"/>
      <c r="Y361" s="1082"/>
      <c r="Z361" s="1082"/>
      <c r="AA361" s="1554"/>
      <c r="AB361" s="500"/>
      <c r="AC361" s="500"/>
      <c r="AD361" s="500"/>
      <c r="AE361" s="500"/>
      <c r="AF361" s="1563">
        <v>11</v>
      </c>
    </row>
    <row r="362" spans="1:32" s="1563" customFormat="1" ht="11.45" customHeight="1">
      <c r="A362" s="913"/>
      <c r="B362" s="1558"/>
      <c r="C362" s="1558"/>
      <c r="D362" s="285"/>
      <c r="K362" s="1082"/>
      <c r="L362" s="1558"/>
      <c r="M362" s="1558"/>
      <c r="N362" s="1082"/>
      <c r="O362" s="1082"/>
      <c r="P362" s="1082"/>
      <c r="Q362" s="1082"/>
      <c r="R362" s="1558"/>
      <c r="S362" s="1082"/>
      <c r="T362" s="1082"/>
      <c r="U362" s="478"/>
      <c r="V362" s="1082"/>
      <c r="W362" s="1082"/>
      <c r="X362" s="1082"/>
      <c r="Y362" s="1082"/>
      <c r="Z362" s="1082"/>
      <c r="AA362" s="1554"/>
      <c r="AB362" s="500"/>
      <c r="AC362" s="500"/>
      <c r="AD362" s="500"/>
      <c r="AE362" s="500"/>
      <c r="AF362" s="1563">
        <v>11</v>
      </c>
    </row>
    <row r="363" spans="1:32" s="1563" customFormat="1" ht="11.45" customHeight="1">
      <c r="A363" s="913"/>
      <c r="B363" s="1558"/>
      <c r="C363" s="1558"/>
      <c r="D363" s="285"/>
      <c r="K363" s="1082"/>
      <c r="L363" s="1558"/>
      <c r="M363" s="1558"/>
      <c r="N363" s="1082"/>
      <c r="O363" s="1082"/>
      <c r="P363" s="1082"/>
      <c r="Q363" s="1082"/>
      <c r="R363" s="1558"/>
      <c r="S363" s="1082"/>
      <c r="T363" s="1082"/>
      <c r="U363" s="478"/>
      <c r="V363" s="1082"/>
      <c r="W363" s="1082"/>
      <c r="X363" s="1082"/>
      <c r="Y363" s="1082"/>
      <c r="Z363" s="1082"/>
      <c r="AA363" s="1554"/>
      <c r="AB363" s="500"/>
      <c r="AC363" s="500"/>
      <c r="AD363" s="500"/>
      <c r="AE363" s="500"/>
      <c r="AF363" s="1563">
        <v>11</v>
      </c>
    </row>
    <row r="364" spans="1:32" s="1563" customFormat="1" ht="11.45" customHeight="1">
      <c r="A364" s="913"/>
      <c r="B364" s="1558"/>
      <c r="C364" s="1558"/>
      <c r="D364" s="285"/>
      <c r="K364" s="1082"/>
      <c r="L364" s="1558"/>
      <c r="M364" s="1558"/>
      <c r="N364" s="1082"/>
      <c r="O364" s="1082"/>
      <c r="P364" s="1082"/>
      <c r="Q364" s="1082"/>
      <c r="R364" s="1558"/>
      <c r="S364" s="1082"/>
      <c r="T364" s="1082"/>
      <c r="U364" s="478"/>
      <c r="V364" s="1082"/>
      <c r="W364" s="1082"/>
      <c r="X364" s="1082"/>
      <c r="Y364" s="1082"/>
      <c r="Z364" s="1082"/>
      <c r="AA364" s="1554"/>
      <c r="AB364" s="500"/>
      <c r="AC364" s="500"/>
      <c r="AD364" s="500"/>
      <c r="AE364" s="500"/>
      <c r="AF364" s="1563">
        <v>11</v>
      </c>
    </row>
    <row r="365" spans="1:32" s="1563" customFormat="1" ht="11.45" customHeight="1">
      <c r="A365" s="913"/>
      <c r="B365" s="1558"/>
      <c r="C365" s="1558"/>
      <c r="D365" s="285"/>
      <c r="K365" s="1082"/>
      <c r="L365" s="1558"/>
      <c r="M365" s="1558"/>
      <c r="N365" s="1082"/>
      <c r="O365" s="1082"/>
      <c r="P365" s="1082"/>
      <c r="Q365" s="1082"/>
      <c r="R365" s="1558"/>
      <c r="S365" s="1082"/>
      <c r="T365" s="1082"/>
      <c r="U365" s="478"/>
      <c r="V365" s="1082"/>
      <c r="W365" s="1082"/>
      <c r="X365" s="1082"/>
      <c r="Y365" s="1082"/>
      <c r="Z365" s="1082"/>
      <c r="AA365" s="1554"/>
      <c r="AB365" s="500"/>
      <c r="AC365" s="500"/>
      <c r="AD365" s="500"/>
      <c r="AE365" s="500"/>
      <c r="AF365" s="1563">
        <v>11</v>
      </c>
    </row>
    <row r="366" spans="1:32" s="1563" customFormat="1" ht="11.45" customHeight="1">
      <c r="A366" s="913"/>
      <c r="B366" s="1558"/>
      <c r="C366" s="1558"/>
      <c r="D366" s="285"/>
      <c r="K366" s="1082"/>
      <c r="L366" s="1558"/>
      <c r="M366" s="1558"/>
      <c r="N366" s="1082"/>
      <c r="O366" s="1082"/>
      <c r="P366" s="1082"/>
      <c r="Q366" s="1082"/>
      <c r="R366" s="1558"/>
      <c r="S366" s="1082"/>
      <c r="T366" s="1082"/>
      <c r="U366" s="478"/>
      <c r="V366" s="1082"/>
      <c r="W366" s="1082"/>
      <c r="X366" s="1082"/>
      <c r="Y366" s="1082"/>
      <c r="Z366" s="1082"/>
      <c r="AA366" s="1554"/>
      <c r="AB366" s="500"/>
      <c r="AC366" s="500"/>
      <c r="AD366" s="500"/>
      <c r="AE366" s="500"/>
      <c r="AF366" s="1563">
        <v>11</v>
      </c>
    </row>
    <row r="367" spans="1:32" s="1563" customFormat="1" ht="11.45" customHeight="1">
      <c r="A367" s="913"/>
      <c r="B367" s="1558"/>
      <c r="C367" s="1558"/>
      <c r="D367" s="285"/>
      <c r="K367" s="1082"/>
      <c r="L367" s="1558"/>
      <c r="M367" s="1558"/>
      <c r="N367" s="1082"/>
      <c r="O367" s="1082"/>
      <c r="P367" s="1082"/>
      <c r="Q367" s="1082"/>
      <c r="R367" s="1558"/>
      <c r="S367" s="1082"/>
      <c r="T367" s="1082"/>
      <c r="U367" s="478"/>
      <c r="V367" s="1082"/>
      <c r="W367" s="1082"/>
      <c r="X367" s="1082"/>
      <c r="Y367" s="1082"/>
      <c r="Z367" s="1082"/>
      <c r="AA367" s="1554"/>
      <c r="AB367" s="500"/>
      <c r="AC367" s="500"/>
      <c r="AD367" s="500"/>
      <c r="AE367" s="500"/>
      <c r="AF367" s="1563">
        <v>11</v>
      </c>
    </row>
    <row r="368" spans="1:32" s="1563" customFormat="1" ht="11.45" customHeight="1">
      <c r="A368" s="913"/>
      <c r="B368" s="1558"/>
      <c r="C368" s="1558"/>
      <c r="D368" s="285"/>
      <c r="K368" s="1082"/>
      <c r="L368" s="1558"/>
      <c r="M368" s="1558"/>
      <c r="N368" s="1082"/>
      <c r="O368" s="1082"/>
      <c r="P368" s="1082"/>
      <c r="Q368" s="1082"/>
      <c r="R368" s="1558"/>
      <c r="S368" s="1082"/>
      <c r="T368" s="1082"/>
      <c r="U368" s="478"/>
      <c r="V368" s="1082"/>
      <c r="W368" s="1082"/>
      <c r="X368" s="1082"/>
      <c r="Y368" s="1082"/>
      <c r="Z368" s="1082"/>
      <c r="AA368" s="1554"/>
      <c r="AB368" s="500"/>
      <c r="AC368" s="500"/>
      <c r="AD368" s="500"/>
      <c r="AE368" s="500"/>
      <c r="AF368" s="1563">
        <v>11</v>
      </c>
    </row>
    <row r="369" spans="1:32" s="1563" customFormat="1" ht="11.45" customHeight="1">
      <c r="A369" s="913"/>
      <c r="B369" s="1558"/>
      <c r="C369" s="1558"/>
      <c r="D369" s="285"/>
      <c r="K369" s="1082"/>
      <c r="L369" s="1558"/>
      <c r="M369" s="1558"/>
      <c r="N369" s="1082"/>
      <c r="O369" s="1082"/>
      <c r="P369" s="1082"/>
      <c r="Q369" s="1082"/>
      <c r="R369" s="1558"/>
      <c r="S369" s="1082"/>
      <c r="T369" s="1082"/>
      <c r="U369" s="478"/>
      <c r="V369" s="1082"/>
      <c r="W369" s="1082"/>
      <c r="X369" s="1082"/>
      <c r="Y369" s="1082"/>
      <c r="Z369" s="1082"/>
      <c r="AA369" s="1554"/>
      <c r="AB369" s="500"/>
      <c r="AC369" s="500"/>
      <c r="AD369" s="500"/>
      <c r="AE369" s="500"/>
      <c r="AF369" s="1563">
        <v>11</v>
      </c>
    </row>
    <row r="370" spans="1:32" s="1563" customFormat="1" ht="11.45" customHeight="1">
      <c r="A370" s="913"/>
      <c r="B370" s="1558"/>
      <c r="C370" s="1558"/>
      <c r="D370" s="285"/>
      <c r="K370" s="1082"/>
      <c r="L370" s="1558"/>
      <c r="M370" s="1558"/>
      <c r="N370" s="1082"/>
      <c r="O370" s="1082"/>
      <c r="P370" s="1082"/>
      <c r="Q370" s="1082"/>
      <c r="R370" s="1558"/>
      <c r="S370" s="1082"/>
      <c r="T370" s="1082"/>
      <c r="U370" s="478"/>
      <c r="V370" s="1082"/>
      <c r="W370" s="1082"/>
      <c r="X370" s="1082"/>
      <c r="Y370" s="1082"/>
      <c r="Z370" s="1082"/>
      <c r="AA370" s="1554"/>
      <c r="AB370" s="500"/>
      <c r="AC370" s="500"/>
      <c r="AD370" s="500"/>
      <c r="AE370" s="500"/>
      <c r="AF370" s="1563">
        <v>11</v>
      </c>
    </row>
    <row r="371" spans="1:32" s="1563" customFormat="1" ht="11.45" customHeight="1">
      <c r="A371" s="913"/>
      <c r="B371" s="1558"/>
      <c r="C371" s="1558"/>
      <c r="D371" s="285"/>
      <c r="K371" s="1082"/>
      <c r="L371" s="1558"/>
      <c r="M371" s="1558"/>
      <c r="N371" s="1082"/>
      <c r="O371" s="1082"/>
      <c r="P371" s="1082"/>
      <c r="Q371" s="1082"/>
      <c r="R371" s="1558"/>
      <c r="S371" s="1082"/>
      <c r="T371" s="1082"/>
      <c r="U371" s="478"/>
      <c r="V371" s="1082"/>
      <c r="W371" s="1082"/>
      <c r="X371" s="1082"/>
      <c r="Y371" s="1082"/>
      <c r="Z371" s="1082"/>
      <c r="AA371" s="1554"/>
      <c r="AB371" s="500"/>
      <c r="AC371" s="500"/>
      <c r="AD371" s="500"/>
      <c r="AE371" s="500"/>
      <c r="AF371" s="1563">
        <v>11</v>
      </c>
    </row>
    <row r="372" spans="1:32" s="1563" customFormat="1" ht="11.45" customHeight="1">
      <c r="A372" s="913"/>
      <c r="B372" s="1558"/>
      <c r="C372" s="1558"/>
      <c r="D372" s="285"/>
      <c r="K372" s="1082"/>
      <c r="L372" s="1558"/>
      <c r="M372" s="1558"/>
      <c r="N372" s="1082"/>
      <c r="O372" s="1082"/>
      <c r="P372" s="1082"/>
      <c r="Q372" s="1082"/>
      <c r="R372" s="1558"/>
      <c r="S372" s="1082"/>
      <c r="T372" s="1082"/>
      <c r="U372" s="478"/>
      <c r="V372" s="1082"/>
      <c r="W372" s="1082"/>
      <c r="X372" s="1082"/>
      <c r="Y372" s="1082"/>
      <c r="Z372" s="1082"/>
      <c r="AA372" s="1554"/>
      <c r="AB372" s="500"/>
      <c r="AC372" s="500"/>
      <c r="AD372" s="500"/>
      <c r="AE372" s="500"/>
      <c r="AF372" s="1563">
        <v>11</v>
      </c>
    </row>
    <row r="373" spans="1:32" s="1563" customFormat="1" ht="11.45" customHeight="1">
      <c r="A373" s="913"/>
      <c r="B373" s="1558"/>
      <c r="C373" s="1558"/>
      <c r="D373" s="285"/>
      <c r="K373" s="1082"/>
      <c r="L373" s="1558"/>
      <c r="M373" s="1558"/>
      <c r="N373" s="1082"/>
      <c r="O373" s="1082"/>
      <c r="P373" s="1082"/>
      <c r="Q373" s="1082"/>
      <c r="R373" s="1558"/>
      <c r="S373" s="1082"/>
      <c r="T373" s="1082"/>
      <c r="U373" s="478"/>
      <c r="V373" s="1082"/>
      <c r="W373" s="1082"/>
      <c r="X373" s="1082"/>
      <c r="Y373" s="1082"/>
      <c r="Z373" s="1082"/>
      <c r="AA373" s="1554"/>
      <c r="AB373" s="500"/>
      <c r="AC373" s="500"/>
      <c r="AD373" s="500"/>
      <c r="AE373" s="500"/>
      <c r="AF373" s="1563">
        <v>11</v>
      </c>
    </row>
    <row r="374" spans="1:32" s="1563" customFormat="1" ht="11.45" customHeight="1">
      <c r="A374" s="913"/>
      <c r="B374" s="1558"/>
      <c r="C374" s="1558"/>
      <c r="D374" s="285"/>
      <c r="K374" s="1082"/>
      <c r="L374" s="1558"/>
      <c r="M374" s="1558"/>
      <c r="N374" s="1082"/>
      <c r="O374" s="1082"/>
      <c r="P374" s="1082"/>
      <c r="Q374" s="1082"/>
      <c r="R374" s="1558"/>
      <c r="S374" s="1082"/>
      <c r="T374" s="1082"/>
      <c r="U374" s="478"/>
      <c r="V374" s="1082"/>
      <c r="W374" s="1082"/>
      <c r="X374" s="1082"/>
      <c r="Y374" s="1082"/>
      <c r="Z374" s="1082"/>
      <c r="AA374" s="1554"/>
      <c r="AB374" s="500"/>
      <c r="AC374" s="500"/>
      <c r="AD374" s="500"/>
      <c r="AE374" s="500"/>
      <c r="AF374" s="1563">
        <v>11</v>
      </c>
    </row>
    <row r="375" spans="1:32" s="1563" customFormat="1" ht="11.45" customHeight="1">
      <c r="A375" s="913"/>
      <c r="B375" s="1558"/>
      <c r="C375" s="1558"/>
      <c r="D375" s="285"/>
      <c r="K375" s="1082"/>
      <c r="L375" s="1558"/>
      <c r="M375" s="1558"/>
      <c r="N375" s="1082"/>
      <c r="O375" s="1082"/>
      <c r="P375" s="1082"/>
      <c r="Q375" s="1082"/>
      <c r="R375" s="1558"/>
      <c r="S375" s="1082"/>
      <c r="T375" s="1082"/>
      <c r="U375" s="478"/>
      <c r="V375" s="1082"/>
      <c r="W375" s="1082"/>
      <c r="X375" s="1082"/>
      <c r="Y375" s="1082"/>
      <c r="Z375" s="1082"/>
      <c r="AA375" s="1554"/>
      <c r="AB375" s="500"/>
      <c r="AC375" s="500"/>
      <c r="AD375" s="500"/>
      <c r="AE375" s="500"/>
      <c r="AF375" s="1563">
        <v>11</v>
      </c>
    </row>
    <row r="376" spans="1:32" s="1563" customFormat="1" ht="11.45" customHeight="1">
      <c r="A376" s="913"/>
      <c r="B376" s="1558"/>
      <c r="C376" s="1558"/>
      <c r="D376" s="285"/>
      <c r="K376" s="1082"/>
      <c r="L376" s="1558"/>
      <c r="M376" s="1558"/>
      <c r="N376" s="1082"/>
      <c r="O376" s="1082"/>
      <c r="P376" s="1082"/>
      <c r="Q376" s="1082"/>
      <c r="R376" s="1558"/>
      <c r="S376" s="1082"/>
      <c r="T376" s="1082"/>
      <c r="U376" s="478"/>
      <c r="V376" s="1082"/>
      <c r="W376" s="1082"/>
      <c r="X376" s="1082"/>
      <c r="Y376" s="1082"/>
      <c r="Z376" s="1082"/>
      <c r="AA376" s="1554"/>
      <c r="AB376" s="500"/>
      <c r="AC376" s="500"/>
      <c r="AD376" s="500"/>
      <c r="AE376" s="500"/>
      <c r="AF376" s="1563">
        <v>11</v>
      </c>
    </row>
    <row r="377" spans="1:32" s="1563" customFormat="1" ht="11.45" customHeight="1">
      <c r="A377" s="913"/>
      <c r="B377" s="1558"/>
      <c r="C377" s="1558"/>
      <c r="D377" s="285"/>
      <c r="K377" s="1082"/>
      <c r="L377" s="1558"/>
      <c r="M377" s="1558"/>
      <c r="N377" s="1082"/>
      <c r="O377" s="1082"/>
      <c r="P377" s="1082"/>
      <c r="Q377" s="1082"/>
      <c r="R377" s="1558"/>
      <c r="S377" s="1082"/>
      <c r="T377" s="1082"/>
      <c r="U377" s="478"/>
      <c r="V377" s="1082"/>
      <c r="W377" s="1082"/>
      <c r="X377" s="1082"/>
      <c r="Y377" s="1082"/>
      <c r="Z377" s="1082"/>
      <c r="AA377" s="1554"/>
      <c r="AB377" s="500"/>
      <c r="AC377" s="500"/>
      <c r="AD377" s="500"/>
      <c r="AE377" s="500"/>
      <c r="AF377" s="1563">
        <v>11</v>
      </c>
    </row>
    <row r="378" spans="1:32" s="1563" customFormat="1" ht="11.45" customHeight="1">
      <c r="A378" s="913"/>
      <c r="B378" s="1558"/>
      <c r="C378" s="1558"/>
      <c r="D378" s="285"/>
      <c r="K378" s="1082"/>
      <c r="L378" s="1558"/>
      <c r="M378" s="1558"/>
      <c r="N378" s="1082"/>
      <c r="O378" s="1082"/>
      <c r="P378" s="1082"/>
      <c r="Q378" s="1082"/>
      <c r="R378" s="1558"/>
      <c r="S378" s="1082"/>
      <c r="T378" s="1082"/>
      <c r="U378" s="478"/>
      <c r="V378" s="1082"/>
      <c r="W378" s="1082"/>
      <c r="X378" s="1082"/>
      <c r="Y378" s="1082"/>
      <c r="Z378" s="1082"/>
      <c r="AA378" s="1554"/>
      <c r="AB378" s="500"/>
      <c r="AC378" s="500"/>
      <c r="AD378" s="500"/>
      <c r="AE378" s="500"/>
      <c r="AF378" s="1563">
        <v>11</v>
      </c>
    </row>
    <row r="379" spans="1:32" s="1563" customFormat="1" ht="11.45" customHeight="1">
      <c r="A379" s="913"/>
      <c r="B379" s="1558"/>
      <c r="C379" s="1558"/>
      <c r="D379" s="285"/>
      <c r="K379" s="1082"/>
      <c r="L379" s="1558"/>
      <c r="M379" s="1558"/>
      <c r="N379" s="1082"/>
      <c r="O379" s="1082"/>
      <c r="P379" s="1082"/>
      <c r="Q379" s="1082"/>
      <c r="R379" s="1558"/>
      <c r="S379" s="1082"/>
      <c r="T379" s="1082"/>
      <c r="U379" s="478"/>
      <c r="V379" s="1082"/>
      <c r="W379" s="1082"/>
      <c r="X379" s="1082"/>
      <c r="Y379" s="1082"/>
      <c r="Z379" s="1082"/>
      <c r="AA379" s="1554"/>
      <c r="AB379" s="500"/>
      <c r="AC379" s="500"/>
      <c r="AD379" s="500"/>
      <c r="AE379" s="500"/>
      <c r="AF379" s="1563">
        <v>11</v>
      </c>
    </row>
    <row r="380" spans="1:32" s="1563" customFormat="1" ht="11.45" customHeight="1">
      <c r="A380" s="913"/>
      <c r="B380" s="1558"/>
      <c r="C380" s="1558"/>
      <c r="D380" s="285"/>
      <c r="K380" s="1082"/>
      <c r="L380" s="1558"/>
      <c r="M380" s="1558"/>
      <c r="N380" s="1082"/>
      <c r="O380" s="1082"/>
      <c r="P380" s="1082"/>
      <c r="Q380" s="1082"/>
      <c r="R380" s="1558"/>
      <c r="S380" s="1082"/>
      <c r="T380" s="1082"/>
      <c r="U380" s="478"/>
      <c r="V380" s="1082"/>
      <c r="W380" s="1082"/>
      <c r="X380" s="1082"/>
      <c r="Y380" s="1082"/>
      <c r="Z380" s="1082"/>
      <c r="AA380" s="1554"/>
      <c r="AB380" s="500"/>
      <c r="AC380" s="500"/>
      <c r="AD380" s="500"/>
      <c r="AE380" s="500"/>
      <c r="AF380" s="1563">
        <v>11</v>
      </c>
    </row>
    <row r="381" spans="1:32" s="1563" customFormat="1" ht="11.45" customHeight="1">
      <c r="A381" s="913"/>
      <c r="B381" s="1558"/>
      <c r="C381" s="1558"/>
      <c r="D381" s="285"/>
      <c r="K381" s="1082"/>
      <c r="L381" s="1558"/>
      <c r="M381" s="1558"/>
      <c r="N381" s="1082"/>
      <c r="O381" s="1082"/>
      <c r="P381" s="1082"/>
      <c r="Q381" s="1082"/>
      <c r="R381" s="1558"/>
      <c r="S381" s="1082"/>
      <c r="T381" s="1082"/>
      <c r="U381" s="478"/>
      <c r="V381" s="1082"/>
      <c r="W381" s="1082"/>
      <c r="X381" s="1082"/>
      <c r="Y381" s="1082"/>
      <c r="Z381" s="1082"/>
      <c r="AA381" s="1554"/>
      <c r="AB381" s="500"/>
      <c r="AC381" s="500"/>
      <c r="AD381" s="500"/>
      <c r="AE381" s="500"/>
      <c r="AF381" s="1563">
        <v>11</v>
      </c>
    </row>
    <row r="382" spans="1:32" s="1563" customFormat="1" ht="11.45" customHeight="1">
      <c r="A382" s="913"/>
      <c r="B382" s="1558"/>
      <c r="C382" s="1558"/>
      <c r="D382" s="285"/>
      <c r="K382" s="1082"/>
      <c r="L382" s="1558"/>
      <c r="M382" s="1558"/>
      <c r="N382" s="1082"/>
      <c r="O382" s="1082"/>
      <c r="P382" s="1082"/>
      <c r="Q382" s="1082"/>
      <c r="R382" s="1558"/>
      <c r="S382" s="1082"/>
      <c r="T382" s="1082"/>
      <c r="U382" s="478"/>
      <c r="V382" s="1082"/>
      <c r="W382" s="1082"/>
      <c r="X382" s="1082"/>
      <c r="Y382" s="1082"/>
      <c r="Z382" s="1082"/>
      <c r="AA382" s="1554"/>
      <c r="AB382" s="500"/>
      <c r="AC382" s="500"/>
      <c r="AD382" s="500"/>
      <c r="AE382" s="500"/>
      <c r="AF382" s="1563">
        <v>11</v>
      </c>
    </row>
    <row r="383" spans="1:32" s="1563" customFormat="1" ht="11.45" customHeight="1">
      <c r="A383" s="913"/>
      <c r="B383" s="1558"/>
      <c r="C383" s="1558"/>
      <c r="D383" s="285"/>
      <c r="K383" s="1082"/>
      <c r="L383" s="1558"/>
      <c r="M383" s="1558"/>
      <c r="N383" s="1082"/>
      <c r="O383" s="1082"/>
      <c r="P383" s="1082"/>
      <c r="Q383" s="1082"/>
      <c r="R383" s="1558"/>
      <c r="S383" s="1082"/>
      <c r="T383" s="1082"/>
      <c r="U383" s="478"/>
      <c r="V383" s="1082"/>
      <c r="W383" s="1082"/>
      <c r="X383" s="1082"/>
      <c r="Y383" s="1082"/>
      <c r="Z383" s="1082"/>
      <c r="AA383" s="1554"/>
      <c r="AB383" s="500"/>
      <c r="AC383" s="500"/>
      <c r="AD383" s="500"/>
      <c r="AE383" s="500"/>
      <c r="AF383" s="1563">
        <v>11</v>
      </c>
    </row>
    <row r="384" spans="1:32" s="1563" customFormat="1" ht="11.45" customHeight="1">
      <c r="A384" s="913"/>
      <c r="B384" s="1558"/>
      <c r="C384" s="1558"/>
      <c r="D384" s="285"/>
      <c r="K384" s="1082"/>
      <c r="L384" s="1558"/>
      <c r="M384" s="1558"/>
      <c r="N384" s="1082"/>
      <c r="O384" s="1082"/>
      <c r="P384" s="1082"/>
      <c r="Q384" s="1082"/>
      <c r="R384" s="1558"/>
      <c r="S384" s="1082"/>
      <c r="T384" s="1082"/>
      <c r="U384" s="478"/>
      <c r="V384" s="1082"/>
      <c r="W384" s="1082"/>
      <c r="X384" s="1082"/>
      <c r="Y384" s="1082"/>
      <c r="Z384" s="1082"/>
      <c r="AA384" s="1554"/>
      <c r="AB384" s="500"/>
      <c r="AC384" s="500"/>
      <c r="AD384" s="500"/>
      <c r="AE384" s="500"/>
      <c r="AF384" s="1563">
        <v>11</v>
      </c>
    </row>
    <row r="385" spans="1:32" s="1563" customFormat="1" ht="11.45" customHeight="1">
      <c r="A385" s="913"/>
      <c r="B385" s="1558"/>
      <c r="C385" s="1558"/>
      <c r="D385" s="285"/>
      <c r="K385" s="1082"/>
      <c r="L385" s="1558"/>
      <c r="M385" s="1558"/>
      <c r="N385" s="1082"/>
      <c r="O385" s="1082"/>
      <c r="P385" s="1082"/>
      <c r="Q385" s="1082"/>
      <c r="R385" s="1558"/>
      <c r="S385" s="1082"/>
      <c r="T385" s="1082"/>
      <c r="U385" s="478"/>
      <c r="V385" s="1082"/>
      <c r="W385" s="1082"/>
      <c r="X385" s="1082"/>
      <c r="Y385" s="1082"/>
      <c r="Z385" s="1082"/>
      <c r="AA385" s="1554"/>
      <c r="AB385" s="500"/>
      <c r="AC385" s="500"/>
      <c r="AD385" s="500"/>
      <c r="AE385" s="500"/>
      <c r="AF385" s="1563">
        <v>11</v>
      </c>
    </row>
    <row r="386" spans="1:32" s="1563" customFormat="1" ht="11.45" customHeight="1">
      <c r="A386" s="913"/>
      <c r="B386" s="1558"/>
      <c r="C386" s="1558"/>
      <c r="D386" s="285"/>
      <c r="K386" s="1082"/>
      <c r="L386" s="1558"/>
      <c r="M386" s="1558"/>
      <c r="N386" s="1082"/>
      <c r="O386" s="1082"/>
      <c r="P386" s="1082"/>
      <c r="Q386" s="1082"/>
      <c r="R386" s="1558"/>
      <c r="S386" s="1082"/>
      <c r="T386" s="1082"/>
      <c r="U386" s="478"/>
      <c r="V386" s="1082"/>
      <c r="W386" s="1082"/>
      <c r="X386" s="1082"/>
      <c r="Y386" s="1082"/>
      <c r="Z386" s="1082"/>
      <c r="AA386" s="1554"/>
      <c r="AB386" s="500"/>
      <c r="AC386" s="500"/>
      <c r="AD386" s="500"/>
      <c r="AE386" s="500"/>
      <c r="AF386" s="1563">
        <v>11</v>
      </c>
    </row>
    <row r="387" spans="1:32" s="1563" customFormat="1" ht="11.45" customHeight="1">
      <c r="A387" s="913"/>
      <c r="B387" s="1558"/>
      <c r="C387" s="1558"/>
      <c r="D387" s="285"/>
      <c r="K387" s="1082"/>
      <c r="L387" s="1558"/>
      <c r="M387" s="1558"/>
      <c r="N387" s="1082"/>
      <c r="O387" s="1082"/>
      <c r="P387" s="1082"/>
      <c r="Q387" s="1082"/>
      <c r="R387" s="1558"/>
      <c r="S387" s="1082"/>
      <c r="T387" s="1082"/>
      <c r="U387" s="478"/>
      <c r="V387" s="1082"/>
      <c r="W387" s="1082"/>
      <c r="X387" s="1082"/>
      <c r="Y387" s="1082"/>
      <c r="Z387" s="1082"/>
      <c r="AA387" s="1554"/>
      <c r="AB387" s="500"/>
      <c r="AC387" s="500"/>
      <c r="AD387" s="500"/>
      <c r="AE387" s="500"/>
      <c r="AF387" s="1563">
        <v>11</v>
      </c>
    </row>
    <row r="388" spans="1:32" s="1563" customFormat="1" ht="11.45" customHeight="1">
      <c r="A388" s="913"/>
      <c r="B388" s="1558"/>
      <c r="C388" s="1558"/>
      <c r="D388" s="285"/>
      <c r="K388" s="1082"/>
      <c r="L388" s="1558"/>
      <c r="M388" s="1558"/>
      <c r="N388" s="1082"/>
      <c r="O388" s="1082"/>
      <c r="P388" s="1082"/>
      <c r="Q388" s="1082"/>
      <c r="R388" s="1558"/>
      <c r="S388" s="1082"/>
      <c r="T388" s="1082"/>
      <c r="U388" s="478"/>
      <c r="V388" s="1082"/>
      <c r="W388" s="1082"/>
      <c r="X388" s="1082"/>
      <c r="Y388" s="1082"/>
      <c r="Z388" s="1082"/>
      <c r="AA388" s="1554"/>
      <c r="AB388" s="500"/>
      <c r="AC388" s="500"/>
      <c r="AD388" s="500"/>
      <c r="AE388" s="500"/>
      <c r="AF388" s="1563">
        <v>11</v>
      </c>
    </row>
    <row r="389" spans="1:32" s="1563" customFormat="1" ht="11.45" customHeight="1">
      <c r="A389" s="913"/>
      <c r="B389" s="1558"/>
      <c r="C389" s="1558"/>
      <c r="D389" s="285"/>
      <c r="K389" s="1082"/>
      <c r="L389" s="1558"/>
      <c r="M389" s="1558"/>
      <c r="N389" s="1082"/>
      <c r="O389" s="1082"/>
      <c r="P389" s="1082"/>
      <c r="Q389" s="1082"/>
      <c r="R389" s="1558"/>
      <c r="S389" s="1082"/>
      <c r="T389" s="1082"/>
      <c r="U389" s="478"/>
      <c r="V389" s="1082"/>
      <c r="W389" s="1082"/>
      <c r="X389" s="1082"/>
      <c r="Y389" s="1082"/>
      <c r="Z389" s="1082"/>
      <c r="AA389" s="1554"/>
      <c r="AB389" s="500"/>
      <c r="AC389" s="500"/>
      <c r="AD389" s="500"/>
      <c r="AE389" s="500"/>
      <c r="AF389" s="1563">
        <v>11</v>
      </c>
    </row>
    <row r="390" spans="1:32" s="1563" customFormat="1" ht="11.45" customHeight="1">
      <c r="A390" s="913"/>
      <c r="B390" s="1558"/>
      <c r="C390" s="1558"/>
      <c r="D390" s="285"/>
      <c r="K390" s="1082"/>
      <c r="L390" s="1558"/>
      <c r="M390" s="1558"/>
      <c r="N390" s="1082"/>
      <c r="O390" s="1082"/>
      <c r="P390" s="1082"/>
      <c r="Q390" s="1082"/>
      <c r="R390" s="1558"/>
      <c r="S390" s="1082"/>
      <c r="T390" s="1082"/>
      <c r="U390" s="478"/>
      <c r="V390" s="1082"/>
      <c r="W390" s="1082"/>
      <c r="X390" s="1082"/>
      <c r="Y390" s="1082"/>
      <c r="Z390" s="1082"/>
      <c r="AA390" s="1554"/>
      <c r="AB390" s="500"/>
      <c r="AC390" s="500"/>
      <c r="AD390" s="500"/>
      <c r="AE390" s="500"/>
      <c r="AF390" s="1563">
        <v>11</v>
      </c>
    </row>
    <row r="391" spans="1:32" s="1563" customFormat="1" ht="11.45" customHeight="1">
      <c r="A391" s="913"/>
      <c r="B391" s="1558"/>
      <c r="C391" s="1558"/>
      <c r="D391" s="285"/>
      <c r="K391" s="1082"/>
      <c r="L391" s="1558"/>
      <c r="M391" s="1558"/>
      <c r="N391" s="1082"/>
      <c r="O391" s="1082"/>
      <c r="P391" s="1082"/>
      <c r="Q391" s="1082"/>
      <c r="R391" s="1558"/>
      <c r="S391" s="1082"/>
      <c r="T391" s="1082"/>
      <c r="U391" s="478"/>
      <c r="V391" s="1082"/>
      <c r="W391" s="1082"/>
      <c r="X391" s="1082"/>
      <c r="Y391" s="1082"/>
      <c r="Z391" s="1082"/>
      <c r="AA391" s="1554"/>
      <c r="AB391" s="500"/>
      <c r="AC391" s="500"/>
      <c r="AD391" s="500"/>
      <c r="AE391" s="500"/>
      <c r="AF391" s="1563">
        <v>11</v>
      </c>
    </row>
    <row r="392" spans="1:32" s="1563" customFormat="1" ht="11.45" customHeight="1">
      <c r="A392" s="913"/>
      <c r="B392" s="1558"/>
      <c r="C392" s="1558"/>
      <c r="D392" s="285"/>
      <c r="K392" s="1082"/>
      <c r="L392" s="1558"/>
      <c r="M392" s="1558"/>
      <c r="N392" s="1082"/>
      <c r="O392" s="1082"/>
      <c r="P392" s="1082"/>
      <c r="Q392" s="1082"/>
      <c r="R392" s="1558"/>
      <c r="S392" s="1082"/>
      <c r="T392" s="1082"/>
      <c r="U392" s="478"/>
      <c r="V392" s="1082"/>
      <c r="W392" s="1082"/>
      <c r="X392" s="1082"/>
      <c r="Y392" s="1082"/>
      <c r="Z392" s="1082"/>
      <c r="AA392" s="1554"/>
      <c r="AB392" s="500"/>
      <c r="AC392" s="500"/>
      <c r="AD392" s="500"/>
      <c r="AE392" s="500"/>
      <c r="AF392" s="1563">
        <v>11</v>
      </c>
    </row>
    <row r="393" spans="1:32" s="1563" customFormat="1" ht="11.45" customHeight="1">
      <c r="A393" s="913"/>
      <c r="B393" s="1558"/>
      <c r="C393" s="1558"/>
      <c r="D393" s="285"/>
      <c r="K393" s="1082"/>
      <c r="L393" s="1558"/>
      <c r="M393" s="1558"/>
      <c r="N393" s="1082"/>
      <c r="O393" s="1082"/>
      <c r="P393" s="1082"/>
      <c r="Q393" s="1082"/>
      <c r="R393" s="1558"/>
      <c r="S393" s="1082"/>
      <c r="T393" s="1082"/>
      <c r="U393" s="478"/>
      <c r="V393" s="1082"/>
      <c r="W393" s="1082"/>
      <c r="X393" s="1082"/>
      <c r="Y393" s="1082"/>
      <c r="Z393" s="1082"/>
      <c r="AA393" s="1554"/>
      <c r="AB393" s="500"/>
      <c r="AC393" s="500"/>
      <c r="AD393" s="500"/>
      <c r="AE393" s="500"/>
      <c r="AF393" s="1563">
        <v>11</v>
      </c>
    </row>
    <row r="394" spans="1:32" s="1563" customFormat="1" ht="11.45" customHeight="1">
      <c r="A394" s="913"/>
      <c r="B394" s="1558"/>
      <c r="C394" s="1558"/>
      <c r="D394" s="285"/>
      <c r="K394" s="1082"/>
      <c r="L394" s="1558"/>
      <c r="M394" s="1558"/>
      <c r="N394" s="1082"/>
      <c r="O394" s="1082"/>
      <c r="P394" s="1082"/>
      <c r="Q394" s="1082"/>
      <c r="R394" s="1558"/>
      <c r="S394" s="1082"/>
      <c r="T394" s="1082"/>
      <c r="U394" s="478"/>
      <c r="V394" s="1082"/>
      <c r="W394" s="1082"/>
      <c r="X394" s="1082"/>
      <c r="Y394" s="1082"/>
      <c r="Z394" s="1082"/>
      <c r="AA394" s="1554"/>
      <c r="AB394" s="500"/>
      <c r="AC394" s="500"/>
      <c r="AD394" s="500"/>
      <c r="AE394" s="500"/>
      <c r="AF394" s="1563">
        <v>11</v>
      </c>
    </row>
    <row r="395" spans="1:32" s="1563" customFormat="1" ht="11.45" customHeight="1">
      <c r="A395" s="913"/>
      <c r="B395" s="1558"/>
      <c r="C395" s="1558"/>
      <c r="D395" s="285"/>
      <c r="K395" s="1082"/>
      <c r="L395" s="1558"/>
      <c r="M395" s="1558"/>
      <c r="N395" s="1082"/>
      <c r="O395" s="1082"/>
      <c r="P395" s="1082"/>
      <c r="Q395" s="1082"/>
      <c r="R395" s="1558"/>
      <c r="S395" s="1082"/>
      <c r="T395" s="1082"/>
      <c r="U395" s="478"/>
      <c r="V395" s="1082"/>
      <c r="W395" s="1082"/>
      <c r="X395" s="1082"/>
      <c r="Y395" s="1082"/>
      <c r="Z395" s="1082"/>
      <c r="AA395" s="1554"/>
      <c r="AB395" s="500"/>
      <c r="AC395" s="500"/>
      <c r="AD395" s="500"/>
      <c r="AE395" s="500"/>
      <c r="AF395" s="1563">
        <v>11</v>
      </c>
    </row>
    <row r="396" spans="1:32" s="1563" customFormat="1" ht="11.45" customHeight="1">
      <c r="A396" s="913"/>
      <c r="B396" s="1558"/>
      <c r="C396" s="1558"/>
      <c r="D396" s="285"/>
      <c r="K396" s="1082"/>
      <c r="L396" s="1558"/>
      <c r="M396" s="1558"/>
      <c r="N396" s="1082"/>
      <c r="O396" s="1082"/>
      <c r="P396" s="1082"/>
      <c r="Q396" s="1082"/>
      <c r="R396" s="1558"/>
      <c r="S396" s="1082"/>
      <c r="T396" s="1082"/>
      <c r="U396" s="478"/>
      <c r="V396" s="1082"/>
      <c r="W396" s="1082"/>
      <c r="X396" s="1082"/>
      <c r="Y396" s="1082"/>
      <c r="Z396" s="1082"/>
      <c r="AA396" s="1554"/>
      <c r="AB396" s="500"/>
      <c r="AC396" s="500"/>
      <c r="AD396" s="500"/>
      <c r="AE396" s="500"/>
      <c r="AF396" s="1563">
        <v>11</v>
      </c>
    </row>
    <row r="397" spans="1:32" s="1563" customFormat="1" ht="11.45" customHeight="1">
      <c r="A397" s="913"/>
      <c r="B397" s="1558"/>
      <c r="C397" s="1558"/>
      <c r="D397" s="285"/>
      <c r="K397" s="1082"/>
      <c r="L397" s="1558"/>
      <c r="M397" s="1558"/>
      <c r="N397" s="1082"/>
      <c r="O397" s="1082"/>
      <c r="P397" s="1082"/>
      <c r="Q397" s="1082"/>
      <c r="R397" s="1558"/>
      <c r="S397" s="1082"/>
      <c r="T397" s="1082"/>
      <c r="U397" s="478"/>
      <c r="V397" s="1082"/>
      <c r="W397" s="1082"/>
      <c r="X397" s="1082"/>
      <c r="Y397" s="1082"/>
      <c r="Z397" s="1082"/>
      <c r="AA397" s="1554"/>
      <c r="AB397" s="500"/>
      <c r="AC397" s="500"/>
      <c r="AD397" s="500"/>
      <c r="AE397" s="500"/>
      <c r="AF397" s="1563">
        <v>11</v>
      </c>
    </row>
    <row r="398" spans="1:32" s="1563" customFormat="1" ht="11.45" customHeight="1">
      <c r="A398" s="913"/>
      <c r="B398" s="1558"/>
      <c r="C398" s="1558"/>
      <c r="D398" s="285"/>
      <c r="K398" s="1082"/>
      <c r="L398" s="1558"/>
      <c r="M398" s="1558"/>
      <c r="N398" s="1082"/>
      <c r="O398" s="1082"/>
      <c r="P398" s="1082"/>
      <c r="Q398" s="1082"/>
      <c r="R398" s="1558"/>
      <c r="S398" s="1082"/>
      <c r="T398" s="1082"/>
      <c r="U398" s="478"/>
      <c r="V398" s="1082"/>
      <c r="W398" s="1082"/>
      <c r="X398" s="1082"/>
      <c r="Y398" s="1082"/>
      <c r="Z398" s="1082"/>
      <c r="AA398" s="1554"/>
      <c r="AB398" s="500"/>
      <c r="AC398" s="500"/>
      <c r="AD398" s="500"/>
      <c r="AE398" s="500"/>
      <c r="AF398" s="1563">
        <v>11</v>
      </c>
    </row>
    <row r="399" spans="1:32" s="1563" customFormat="1" ht="11.45" customHeight="1">
      <c r="A399" s="913"/>
      <c r="B399" s="1558"/>
      <c r="C399" s="1558"/>
      <c r="D399" s="285"/>
      <c r="K399" s="1082"/>
      <c r="L399" s="1558"/>
      <c r="M399" s="1558"/>
      <c r="N399" s="1082"/>
      <c r="O399" s="1082"/>
      <c r="P399" s="1082"/>
      <c r="Q399" s="1082"/>
      <c r="R399" s="1558"/>
      <c r="S399" s="1082"/>
      <c r="T399" s="1082"/>
      <c r="U399" s="478"/>
      <c r="V399" s="1082"/>
      <c r="W399" s="1082"/>
      <c r="X399" s="1082"/>
      <c r="Y399" s="1082"/>
      <c r="Z399" s="1082"/>
      <c r="AA399" s="1554"/>
      <c r="AB399" s="500"/>
      <c r="AC399" s="500"/>
      <c r="AD399" s="500"/>
      <c r="AE399" s="500"/>
      <c r="AF399" s="1563">
        <v>11</v>
      </c>
    </row>
    <row r="400" spans="1:32" s="1563" customFormat="1" ht="11.45" customHeight="1">
      <c r="A400" s="913"/>
      <c r="B400" s="1558"/>
      <c r="C400" s="1558"/>
      <c r="D400" s="285"/>
      <c r="K400" s="1082"/>
      <c r="L400" s="1558"/>
      <c r="M400" s="1558"/>
      <c r="N400" s="1082"/>
      <c r="O400" s="1082"/>
      <c r="P400" s="1082"/>
      <c r="Q400" s="1082"/>
      <c r="R400" s="1558"/>
      <c r="S400" s="1082"/>
      <c r="T400" s="1082"/>
      <c r="U400" s="478"/>
      <c r="V400" s="1082"/>
      <c r="W400" s="1082"/>
      <c r="X400" s="1082"/>
      <c r="Y400" s="1082"/>
      <c r="Z400" s="1082"/>
      <c r="AA400" s="1554"/>
      <c r="AB400" s="500"/>
      <c r="AC400" s="500"/>
      <c r="AD400" s="500"/>
      <c r="AE400" s="500"/>
      <c r="AF400" s="1563">
        <v>11</v>
      </c>
    </row>
    <row r="401" spans="1:32" s="1563" customFormat="1" ht="11.45" customHeight="1">
      <c r="A401" s="913"/>
      <c r="B401" s="1558"/>
      <c r="C401" s="1558"/>
      <c r="D401" s="285"/>
      <c r="K401" s="1082"/>
      <c r="L401" s="1558"/>
      <c r="M401" s="1558"/>
      <c r="N401" s="1082"/>
      <c r="O401" s="1082"/>
      <c r="P401" s="1082"/>
      <c r="Q401" s="1082"/>
      <c r="R401" s="1558"/>
      <c r="S401" s="1082"/>
      <c r="T401" s="1082"/>
      <c r="U401" s="478"/>
      <c r="V401" s="1082"/>
      <c r="W401" s="1082"/>
      <c r="X401" s="1082"/>
      <c r="Y401" s="1082"/>
      <c r="Z401" s="1082"/>
      <c r="AA401" s="1554"/>
      <c r="AB401" s="500"/>
      <c r="AC401" s="500"/>
      <c r="AD401" s="500"/>
      <c r="AE401" s="500"/>
      <c r="AF401" s="1563">
        <v>11</v>
      </c>
    </row>
    <row r="402" spans="1:32" s="1563" customFormat="1" ht="11.45" customHeight="1">
      <c r="A402" s="913"/>
      <c r="B402" s="1558"/>
      <c r="C402" s="1558"/>
      <c r="D402" s="285"/>
      <c r="K402" s="1082"/>
      <c r="L402" s="1558"/>
      <c r="M402" s="1558"/>
      <c r="N402" s="1082"/>
      <c r="O402" s="1082"/>
      <c r="P402" s="1082"/>
      <c r="Q402" s="1082"/>
      <c r="R402" s="1558"/>
      <c r="S402" s="1082"/>
      <c r="T402" s="1082"/>
      <c r="U402" s="478"/>
      <c r="V402" s="1082"/>
      <c r="W402" s="1082"/>
      <c r="X402" s="1082"/>
      <c r="Y402" s="1082"/>
      <c r="Z402" s="1082"/>
      <c r="AA402" s="1554"/>
      <c r="AB402" s="500"/>
      <c r="AC402" s="500"/>
      <c r="AD402" s="500"/>
      <c r="AE402" s="500"/>
      <c r="AF402" s="1563">
        <v>11</v>
      </c>
    </row>
    <row r="403" spans="1:32" s="1563" customFormat="1" ht="11.45" customHeight="1">
      <c r="A403" s="913"/>
      <c r="B403" s="1558"/>
      <c r="C403" s="1558"/>
      <c r="D403" s="285"/>
      <c r="K403" s="1082"/>
      <c r="L403" s="1558"/>
      <c r="M403" s="1558"/>
      <c r="N403" s="1082"/>
      <c r="O403" s="1082"/>
      <c r="P403" s="1082"/>
      <c r="Q403" s="1082"/>
      <c r="R403" s="1558"/>
      <c r="S403" s="1082"/>
      <c r="T403" s="1082"/>
      <c r="U403" s="478"/>
      <c r="V403" s="1082"/>
      <c r="W403" s="1082"/>
      <c r="X403" s="1082"/>
      <c r="Y403" s="1082"/>
      <c r="Z403" s="1082"/>
      <c r="AA403" s="1554"/>
      <c r="AB403" s="500"/>
      <c r="AC403" s="500"/>
      <c r="AD403" s="500"/>
      <c r="AE403" s="500"/>
      <c r="AF403" s="1563">
        <v>11</v>
      </c>
    </row>
    <row r="404" spans="1:32" s="1563" customFormat="1" ht="11.45" customHeight="1">
      <c r="A404" s="913"/>
      <c r="B404" s="1558"/>
      <c r="C404" s="1558"/>
      <c r="D404" s="285"/>
      <c r="K404" s="1082"/>
      <c r="L404" s="1558"/>
      <c r="M404" s="1558"/>
      <c r="N404" s="1082"/>
      <c r="O404" s="1082"/>
      <c r="P404" s="1082"/>
      <c r="Q404" s="1082"/>
      <c r="R404" s="1558"/>
      <c r="S404" s="1082"/>
      <c r="T404" s="1082"/>
      <c r="U404" s="478"/>
      <c r="V404" s="1082"/>
      <c r="W404" s="1082"/>
      <c r="X404" s="1082"/>
      <c r="Y404" s="1082"/>
      <c r="Z404" s="1082"/>
      <c r="AA404" s="1554"/>
      <c r="AB404" s="500"/>
      <c r="AC404" s="500"/>
      <c r="AD404" s="500"/>
      <c r="AE404" s="500"/>
      <c r="AF404" s="1563">
        <v>11</v>
      </c>
    </row>
    <row r="405" spans="1:32" s="1563" customFormat="1" ht="11.45" customHeight="1">
      <c r="A405" s="913"/>
      <c r="B405" s="1558"/>
      <c r="C405" s="1558"/>
      <c r="D405" s="285"/>
      <c r="K405" s="1082"/>
      <c r="L405" s="1558"/>
      <c r="M405" s="1558"/>
      <c r="N405" s="1082"/>
      <c r="O405" s="1082"/>
      <c r="P405" s="1082"/>
      <c r="Q405" s="1082"/>
      <c r="R405" s="1558"/>
      <c r="S405" s="1082"/>
      <c r="T405" s="1082"/>
      <c r="U405" s="478"/>
      <c r="V405" s="1082"/>
      <c r="W405" s="1082"/>
      <c r="X405" s="1082"/>
      <c r="Y405" s="1082"/>
      <c r="Z405" s="1082"/>
      <c r="AA405" s="1554"/>
      <c r="AB405" s="500"/>
      <c r="AC405" s="500"/>
      <c r="AD405" s="500"/>
      <c r="AE405" s="500"/>
      <c r="AF405" s="1563">
        <v>11</v>
      </c>
    </row>
    <row r="406" spans="1:32" s="1563" customFormat="1" ht="11.45" customHeight="1">
      <c r="A406" s="913"/>
      <c r="B406" s="1558"/>
      <c r="C406" s="1558"/>
      <c r="D406" s="285"/>
      <c r="K406" s="1082"/>
      <c r="L406" s="1558"/>
      <c r="M406" s="1558"/>
      <c r="N406" s="1082"/>
      <c r="O406" s="1082"/>
      <c r="P406" s="1082"/>
      <c r="Q406" s="1082"/>
      <c r="R406" s="1558"/>
      <c r="S406" s="1082"/>
      <c r="T406" s="1082"/>
      <c r="U406" s="478"/>
      <c r="V406" s="1082"/>
      <c r="W406" s="1082"/>
      <c r="X406" s="1082"/>
      <c r="Y406" s="1082"/>
      <c r="Z406" s="1082"/>
      <c r="AA406" s="1554"/>
      <c r="AB406" s="500"/>
      <c r="AC406" s="500"/>
      <c r="AD406" s="500"/>
      <c r="AE406" s="500"/>
      <c r="AF406" s="1563">
        <v>11</v>
      </c>
    </row>
    <row r="407" spans="1:32" s="1563" customFormat="1" ht="11.45" customHeight="1">
      <c r="A407" s="913"/>
      <c r="B407" s="1558"/>
      <c r="C407" s="1558"/>
      <c r="D407" s="285"/>
      <c r="K407" s="1082"/>
      <c r="L407" s="1558"/>
      <c r="M407" s="1558"/>
      <c r="N407" s="1082"/>
      <c r="O407" s="1082"/>
      <c r="P407" s="1082"/>
      <c r="Q407" s="1082"/>
      <c r="R407" s="1558"/>
      <c r="S407" s="1082"/>
      <c r="T407" s="1082"/>
      <c r="U407" s="478"/>
      <c r="V407" s="1082"/>
      <c r="W407" s="1082"/>
      <c r="X407" s="1082"/>
      <c r="Y407" s="1082"/>
      <c r="Z407" s="1082"/>
      <c r="AA407" s="1554"/>
      <c r="AB407" s="500"/>
      <c r="AC407" s="500"/>
      <c r="AD407" s="500"/>
      <c r="AE407" s="500"/>
      <c r="AF407" s="1563">
        <v>11</v>
      </c>
    </row>
    <row r="408" spans="1:32" s="1563" customFormat="1" ht="11.45" customHeight="1">
      <c r="A408" s="913"/>
      <c r="B408" s="1558"/>
      <c r="C408" s="1558"/>
      <c r="D408" s="285"/>
      <c r="K408" s="1082"/>
      <c r="L408" s="1558"/>
      <c r="M408" s="1558"/>
      <c r="N408" s="1082"/>
      <c r="O408" s="1082"/>
      <c r="P408" s="1082"/>
      <c r="Q408" s="1082"/>
      <c r="R408" s="1558"/>
      <c r="S408" s="1082"/>
      <c r="T408" s="1082"/>
      <c r="U408" s="478"/>
      <c r="V408" s="1082"/>
      <c r="W408" s="1082"/>
      <c r="X408" s="1082"/>
      <c r="Y408" s="1082"/>
      <c r="Z408" s="1082"/>
      <c r="AA408" s="1554"/>
      <c r="AB408" s="500"/>
      <c r="AC408" s="500"/>
      <c r="AD408" s="500"/>
      <c r="AE408" s="500"/>
      <c r="AF408" s="1563">
        <v>11</v>
      </c>
    </row>
    <row r="409" spans="1:32" s="1563" customFormat="1" ht="11.45" customHeight="1">
      <c r="A409" s="913"/>
      <c r="B409" s="1558"/>
      <c r="C409" s="1558"/>
      <c r="D409" s="285"/>
      <c r="K409" s="1082"/>
      <c r="L409" s="1558"/>
      <c r="M409" s="1558"/>
      <c r="N409" s="1082"/>
      <c r="O409" s="1082"/>
      <c r="P409" s="1082"/>
      <c r="Q409" s="1082"/>
      <c r="R409" s="1558"/>
      <c r="S409" s="1082"/>
      <c r="T409" s="1082"/>
      <c r="U409" s="478"/>
      <c r="V409" s="1082"/>
      <c r="W409" s="1082"/>
      <c r="X409" s="1082"/>
      <c r="Y409" s="1082"/>
      <c r="Z409" s="1082"/>
      <c r="AA409" s="1554"/>
      <c r="AB409" s="500"/>
      <c r="AC409" s="500"/>
      <c r="AD409" s="500"/>
      <c r="AE409" s="500"/>
      <c r="AF409" s="1563">
        <v>11</v>
      </c>
    </row>
    <row r="410" spans="1:32" s="1563" customFormat="1" ht="11.45" customHeight="1">
      <c r="A410" s="913"/>
      <c r="B410" s="1558"/>
      <c r="C410" s="1558"/>
      <c r="D410" s="285"/>
      <c r="K410" s="1082"/>
      <c r="L410" s="1558"/>
      <c r="M410" s="1558"/>
      <c r="N410" s="1082"/>
      <c r="O410" s="1082"/>
      <c r="P410" s="1082"/>
      <c r="Q410" s="1082"/>
      <c r="R410" s="1558"/>
      <c r="S410" s="1082"/>
      <c r="T410" s="1082"/>
      <c r="U410" s="478"/>
      <c r="V410" s="1082"/>
      <c r="W410" s="1082"/>
      <c r="X410" s="1082"/>
      <c r="Y410" s="1082"/>
      <c r="Z410" s="1082"/>
      <c r="AA410" s="1554"/>
      <c r="AB410" s="500"/>
      <c r="AC410" s="500"/>
      <c r="AD410" s="500"/>
      <c r="AE410" s="500"/>
      <c r="AF410" s="1563">
        <v>11</v>
      </c>
    </row>
    <row r="411" spans="1:32" s="1563" customFormat="1" ht="11.45" customHeight="1">
      <c r="A411" s="913"/>
      <c r="B411" s="1558"/>
      <c r="C411" s="1558"/>
      <c r="D411" s="285"/>
      <c r="K411" s="1082"/>
      <c r="L411" s="1558"/>
      <c r="M411" s="1558"/>
      <c r="N411" s="1082"/>
      <c r="O411" s="1082"/>
      <c r="P411" s="1082"/>
      <c r="Q411" s="1082"/>
      <c r="R411" s="1558"/>
      <c r="S411" s="1082"/>
      <c r="T411" s="1082"/>
      <c r="U411" s="478"/>
      <c r="V411" s="1082"/>
      <c r="W411" s="1082"/>
      <c r="X411" s="1082"/>
      <c r="Y411" s="1082"/>
      <c r="Z411" s="1082"/>
      <c r="AA411" s="1554"/>
      <c r="AB411" s="500"/>
      <c r="AC411" s="500"/>
      <c r="AD411" s="500"/>
      <c r="AE411" s="500"/>
      <c r="AF411" s="1563">
        <v>11</v>
      </c>
    </row>
    <row r="412" spans="1:32" s="1563" customFormat="1" ht="11.45" customHeight="1">
      <c r="A412" s="913"/>
      <c r="B412" s="1558"/>
      <c r="C412" s="1558"/>
      <c r="D412" s="285"/>
      <c r="K412" s="1082"/>
      <c r="L412" s="1558"/>
      <c r="M412" s="1558"/>
      <c r="N412" s="1082"/>
      <c r="O412" s="1082"/>
      <c r="P412" s="1082"/>
      <c r="Q412" s="1082"/>
      <c r="R412" s="1558"/>
      <c r="S412" s="1082"/>
      <c r="T412" s="1082"/>
      <c r="U412" s="478"/>
      <c r="V412" s="1082"/>
      <c r="W412" s="1082"/>
      <c r="X412" s="1082"/>
      <c r="Y412" s="1082"/>
      <c r="Z412" s="1082"/>
      <c r="AA412" s="1554"/>
      <c r="AB412" s="500"/>
      <c r="AC412" s="500"/>
      <c r="AD412" s="500"/>
      <c r="AE412" s="500"/>
      <c r="AF412" s="1563">
        <v>11</v>
      </c>
    </row>
    <row r="413" spans="1:32" s="1563" customFormat="1" ht="11.45" customHeight="1">
      <c r="A413" s="913"/>
      <c r="B413" s="1558"/>
      <c r="C413" s="1558"/>
      <c r="D413" s="285"/>
      <c r="K413" s="1082"/>
      <c r="L413" s="1558"/>
      <c r="M413" s="1558"/>
      <c r="N413" s="1082"/>
      <c r="O413" s="1082"/>
      <c r="P413" s="1082"/>
      <c r="Q413" s="1082"/>
      <c r="R413" s="1558"/>
      <c r="S413" s="1082"/>
      <c r="T413" s="1082"/>
      <c r="U413" s="478"/>
      <c r="V413" s="1082"/>
      <c r="W413" s="1082"/>
      <c r="X413" s="1082"/>
      <c r="Y413" s="1082"/>
      <c r="Z413" s="1082"/>
      <c r="AA413" s="1554"/>
      <c r="AB413" s="500"/>
      <c r="AC413" s="500"/>
      <c r="AD413" s="500"/>
      <c r="AE413" s="500"/>
      <c r="AF413" s="1563">
        <v>11</v>
      </c>
    </row>
    <row r="414" spans="1:32" s="1563" customFormat="1" ht="11.45" customHeight="1">
      <c r="A414" s="913"/>
      <c r="B414" s="1558"/>
      <c r="C414" s="1558"/>
      <c r="D414" s="285"/>
      <c r="K414" s="1082"/>
      <c r="L414" s="1558"/>
      <c r="M414" s="1558"/>
      <c r="N414" s="1082"/>
      <c r="O414" s="1082"/>
      <c r="P414" s="1082"/>
      <c r="Q414" s="1082"/>
      <c r="R414" s="1558"/>
      <c r="S414" s="1082"/>
      <c r="T414" s="1082"/>
      <c r="U414" s="478"/>
      <c r="V414" s="1082"/>
      <c r="W414" s="1082"/>
      <c r="X414" s="1082"/>
      <c r="Y414" s="1082"/>
      <c r="Z414" s="1082"/>
      <c r="AA414" s="1554"/>
      <c r="AB414" s="500"/>
      <c r="AC414" s="500"/>
      <c r="AD414" s="500"/>
      <c r="AE414" s="500"/>
      <c r="AF414" s="1563">
        <v>11</v>
      </c>
    </row>
    <row r="415" spans="1:32" s="1563" customFormat="1" ht="11.45" customHeight="1">
      <c r="A415" s="913"/>
      <c r="B415" s="1558"/>
      <c r="C415" s="1558"/>
      <c r="D415" s="285"/>
      <c r="K415" s="1082"/>
      <c r="L415" s="1558"/>
      <c r="M415" s="1558"/>
      <c r="N415" s="1082"/>
      <c r="O415" s="1082"/>
      <c r="P415" s="1082"/>
      <c r="Q415" s="1082"/>
      <c r="R415" s="1558"/>
      <c r="S415" s="1082"/>
      <c r="T415" s="1082"/>
      <c r="U415" s="478"/>
      <c r="V415" s="1082"/>
      <c r="W415" s="1082"/>
      <c r="X415" s="1082"/>
      <c r="Y415" s="1082"/>
      <c r="Z415" s="1082"/>
      <c r="AA415" s="1554"/>
      <c r="AB415" s="500"/>
      <c r="AC415" s="500"/>
      <c r="AD415" s="500"/>
      <c r="AE415" s="500"/>
      <c r="AF415" s="1563">
        <v>11</v>
      </c>
    </row>
    <row r="416" spans="1:32" s="1563" customFormat="1" ht="11.45" customHeight="1">
      <c r="A416" s="913"/>
      <c r="B416" s="1558"/>
      <c r="C416" s="1558"/>
      <c r="D416" s="285"/>
      <c r="K416" s="1082"/>
      <c r="L416" s="1558"/>
      <c r="M416" s="1558"/>
      <c r="N416" s="1082"/>
      <c r="O416" s="1082"/>
      <c r="P416" s="1082"/>
      <c r="Q416" s="1082"/>
      <c r="R416" s="1558"/>
      <c r="S416" s="1082"/>
      <c r="T416" s="1082"/>
      <c r="U416" s="478"/>
      <c r="V416" s="1082"/>
      <c r="W416" s="1082"/>
      <c r="X416" s="1082"/>
      <c r="Y416" s="1082"/>
      <c r="Z416" s="1082"/>
      <c r="AA416" s="1554"/>
      <c r="AB416" s="500"/>
      <c r="AC416" s="500"/>
      <c r="AD416" s="500"/>
      <c r="AE416" s="500"/>
      <c r="AF416" s="1563">
        <v>11</v>
      </c>
    </row>
    <row r="417" spans="1:32" s="1563" customFormat="1" ht="11.45" customHeight="1">
      <c r="A417" s="913"/>
      <c r="B417" s="1558"/>
      <c r="C417" s="1558"/>
      <c r="D417" s="285"/>
      <c r="K417" s="1082"/>
      <c r="L417" s="1558"/>
      <c r="M417" s="1558"/>
      <c r="N417" s="1082"/>
      <c r="O417" s="1082"/>
      <c r="P417" s="1082"/>
      <c r="Q417" s="1082"/>
      <c r="R417" s="1558"/>
      <c r="S417" s="1082"/>
      <c r="T417" s="1082"/>
      <c r="U417" s="478"/>
      <c r="V417" s="1082"/>
      <c r="W417" s="1082"/>
      <c r="X417" s="1082"/>
      <c r="Y417" s="1082"/>
      <c r="Z417" s="1082"/>
      <c r="AA417" s="1554"/>
      <c r="AB417" s="500"/>
      <c r="AC417" s="500"/>
      <c r="AD417" s="500"/>
      <c r="AE417" s="500"/>
      <c r="AF417" s="1563">
        <v>11</v>
      </c>
    </row>
    <row r="418" spans="1:32" s="1563" customFormat="1" ht="11.45" customHeight="1">
      <c r="A418" s="913"/>
      <c r="B418" s="1558"/>
      <c r="C418" s="1558"/>
      <c r="D418" s="285"/>
      <c r="K418" s="1082"/>
      <c r="L418" s="1558"/>
      <c r="M418" s="1558"/>
      <c r="N418" s="1082"/>
      <c r="O418" s="1082"/>
      <c r="P418" s="1082"/>
      <c r="Q418" s="1082"/>
      <c r="R418" s="1558"/>
      <c r="S418" s="1082"/>
      <c r="T418" s="1082"/>
      <c r="U418" s="478"/>
      <c r="V418" s="1082"/>
      <c r="W418" s="1082"/>
      <c r="X418" s="1082"/>
      <c r="Y418" s="1082"/>
      <c r="Z418" s="1082"/>
      <c r="AA418" s="1554"/>
      <c r="AB418" s="500"/>
      <c r="AC418" s="500"/>
      <c r="AD418" s="500"/>
      <c r="AE418" s="500"/>
      <c r="AF418" s="1563">
        <v>11</v>
      </c>
    </row>
    <row r="419" spans="1:32" s="1563" customFormat="1" ht="11.45" customHeight="1">
      <c r="A419" s="913"/>
      <c r="B419" s="1558"/>
      <c r="C419" s="1558"/>
      <c r="D419" s="285"/>
      <c r="K419" s="1082"/>
      <c r="L419" s="1558"/>
      <c r="M419" s="1558"/>
      <c r="N419" s="1082"/>
      <c r="O419" s="1082"/>
      <c r="P419" s="1082"/>
      <c r="Q419" s="1082"/>
      <c r="R419" s="1558"/>
      <c r="S419" s="1082"/>
      <c r="T419" s="1082"/>
      <c r="U419" s="478"/>
      <c r="V419" s="1082"/>
      <c r="W419" s="1082"/>
      <c r="X419" s="1082"/>
      <c r="Y419" s="1082"/>
      <c r="Z419" s="1082"/>
      <c r="AA419" s="1554"/>
      <c r="AB419" s="500"/>
      <c r="AC419" s="500"/>
      <c r="AD419" s="500"/>
      <c r="AE419" s="500"/>
      <c r="AF419" s="1563">
        <v>11</v>
      </c>
    </row>
    <row r="420" spans="1:32" s="1563" customFormat="1" ht="11.45" customHeight="1">
      <c r="A420" s="913"/>
      <c r="B420" s="1558"/>
      <c r="C420" s="1558"/>
      <c r="D420" s="285"/>
      <c r="K420" s="1082"/>
      <c r="L420" s="1558"/>
      <c r="M420" s="1558"/>
      <c r="N420" s="1082"/>
      <c r="O420" s="1082"/>
      <c r="P420" s="1082"/>
      <c r="Q420" s="1082"/>
      <c r="R420" s="1558"/>
      <c r="S420" s="1082"/>
      <c r="T420" s="1082"/>
      <c r="U420" s="478"/>
      <c r="V420" s="1082"/>
      <c r="W420" s="1082"/>
      <c r="X420" s="1082"/>
      <c r="Y420" s="1082"/>
      <c r="Z420" s="1082"/>
      <c r="AA420" s="1554"/>
      <c r="AB420" s="500"/>
      <c r="AC420" s="500"/>
      <c r="AD420" s="500"/>
      <c r="AE420" s="500"/>
      <c r="AF420" s="1563">
        <v>11</v>
      </c>
    </row>
    <row r="421" spans="1:32" s="1563" customFormat="1" ht="11.45" customHeight="1">
      <c r="A421" s="913"/>
      <c r="B421" s="1558"/>
      <c r="C421" s="1558"/>
      <c r="D421" s="285"/>
      <c r="K421" s="1082"/>
      <c r="L421" s="1558"/>
      <c r="M421" s="1558"/>
      <c r="N421" s="1082"/>
      <c r="O421" s="1082"/>
      <c r="P421" s="1082"/>
      <c r="Q421" s="1082"/>
      <c r="R421" s="1558"/>
      <c r="S421" s="1082"/>
      <c r="T421" s="1082"/>
      <c r="U421" s="478"/>
      <c r="V421" s="1082"/>
      <c r="W421" s="1082"/>
      <c r="X421" s="1082"/>
      <c r="Y421" s="1082"/>
      <c r="Z421" s="1082"/>
      <c r="AA421" s="1554"/>
      <c r="AB421" s="500"/>
      <c r="AC421" s="500"/>
      <c r="AD421" s="500"/>
      <c r="AE421" s="500"/>
      <c r="AF421" s="1563">
        <v>11</v>
      </c>
    </row>
    <row r="422" spans="1:32" s="1563" customFormat="1" ht="11.45" customHeight="1">
      <c r="A422" s="913"/>
      <c r="B422" s="1558"/>
      <c r="C422" s="1558"/>
      <c r="D422" s="285"/>
      <c r="K422" s="1082"/>
      <c r="L422" s="1558"/>
      <c r="M422" s="1558"/>
      <c r="N422" s="1082"/>
      <c r="O422" s="1082"/>
      <c r="P422" s="1082"/>
      <c r="Q422" s="1082"/>
      <c r="R422" s="1558"/>
      <c r="S422" s="1082"/>
      <c r="T422" s="1082"/>
      <c r="U422" s="478"/>
      <c r="V422" s="1082"/>
      <c r="W422" s="1082"/>
      <c r="X422" s="1082"/>
      <c r="Y422" s="1082"/>
      <c r="Z422" s="1082"/>
      <c r="AA422" s="1554"/>
      <c r="AB422" s="500"/>
      <c r="AC422" s="500"/>
      <c r="AD422" s="500"/>
      <c r="AE422" s="500"/>
      <c r="AF422" s="1563">
        <v>11</v>
      </c>
    </row>
    <row r="423" spans="1:32" s="1563" customFormat="1" ht="11.45" customHeight="1">
      <c r="A423" s="913"/>
      <c r="B423" s="1558"/>
      <c r="C423" s="1558"/>
      <c r="D423" s="285"/>
      <c r="K423" s="1082"/>
      <c r="L423" s="1558"/>
      <c r="M423" s="1558"/>
      <c r="N423" s="1082"/>
      <c r="O423" s="1082"/>
      <c r="P423" s="1082"/>
      <c r="Q423" s="1082"/>
      <c r="R423" s="1558"/>
      <c r="S423" s="1082"/>
      <c r="T423" s="1082"/>
      <c r="U423" s="478"/>
      <c r="V423" s="1082"/>
      <c r="W423" s="1082"/>
      <c r="X423" s="1082"/>
      <c r="Y423" s="1082"/>
      <c r="Z423" s="1082"/>
      <c r="AA423" s="1554"/>
      <c r="AB423" s="500"/>
      <c r="AC423" s="500"/>
      <c r="AD423" s="500"/>
      <c r="AE423" s="500"/>
      <c r="AF423" s="1563">
        <v>11</v>
      </c>
    </row>
    <row r="424" spans="1:32" s="1563" customFormat="1" ht="11.45" customHeight="1">
      <c r="A424" s="913"/>
      <c r="B424" s="1558"/>
      <c r="C424" s="1558"/>
      <c r="D424" s="285"/>
      <c r="K424" s="1082"/>
      <c r="L424" s="1558"/>
      <c r="M424" s="1558"/>
      <c r="N424" s="1082"/>
      <c r="O424" s="1082"/>
      <c r="P424" s="1082"/>
      <c r="Q424" s="1082"/>
      <c r="R424" s="1558"/>
      <c r="S424" s="1082"/>
      <c r="T424" s="1082"/>
      <c r="U424" s="478"/>
      <c r="V424" s="1082"/>
      <c r="W424" s="1082"/>
      <c r="X424" s="1082"/>
      <c r="Y424" s="1082"/>
      <c r="Z424" s="1082"/>
      <c r="AA424" s="1554"/>
      <c r="AB424" s="500"/>
      <c r="AC424" s="500"/>
      <c r="AD424" s="500"/>
      <c r="AE424" s="500"/>
      <c r="AF424" s="1563">
        <v>11</v>
      </c>
    </row>
    <row r="425" spans="1:32" s="1563" customFormat="1" ht="11.45" customHeight="1">
      <c r="A425" s="913"/>
      <c r="B425" s="1558"/>
      <c r="C425" s="1558"/>
      <c r="D425" s="285"/>
      <c r="K425" s="1082"/>
      <c r="L425" s="1558"/>
      <c r="M425" s="1558"/>
      <c r="N425" s="1082"/>
      <c r="O425" s="1082"/>
      <c r="P425" s="1082"/>
      <c r="Q425" s="1082"/>
      <c r="R425" s="1558"/>
      <c r="S425" s="1082"/>
      <c r="T425" s="1082"/>
      <c r="U425" s="478"/>
      <c r="V425" s="1082"/>
      <c r="W425" s="1082"/>
      <c r="X425" s="1082"/>
      <c r="Y425" s="1082"/>
      <c r="Z425" s="1082"/>
      <c r="AA425" s="1554"/>
      <c r="AB425" s="500"/>
      <c r="AC425" s="500"/>
      <c r="AD425" s="500"/>
      <c r="AE425" s="500"/>
      <c r="AF425" s="1563">
        <v>11</v>
      </c>
    </row>
    <row r="426" spans="1:32" s="1563" customFormat="1" ht="11.45" customHeight="1">
      <c r="A426" s="913"/>
      <c r="B426" s="1558"/>
      <c r="C426" s="1558"/>
      <c r="D426" s="285"/>
      <c r="K426" s="1082"/>
      <c r="L426" s="1558"/>
      <c r="M426" s="1558"/>
      <c r="N426" s="1082"/>
      <c r="O426" s="1082"/>
      <c r="P426" s="1082"/>
      <c r="Q426" s="1082"/>
      <c r="R426" s="1558"/>
      <c r="S426" s="1082"/>
      <c r="T426" s="1082"/>
      <c r="U426" s="478"/>
      <c r="V426" s="1082"/>
      <c r="W426" s="1082"/>
      <c r="X426" s="1082"/>
      <c r="Y426" s="1082"/>
      <c r="Z426" s="1082"/>
      <c r="AA426" s="1554"/>
      <c r="AB426" s="500"/>
      <c r="AC426" s="500"/>
      <c r="AD426" s="500"/>
      <c r="AE426" s="500"/>
      <c r="AF426" s="1563">
        <v>11</v>
      </c>
    </row>
    <row r="427" spans="1:32" s="1563" customFormat="1" ht="11.45" customHeight="1">
      <c r="A427" s="913"/>
      <c r="B427" s="1558"/>
      <c r="C427" s="1558"/>
      <c r="D427" s="285"/>
      <c r="K427" s="1082"/>
      <c r="L427" s="1558"/>
      <c r="M427" s="1558"/>
      <c r="N427" s="1082"/>
      <c r="O427" s="1082"/>
      <c r="P427" s="1082"/>
      <c r="Q427" s="1082"/>
      <c r="R427" s="1558"/>
      <c r="S427" s="1082"/>
      <c r="T427" s="1082"/>
      <c r="U427" s="478"/>
      <c r="V427" s="1082"/>
      <c r="W427" s="1082"/>
      <c r="X427" s="1082"/>
      <c r="Y427" s="1082"/>
      <c r="Z427" s="1082"/>
      <c r="AA427" s="1554"/>
      <c r="AB427" s="500"/>
      <c r="AC427" s="500"/>
      <c r="AD427" s="500"/>
      <c r="AE427" s="500"/>
      <c r="AF427" s="1563">
        <v>11</v>
      </c>
    </row>
    <row r="428" spans="1:32" s="1563" customFormat="1" ht="11.45" customHeight="1">
      <c r="A428" s="913"/>
      <c r="B428" s="1558"/>
      <c r="C428" s="1558"/>
      <c r="D428" s="285"/>
      <c r="K428" s="1082"/>
      <c r="L428" s="1558"/>
      <c r="M428" s="1558"/>
      <c r="N428" s="1082"/>
      <c r="O428" s="1082"/>
      <c r="P428" s="1082"/>
      <c r="Q428" s="1082"/>
      <c r="R428" s="1558"/>
      <c r="S428" s="1082"/>
      <c r="T428" s="1082"/>
      <c r="U428" s="478"/>
      <c r="V428" s="1082"/>
      <c r="W428" s="1082"/>
      <c r="X428" s="1082"/>
      <c r="Y428" s="1082"/>
      <c r="Z428" s="1082"/>
      <c r="AA428" s="1554"/>
      <c r="AB428" s="500"/>
      <c r="AC428" s="500"/>
      <c r="AD428" s="500"/>
      <c r="AE428" s="500"/>
      <c r="AF428" s="1563">
        <v>11</v>
      </c>
    </row>
    <row r="429" spans="1:32" s="1563" customFormat="1" ht="11.45" customHeight="1">
      <c r="A429" s="913"/>
      <c r="B429" s="1558"/>
      <c r="C429" s="1558"/>
      <c r="D429" s="285"/>
      <c r="K429" s="1082"/>
      <c r="L429" s="1558"/>
      <c r="M429" s="1558"/>
      <c r="N429" s="1082"/>
      <c r="O429" s="1082"/>
      <c r="P429" s="1082"/>
      <c r="Q429" s="1082"/>
      <c r="R429" s="1558"/>
      <c r="S429" s="1082"/>
      <c r="T429" s="1082"/>
      <c r="U429" s="478"/>
      <c r="V429" s="1082"/>
      <c r="W429" s="1082"/>
      <c r="X429" s="1082"/>
      <c r="Y429" s="1082"/>
      <c r="Z429" s="1082"/>
      <c r="AA429" s="1554"/>
      <c r="AB429" s="500"/>
      <c r="AC429" s="500"/>
      <c r="AD429" s="500"/>
      <c r="AE429" s="500"/>
      <c r="AF429" s="1563">
        <v>11</v>
      </c>
    </row>
    <row r="430" spans="1:32" s="1563" customFormat="1" ht="11.45" customHeight="1">
      <c r="A430" s="913"/>
      <c r="B430" s="1558"/>
      <c r="C430" s="1558"/>
      <c r="D430" s="285"/>
      <c r="K430" s="1082"/>
      <c r="L430" s="1558"/>
      <c r="M430" s="1558"/>
      <c r="N430" s="1082"/>
      <c r="O430" s="1082"/>
      <c r="P430" s="1082"/>
      <c r="Q430" s="1082"/>
      <c r="R430" s="1558"/>
      <c r="S430" s="1082"/>
      <c r="T430" s="1082"/>
      <c r="U430" s="478"/>
      <c r="V430" s="1082"/>
      <c r="W430" s="1082"/>
      <c r="X430" s="1082"/>
      <c r="Y430" s="1082"/>
      <c r="Z430" s="1082"/>
      <c r="AA430" s="1554"/>
      <c r="AB430" s="500"/>
      <c r="AC430" s="500"/>
      <c r="AD430" s="500"/>
      <c r="AE430" s="500"/>
      <c r="AF430" s="1563">
        <v>11</v>
      </c>
    </row>
    <row r="431" spans="1:32" s="1563" customFormat="1" ht="11.45" customHeight="1">
      <c r="A431" s="913"/>
      <c r="B431" s="1558"/>
      <c r="C431" s="1558"/>
      <c r="D431" s="285"/>
      <c r="K431" s="1082"/>
      <c r="L431" s="1558"/>
      <c r="M431" s="1558"/>
      <c r="N431" s="1082"/>
      <c r="O431" s="1082"/>
      <c r="P431" s="1082"/>
      <c r="Q431" s="1082"/>
      <c r="R431" s="1558"/>
      <c r="S431" s="1082"/>
      <c r="T431" s="1082"/>
      <c r="U431" s="478"/>
      <c r="V431" s="1082"/>
      <c r="W431" s="1082"/>
      <c r="X431" s="1082"/>
      <c r="Y431" s="1082"/>
      <c r="Z431" s="1082"/>
      <c r="AA431" s="1554"/>
      <c r="AB431" s="500"/>
      <c r="AC431" s="500"/>
      <c r="AD431" s="500"/>
      <c r="AE431" s="500"/>
      <c r="AF431" s="1563">
        <v>11</v>
      </c>
    </row>
    <row r="432" spans="1:32" s="1563" customFormat="1" ht="11.45" customHeight="1">
      <c r="A432" s="913"/>
      <c r="B432" s="1558"/>
      <c r="C432" s="1558"/>
      <c r="D432" s="285"/>
      <c r="K432" s="1082"/>
      <c r="L432" s="1558"/>
      <c r="M432" s="1558"/>
      <c r="N432" s="1082"/>
      <c r="O432" s="1082"/>
      <c r="P432" s="1082"/>
      <c r="Q432" s="1082"/>
      <c r="R432" s="1558"/>
      <c r="S432" s="1082"/>
      <c r="T432" s="1082"/>
      <c r="U432" s="478"/>
      <c r="V432" s="1082"/>
      <c r="W432" s="1082"/>
      <c r="X432" s="1082"/>
      <c r="Y432" s="1082"/>
      <c r="Z432" s="1082"/>
      <c r="AA432" s="1554"/>
      <c r="AB432" s="500"/>
      <c r="AC432" s="500"/>
      <c r="AD432" s="500"/>
      <c r="AE432" s="500"/>
      <c r="AF432" s="1563">
        <v>11</v>
      </c>
    </row>
    <row r="433" spans="1:32" s="1563" customFormat="1" ht="11.45" customHeight="1">
      <c r="A433" s="913"/>
      <c r="B433" s="1558"/>
      <c r="C433" s="1558"/>
      <c r="D433" s="285"/>
      <c r="K433" s="1082"/>
      <c r="L433" s="1558"/>
      <c r="M433" s="1558"/>
      <c r="N433" s="1082"/>
      <c r="O433" s="1082"/>
      <c r="P433" s="1082"/>
      <c r="Q433" s="1082"/>
      <c r="R433" s="1558"/>
      <c r="S433" s="1082"/>
      <c r="T433" s="1082"/>
      <c r="U433" s="478"/>
      <c r="V433" s="1082"/>
      <c r="W433" s="1082"/>
      <c r="X433" s="1082"/>
      <c r="Y433" s="1082"/>
      <c r="Z433" s="1082"/>
      <c r="AA433" s="1554"/>
      <c r="AB433" s="500"/>
      <c r="AC433" s="500"/>
      <c r="AD433" s="500"/>
      <c r="AE433" s="500"/>
      <c r="AF433" s="1563">
        <v>11</v>
      </c>
    </row>
    <row r="434" spans="1:32" s="1563" customFormat="1" ht="11.45" customHeight="1">
      <c r="A434" s="913"/>
      <c r="B434" s="1558"/>
      <c r="C434" s="1558"/>
      <c r="D434" s="285"/>
      <c r="K434" s="1082"/>
      <c r="L434" s="1558"/>
      <c r="M434" s="1558"/>
      <c r="N434" s="1082"/>
      <c r="O434" s="1082"/>
      <c r="P434" s="1082"/>
      <c r="Q434" s="1082"/>
      <c r="R434" s="1558"/>
      <c r="S434" s="1082"/>
      <c r="T434" s="1082"/>
      <c r="U434" s="478"/>
      <c r="V434" s="1082"/>
      <c r="W434" s="1082"/>
      <c r="X434" s="1082"/>
      <c r="Y434" s="1082"/>
      <c r="Z434" s="1082"/>
      <c r="AA434" s="1554"/>
      <c r="AB434" s="500"/>
      <c r="AC434" s="500"/>
      <c r="AD434" s="500"/>
      <c r="AE434" s="500"/>
      <c r="AF434" s="1563">
        <v>11</v>
      </c>
    </row>
    <row r="435" spans="1:32" s="1563" customFormat="1" ht="11.45" customHeight="1">
      <c r="A435" s="913"/>
      <c r="B435" s="1558"/>
      <c r="C435" s="1558"/>
      <c r="D435" s="285"/>
      <c r="K435" s="1082"/>
      <c r="L435" s="1558"/>
      <c r="M435" s="1558"/>
      <c r="N435" s="1082"/>
      <c r="O435" s="1082"/>
      <c r="P435" s="1082"/>
      <c r="Q435" s="1082"/>
      <c r="R435" s="1558"/>
      <c r="S435" s="1082"/>
      <c r="T435" s="1082"/>
      <c r="U435" s="478"/>
      <c r="V435" s="1082"/>
      <c r="W435" s="1082"/>
      <c r="X435" s="1082"/>
      <c r="Y435" s="1082"/>
      <c r="Z435" s="1082"/>
      <c r="AA435" s="1554"/>
      <c r="AB435" s="500"/>
      <c r="AC435" s="500"/>
      <c r="AD435" s="500"/>
      <c r="AE435" s="500"/>
      <c r="AF435" s="1563">
        <v>11</v>
      </c>
    </row>
    <row r="436" spans="1:32" s="1563" customFormat="1" ht="11.45" customHeight="1">
      <c r="A436" s="913"/>
      <c r="B436" s="1558"/>
      <c r="C436" s="1558"/>
      <c r="D436" s="285"/>
      <c r="K436" s="1082"/>
      <c r="L436" s="1558"/>
      <c r="M436" s="1558"/>
      <c r="N436" s="1082"/>
      <c r="O436" s="1082"/>
      <c r="P436" s="1082"/>
      <c r="Q436" s="1082"/>
      <c r="R436" s="1558"/>
      <c r="S436" s="1082"/>
      <c r="T436" s="1082"/>
      <c r="U436" s="478"/>
      <c r="V436" s="1082"/>
      <c r="W436" s="1082"/>
      <c r="X436" s="1082"/>
      <c r="Y436" s="1082"/>
      <c r="Z436" s="1082"/>
      <c r="AA436" s="1554"/>
      <c r="AB436" s="500"/>
      <c r="AC436" s="500"/>
      <c r="AD436" s="500"/>
      <c r="AE436" s="500"/>
      <c r="AF436" s="1563">
        <v>11</v>
      </c>
    </row>
    <row r="437" spans="1:32" s="1563" customFormat="1" ht="11.45" customHeight="1">
      <c r="A437" s="913"/>
      <c r="B437" s="1558"/>
      <c r="C437" s="1558"/>
      <c r="D437" s="285"/>
      <c r="K437" s="1082"/>
      <c r="L437" s="1558"/>
      <c r="M437" s="1558"/>
      <c r="N437" s="1082"/>
      <c r="O437" s="1082"/>
      <c r="P437" s="1082"/>
      <c r="Q437" s="1082"/>
      <c r="R437" s="1558"/>
      <c r="S437" s="1082"/>
      <c r="T437" s="1082"/>
      <c r="U437" s="478"/>
      <c r="V437" s="1082"/>
      <c r="W437" s="1082"/>
      <c r="X437" s="1082"/>
      <c r="Y437" s="1082"/>
      <c r="Z437" s="1082"/>
      <c r="AA437" s="1554"/>
      <c r="AB437" s="500"/>
      <c r="AC437" s="500"/>
      <c r="AD437" s="500"/>
      <c r="AE437" s="500"/>
      <c r="AF437" s="1563">
        <v>11</v>
      </c>
    </row>
    <row r="438" spans="1:32" s="1563" customFormat="1" ht="11.45" customHeight="1">
      <c r="A438" s="913"/>
      <c r="B438" s="1558"/>
      <c r="C438" s="1558"/>
      <c r="D438" s="285"/>
      <c r="K438" s="1082"/>
      <c r="L438" s="1558"/>
      <c r="M438" s="1558"/>
      <c r="N438" s="1082"/>
      <c r="O438" s="1082"/>
      <c r="P438" s="1082"/>
      <c r="Q438" s="1082"/>
      <c r="R438" s="1558"/>
      <c r="S438" s="1082"/>
      <c r="T438" s="1082"/>
      <c r="U438" s="478"/>
      <c r="V438" s="1082"/>
      <c r="W438" s="1082"/>
      <c r="X438" s="1082"/>
      <c r="Y438" s="1082"/>
      <c r="Z438" s="1082"/>
      <c r="AA438" s="1554"/>
      <c r="AB438" s="500"/>
      <c r="AC438" s="500"/>
      <c r="AD438" s="500"/>
      <c r="AE438" s="500"/>
      <c r="AF438" s="1563">
        <v>11</v>
      </c>
    </row>
    <row r="439" spans="1:32" s="1563" customFormat="1" ht="11.45" customHeight="1">
      <c r="A439" s="913"/>
      <c r="B439" s="1558"/>
      <c r="C439" s="1558"/>
      <c r="D439" s="285"/>
      <c r="K439" s="1082"/>
      <c r="L439" s="1558"/>
      <c r="M439" s="1558"/>
      <c r="N439" s="1082"/>
      <c r="O439" s="1082"/>
      <c r="P439" s="1082"/>
      <c r="Q439" s="1082"/>
      <c r="R439" s="1558"/>
      <c r="S439" s="1082"/>
      <c r="T439" s="1082"/>
      <c r="U439" s="478"/>
      <c r="V439" s="1082"/>
      <c r="W439" s="1082"/>
      <c r="X439" s="1082"/>
      <c r="Y439" s="1082"/>
      <c r="Z439" s="1082"/>
      <c r="AA439" s="1554"/>
      <c r="AB439" s="500"/>
      <c r="AC439" s="500"/>
      <c r="AD439" s="500"/>
      <c r="AE439" s="500"/>
      <c r="AF439" s="1563">
        <v>11</v>
      </c>
    </row>
    <row r="440" spans="1:32" s="1563" customFormat="1" ht="11.45" customHeight="1">
      <c r="A440" s="913"/>
      <c r="B440" s="1558"/>
      <c r="C440" s="1558"/>
      <c r="D440" s="285"/>
      <c r="K440" s="1082"/>
      <c r="L440" s="1558"/>
      <c r="M440" s="1558"/>
      <c r="N440" s="1082"/>
      <c r="O440" s="1082"/>
      <c r="P440" s="1082"/>
      <c r="Q440" s="1082"/>
      <c r="R440" s="1558"/>
      <c r="S440" s="1082"/>
      <c r="T440" s="1082"/>
      <c r="U440" s="478"/>
      <c r="V440" s="1082"/>
      <c r="W440" s="1082"/>
      <c r="X440" s="1082"/>
      <c r="Y440" s="1082"/>
      <c r="Z440" s="1082"/>
      <c r="AA440" s="1554"/>
      <c r="AB440" s="500"/>
      <c r="AC440" s="500"/>
      <c r="AD440" s="500"/>
      <c r="AE440" s="500"/>
      <c r="AF440" s="1563">
        <v>11</v>
      </c>
    </row>
    <row r="441" spans="1:32" s="1563" customFormat="1" ht="11.45" customHeight="1">
      <c r="A441" s="913"/>
      <c r="B441" s="1558"/>
      <c r="C441" s="1558"/>
      <c r="D441" s="285"/>
      <c r="K441" s="1082"/>
      <c r="L441" s="1558"/>
      <c r="M441" s="1558"/>
      <c r="N441" s="1082"/>
      <c r="O441" s="1082"/>
      <c r="P441" s="1082"/>
      <c r="Q441" s="1082"/>
      <c r="R441" s="1558"/>
      <c r="S441" s="1082"/>
      <c r="T441" s="1082"/>
      <c r="U441" s="478"/>
      <c r="V441" s="1082"/>
      <c r="W441" s="1082"/>
      <c r="X441" s="1082"/>
      <c r="Y441" s="1082"/>
      <c r="Z441" s="1082"/>
      <c r="AA441" s="1554"/>
      <c r="AB441" s="500"/>
      <c r="AC441" s="500"/>
      <c r="AD441" s="500"/>
      <c r="AE441" s="500"/>
      <c r="AF441" s="1563">
        <v>11</v>
      </c>
    </row>
    <row r="442" spans="1:32" s="1563" customFormat="1" ht="11.45" customHeight="1">
      <c r="A442" s="913"/>
      <c r="B442" s="1558"/>
      <c r="C442" s="1558"/>
      <c r="D442" s="285"/>
      <c r="K442" s="1082"/>
      <c r="L442" s="1558"/>
      <c r="M442" s="1558"/>
      <c r="N442" s="1082"/>
      <c r="O442" s="1082"/>
      <c r="P442" s="1082"/>
      <c r="Q442" s="1082"/>
      <c r="R442" s="1558"/>
      <c r="S442" s="1082"/>
      <c r="T442" s="1082"/>
      <c r="U442" s="478"/>
      <c r="V442" s="1082"/>
      <c r="W442" s="1082"/>
      <c r="X442" s="1082"/>
      <c r="Y442" s="1082"/>
      <c r="Z442" s="1082"/>
      <c r="AA442" s="1554"/>
      <c r="AB442" s="500"/>
      <c r="AC442" s="500"/>
      <c r="AD442" s="500"/>
      <c r="AE442" s="500"/>
      <c r="AF442" s="1563">
        <v>11</v>
      </c>
    </row>
    <row r="443" spans="1:32" s="1563" customFormat="1" ht="11.45" customHeight="1">
      <c r="A443" s="913"/>
      <c r="B443" s="1558"/>
      <c r="C443" s="1558"/>
      <c r="D443" s="285"/>
      <c r="K443" s="1082"/>
      <c r="L443" s="1558"/>
      <c r="M443" s="1558"/>
      <c r="N443" s="1082"/>
      <c r="O443" s="1082"/>
      <c r="P443" s="1082"/>
      <c r="Q443" s="1082"/>
      <c r="R443" s="1558"/>
      <c r="S443" s="1082"/>
      <c r="T443" s="1082"/>
      <c r="U443" s="478"/>
      <c r="V443" s="1082"/>
      <c r="W443" s="1082"/>
      <c r="X443" s="1082"/>
      <c r="Y443" s="1082"/>
      <c r="Z443" s="1082"/>
      <c r="AA443" s="1554"/>
      <c r="AB443" s="500"/>
      <c r="AC443" s="500"/>
      <c r="AD443" s="500"/>
      <c r="AE443" s="500"/>
      <c r="AF443" s="1563">
        <v>11</v>
      </c>
    </row>
    <row r="444" spans="1:32" s="1563" customFormat="1" ht="11.45" customHeight="1">
      <c r="A444" s="913"/>
      <c r="B444" s="1558"/>
      <c r="C444" s="1558"/>
      <c r="D444" s="285"/>
      <c r="K444" s="1082"/>
      <c r="L444" s="1558"/>
      <c r="M444" s="1558"/>
      <c r="N444" s="1082"/>
      <c r="O444" s="1082"/>
      <c r="P444" s="1082"/>
      <c r="Q444" s="1082"/>
      <c r="R444" s="1558"/>
      <c r="S444" s="1082"/>
      <c r="T444" s="1082"/>
      <c r="U444" s="478"/>
      <c r="V444" s="1082"/>
      <c r="W444" s="1082"/>
      <c r="X444" s="1082"/>
      <c r="Y444" s="1082"/>
      <c r="Z444" s="1082"/>
      <c r="AA444" s="1554"/>
      <c r="AB444" s="500"/>
      <c r="AC444" s="500"/>
      <c r="AD444" s="500"/>
      <c r="AE444" s="500"/>
      <c r="AF444" s="1563">
        <v>11</v>
      </c>
    </row>
    <row r="445" spans="1:32" s="1563" customFormat="1" ht="11.45" customHeight="1">
      <c r="A445" s="913"/>
      <c r="B445" s="1558"/>
      <c r="C445" s="1558"/>
      <c r="D445" s="285"/>
      <c r="K445" s="1082"/>
      <c r="L445" s="1558"/>
      <c r="M445" s="1558"/>
      <c r="N445" s="1082"/>
      <c r="O445" s="1082"/>
      <c r="P445" s="1082"/>
      <c r="Q445" s="1082"/>
      <c r="R445" s="1558"/>
      <c r="S445" s="1082"/>
      <c r="T445" s="1082"/>
      <c r="U445" s="478"/>
      <c r="V445" s="1082"/>
      <c r="W445" s="1082"/>
      <c r="X445" s="1082"/>
      <c r="Y445" s="1082"/>
      <c r="Z445" s="1082"/>
      <c r="AA445" s="1554"/>
      <c r="AB445" s="500"/>
      <c r="AC445" s="500"/>
      <c r="AD445" s="500"/>
      <c r="AE445" s="500"/>
      <c r="AF445" s="1563">
        <v>11</v>
      </c>
    </row>
    <row r="446" spans="1:32" s="1563" customFormat="1" ht="11.45" customHeight="1">
      <c r="A446" s="913"/>
      <c r="B446" s="1558"/>
      <c r="C446" s="1558"/>
      <c r="D446" s="285"/>
      <c r="K446" s="1082"/>
      <c r="L446" s="1558"/>
      <c r="M446" s="1558"/>
      <c r="N446" s="1082"/>
      <c r="O446" s="1082"/>
      <c r="P446" s="1082"/>
      <c r="Q446" s="1082"/>
      <c r="R446" s="1558"/>
      <c r="S446" s="1082"/>
      <c r="T446" s="1082"/>
      <c r="U446" s="478"/>
      <c r="V446" s="1082"/>
      <c r="W446" s="1082"/>
      <c r="X446" s="1082"/>
      <c r="Y446" s="1082"/>
      <c r="Z446" s="1082"/>
      <c r="AA446" s="1554"/>
      <c r="AB446" s="500"/>
      <c r="AC446" s="500"/>
      <c r="AD446" s="500"/>
      <c r="AE446" s="500"/>
      <c r="AF446" s="1563">
        <v>11</v>
      </c>
    </row>
    <row r="447" spans="1:32" s="1563" customFormat="1" ht="11.45" customHeight="1">
      <c r="A447" s="913"/>
      <c r="B447" s="1558"/>
      <c r="C447" s="1558"/>
      <c r="D447" s="285"/>
      <c r="K447" s="1082"/>
      <c r="L447" s="1558"/>
      <c r="M447" s="1558"/>
      <c r="N447" s="1082"/>
      <c r="O447" s="1082"/>
      <c r="P447" s="1082"/>
      <c r="Q447" s="1082"/>
      <c r="R447" s="1558"/>
      <c r="S447" s="1082"/>
      <c r="T447" s="1082"/>
      <c r="U447" s="478"/>
      <c r="V447" s="1082"/>
      <c r="W447" s="1082"/>
      <c r="X447" s="1082"/>
      <c r="Y447" s="1082"/>
      <c r="Z447" s="1082"/>
      <c r="AA447" s="1554"/>
      <c r="AB447" s="500"/>
      <c r="AC447" s="500"/>
      <c r="AD447" s="500"/>
      <c r="AE447" s="500"/>
      <c r="AF447" s="1563">
        <v>11</v>
      </c>
    </row>
    <row r="448" spans="1:32" s="1563" customFormat="1" ht="11.45" customHeight="1">
      <c r="A448" s="913"/>
      <c r="B448" s="1558"/>
      <c r="C448" s="1558"/>
      <c r="D448" s="285"/>
      <c r="K448" s="1082"/>
      <c r="L448" s="1558"/>
      <c r="M448" s="1558"/>
      <c r="N448" s="1082"/>
      <c r="O448" s="1082"/>
      <c r="P448" s="1082"/>
      <c r="Q448" s="1082"/>
      <c r="R448" s="1558"/>
      <c r="S448" s="1082"/>
      <c r="T448" s="1082"/>
      <c r="U448" s="478"/>
      <c r="V448" s="1082"/>
      <c r="W448" s="1082"/>
      <c r="X448" s="1082"/>
      <c r="Y448" s="1082"/>
      <c r="Z448" s="1082"/>
      <c r="AA448" s="1554"/>
      <c r="AB448" s="500"/>
      <c r="AC448" s="500"/>
      <c r="AD448" s="500"/>
      <c r="AE448" s="500"/>
      <c r="AF448" s="1563">
        <v>11</v>
      </c>
    </row>
    <row r="449" spans="1:32" s="1563" customFormat="1" ht="11.45" customHeight="1">
      <c r="A449" s="913"/>
      <c r="B449" s="1558"/>
      <c r="C449" s="1558"/>
      <c r="D449" s="285"/>
      <c r="K449" s="1082"/>
      <c r="L449" s="1558"/>
      <c r="M449" s="1558"/>
      <c r="N449" s="1082"/>
      <c r="O449" s="1082"/>
      <c r="P449" s="1082"/>
      <c r="Q449" s="1082"/>
      <c r="R449" s="1558"/>
      <c r="S449" s="1082"/>
      <c r="T449" s="1082"/>
      <c r="U449" s="478"/>
      <c r="V449" s="1082"/>
      <c r="W449" s="1082"/>
      <c r="X449" s="1082"/>
      <c r="Y449" s="1082"/>
      <c r="Z449" s="1082"/>
      <c r="AA449" s="1554"/>
      <c r="AB449" s="500"/>
      <c r="AC449" s="500"/>
      <c r="AD449" s="500"/>
      <c r="AE449" s="500"/>
      <c r="AF449" s="1563">
        <v>11</v>
      </c>
    </row>
    <row r="450" spans="1:32" s="1563" customFormat="1" ht="11.45" customHeight="1">
      <c r="A450" s="913"/>
      <c r="B450" s="1558"/>
      <c r="C450" s="1558"/>
      <c r="D450" s="285"/>
      <c r="K450" s="1082"/>
      <c r="L450" s="1558"/>
      <c r="M450" s="1558"/>
      <c r="N450" s="1082"/>
      <c r="O450" s="1082"/>
      <c r="P450" s="1082"/>
      <c r="Q450" s="1082"/>
      <c r="R450" s="1558"/>
      <c r="S450" s="1082"/>
      <c r="T450" s="1082"/>
      <c r="U450" s="478"/>
      <c r="V450" s="1082"/>
      <c r="W450" s="1082"/>
      <c r="X450" s="1082"/>
      <c r="Y450" s="1082"/>
      <c r="Z450" s="1082"/>
      <c r="AA450" s="1554"/>
      <c r="AB450" s="500"/>
      <c r="AC450" s="500"/>
      <c r="AD450" s="500"/>
      <c r="AE450" s="500"/>
      <c r="AF450" s="1563">
        <v>11</v>
      </c>
    </row>
    <row r="451" spans="1:32" s="1563" customFormat="1" ht="11.45" customHeight="1">
      <c r="A451" s="913"/>
      <c r="B451" s="1558"/>
      <c r="C451" s="1558"/>
      <c r="D451" s="285"/>
      <c r="K451" s="1082"/>
      <c r="L451" s="1558"/>
      <c r="M451" s="1558"/>
      <c r="N451" s="1082"/>
      <c r="O451" s="1082"/>
      <c r="P451" s="1082"/>
      <c r="Q451" s="1082"/>
      <c r="R451" s="1558"/>
      <c r="S451" s="1082"/>
      <c r="T451" s="1082"/>
      <c r="U451" s="478"/>
      <c r="V451" s="1082"/>
      <c r="W451" s="1082"/>
      <c r="X451" s="1082"/>
      <c r="Y451" s="1082"/>
      <c r="Z451" s="1082"/>
      <c r="AA451" s="1554"/>
      <c r="AB451" s="500"/>
      <c r="AC451" s="500"/>
      <c r="AD451" s="500"/>
      <c r="AE451" s="500"/>
      <c r="AF451" s="1563">
        <v>11</v>
      </c>
    </row>
    <row r="452" spans="1:32" s="1563" customFormat="1" ht="11.45" customHeight="1">
      <c r="A452" s="913"/>
      <c r="B452" s="1558"/>
      <c r="C452" s="1558"/>
      <c r="D452" s="285"/>
      <c r="K452" s="1082"/>
      <c r="L452" s="1558"/>
      <c r="M452" s="1558"/>
      <c r="N452" s="1082"/>
      <c r="O452" s="1082"/>
      <c r="P452" s="1082"/>
      <c r="Q452" s="1082"/>
      <c r="R452" s="1558"/>
      <c r="S452" s="1082"/>
      <c r="T452" s="1082"/>
      <c r="U452" s="478"/>
      <c r="V452" s="1082"/>
      <c r="W452" s="1082"/>
      <c r="X452" s="1082"/>
      <c r="Y452" s="1082"/>
      <c r="Z452" s="1082"/>
      <c r="AA452" s="1554"/>
      <c r="AB452" s="500"/>
      <c r="AC452" s="500"/>
      <c r="AD452" s="500"/>
      <c r="AE452" s="500"/>
      <c r="AF452" s="1563">
        <v>11</v>
      </c>
    </row>
    <row r="453" spans="1:32" s="1563" customFormat="1" ht="11.45" customHeight="1">
      <c r="A453" s="913"/>
      <c r="B453" s="1558"/>
      <c r="C453" s="1558"/>
      <c r="D453" s="285"/>
      <c r="K453" s="1082"/>
      <c r="L453" s="1558"/>
      <c r="M453" s="1558"/>
      <c r="N453" s="1082"/>
      <c r="O453" s="1082"/>
      <c r="P453" s="1082"/>
      <c r="Q453" s="1082"/>
      <c r="R453" s="1558"/>
      <c r="S453" s="1082"/>
      <c r="T453" s="1082"/>
      <c r="U453" s="478"/>
      <c r="V453" s="1082"/>
      <c r="W453" s="1082"/>
      <c r="X453" s="1082"/>
      <c r="Y453" s="1082"/>
      <c r="Z453" s="1082"/>
      <c r="AA453" s="1554"/>
      <c r="AB453" s="500"/>
      <c r="AC453" s="500"/>
      <c r="AD453" s="500"/>
      <c r="AE453" s="500"/>
      <c r="AF453" s="1563">
        <v>11</v>
      </c>
    </row>
    <row r="454" spans="1:32" s="1563" customFormat="1" ht="11.45" customHeight="1">
      <c r="A454" s="913"/>
      <c r="B454" s="1558"/>
      <c r="C454" s="1558"/>
      <c r="D454" s="285"/>
      <c r="K454" s="1082"/>
      <c r="L454" s="1558"/>
      <c r="M454" s="1558"/>
      <c r="N454" s="1082"/>
      <c r="O454" s="1082"/>
      <c r="P454" s="1082"/>
      <c r="Q454" s="1082"/>
      <c r="R454" s="1558"/>
      <c r="S454" s="1082"/>
      <c r="T454" s="1082"/>
      <c r="U454" s="478"/>
      <c r="V454" s="1082"/>
      <c r="W454" s="1082"/>
      <c r="X454" s="1082"/>
      <c r="Y454" s="1082"/>
      <c r="Z454" s="1082"/>
      <c r="AA454" s="1554"/>
      <c r="AB454" s="500"/>
      <c r="AC454" s="500"/>
      <c r="AD454" s="500"/>
      <c r="AE454" s="500"/>
      <c r="AF454" s="1563">
        <v>11</v>
      </c>
    </row>
    <row r="455" spans="1:32" s="1563" customFormat="1" ht="11.45" customHeight="1">
      <c r="A455" s="913"/>
      <c r="B455" s="1558"/>
      <c r="C455" s="1558"/>
      <c r="D455" s="285"/>
      <c r="K455" s="1082"/>
      <c r="L455" s="1558"/>
      <c r="M455" s="1558"/>
      <c r="N455" s="1082"/>
      <c r="O455" s="1082"/>
      <c r="P455" s="1082"/>
      <c r="Q455" s="1082"/>
      <c r="R455" s="1558"/>
      <c r="S455" s="1082"/>
      <c r="T455" s="1082"/>
      <c r="U455" s="478"/>
      <c r="V455" s="1082"/>
      <c r="W455" s="1082"/>
      <c r="X455" s="1082"/>
      <c r="Y455" s="1082"/>
      <c r="Z455" s="1082"/>
      <c r="AA455" s="1554"/>
      <c r="AB455" s="500"/>
      <c r="AC455" s="500"/>
      <c r="AD455" s="500"/>
      <c r="AE455" s="500"/>
      <c r="AF455" s="1563">
        <v>11</v>
      </c>
    </row>
    <row r="456" spans="1:32" s="1563" customFormat="1" ht="11.45" customHeight="1">
      <c r="A456" s="913"/>
      <c r="B456" s="1558"/>
      <c r="C456" s="1558"/>
      <c r="D456" s="285"/>
      <c r="K456" s="1082"/>
      <c r="L456" s="1558"/>
      <c r="M456" s="1558"/>
      <c r="N456" s="1082"/>
      <c r="O456" s="1082"/>
      <c r="P456" s="1082"/>
      <c r="Q456" s="1082"/>
      <c r="R456" s="1558"/>
      <c r="S456" s="1082"/>
      <c r="T456" s="1082"/>
      <c r="U456" s="478"/>
      <c r="V456" s="1082"/>
      <c r="W456" s="1082"/>
      <c r="X456" s="1082"/>
      <c r="Y456" s="1082"/>
      <c r="Z456" s="1082"/>
      <c r="AA456" s="1554"/>
      <c r="AB456" s="500"/>
      <c r="AC456" s="500"/>
      <c r="AD456" s="500"/>
      <c r="AE456" s="500"/>
      <c r="AF456" s="1563">
        <v>11</v>
      </c>
    </row>
    <row r="457" spans="1:32" s="1563" customFormat="1" ht="11.45" customHeight="1">
      <c r="A457" s="913"/>
      <c r="B457" s="1558"/>
      <c r="C457" s="1558"/>
      <c r="D457" s="285"/>
      <c r="K457" s="1082"/>
      <c r="L457" s="1558"/>
      <c r="M457" s="1558"/>
      <c r="N457" s="1082"/>
      <c r="O457" s="1082"/>
      <c r="P457" s="1082"/>
      <c r="Q457" s="1082"/>
      <c r="R457" s="1558"/>
      <c r="S457" s="1082"/>
      <c r="T457" s="1082"/>
      <c r="U457" s="478"/>
      <c r="V457" s="1082"/>
      <c r="W457" s="1082"/>
      <c r="X457" s="1082"/>
      <c r="Y457" s="1082"/>
      <c r="Z457" s="1082"/>
      <c r="AA457" s="1554"/>
      <c r="AB457" s="500"/>
      <c r="AC457" s="500"/>
      <c r="AD457" s="500"/>
      <c r="AE457" s="500"/>
      <c r="AF457" s="1563">
        <v>11</v>
      </c>
    </row>
    <row r="458" spans="1:32" s="1563" customFormat="1" ht="11.45" customHeight="1">
      <c r="A458" s="913"/>
      <c r="B458" s="1558"/>
      <c r="C458" s="1558"/>
      <c r="D458" s="285"/>
      <c r="K458" s="1082"/>
      <c r="L458" s="1558"/>
      <c r="M458" s="1558"/>
      <c r="N458" s="1082"/>
      <c r="O458" s="1082"/>
      <c r="P458" s="1082"/>
      <c r="Q458" s="1082"/>
      <c r="R458" s="1558"/>
      <c r="S458" s="1082"/>
      <c r="T458" s="1082"/>
      <c r="U458" s="478"/>
      <c r="V458" s="1082"/>
      <c r="W458" s="1082"/>
      <c r="X458" s="1082"/>
      <c r="Y458" s="1082"/>
      <c r="Z458" s="1082"/>
      <c r="AA458" s="1554"/>
      <c r="AB458" s="500"/>
      <c r="AC458" s="500"/>
      <c r="AD458" s="500"/>
      <c r="AE458" s="500"/>
      <c r="AF458" s="1563">
        <v>11</v>
      </c>
    </row>
    <row r="459" spans="1:32" s="1563" customFormat="1" ht="11.45" customHeight="1">
      <c r="A459" s="913"/>
      <c r="B459" s="1558"/>
      <c r="C459" s="1558"/>
      <c r="D459" s="285"/>
      <c r="K459" s="1082"/>
      <c r="L459" s="1558"/>
      <c r="M459" s="1558"/>
      <c r="N459" s="1082"/>
      <c r="O459" s="1082"/>
      <c r="P459" s="1082"/>
      <c r="Q459" s="1082"/>
      <c r="R459" s="1558"/>
      <c r="S459" s="1082"/>
      <c r="T459" s="1082"/>
      <c r="U459" s="478"/>
      <c r="V459" s="1082"/>
      <c r="W459" s="1082"/>
      <c r="X459" s="1082"/>
      <c r="Y459" s="1082"/>
      <c r="Z459" s="1082"/>
      <c r="AA459" s="1554"/>
      <c r="AB459" s="500"/>
      <c r="AC459" s="500"/>
      <c r="AD459" s="500"/>
      <c r="AE459" s="500"/>
      <c r="AF459" s="1563">
        <v>11</v>
      </c>
    </row>
    <row r="460" spans="1:32" s="1563" customFormat="1" ht="11.45" customHeight="1">
      <c r="A460" s="913"/>
      <c r="B460" s="1558"/>
      <c r="C460" s="1558"/>
      <c r="D460" s="285"/>
      <c r="K460" s="1082"/>
      <c r="L460" s="1558"/>
      <c r="M460" s="1558"/>
      <c r="N460" s="1082"/>
      <c r="O460" s="1082"/>
      <c r="P460" s="1082"/>
      <c r="Q460" s="1082"/>
      <c r="R460" s="1558"/>
      <c r="S460" s="1082"/>
      <c r="T460" s="1082"/>
      <c r="U460" s="478"/>
      <c r="V460" s="1082"/>
      <c r="W460" s="1082"/>
      <c r="X460" s="1082"/>
      <c r="Y460" s="1082"/>
      <c r="Z460" s="1082"/>
      <c r="AA460" s="1554"/>
      <c r="AB460" s="500"/>
      <c r="AC460" s="500"/>
      <c r="AD460" s="500"/>
      <c r="AE460" s="500"/>
      <c r="AF460" s="1563">
        <v>11</v>
      </c>
    </row>
    <row r="461" spans="1:32" s="1563" customFormat="1" ht="11.45" customHeight="1">
      <c r="A461" s="913"/>
      <c r="B461" s="1558"/>
      <c r="C461" s="1558"/>
      <c r="D461" s="285"/>
      <c r="K461" s="1082"/>
      <c r="L461" s="1558"/>
      <c r="M461" s="1558"/>
      <c r="N461" s="1082"/>
      <c r="O461" s="1082"/>
      <c r="P461" s="1082"/>
      <c r="Q461" s="1082"/>
      <c r="R461" s="1558"/>
      <c r="S461" s="1082"/>
      <c r="T461" s="1082"/>
      <c r="U461" s="478"/>
      <c r="V461" s="1082"/>
      <c r="W461" s="1082"/>
      <c r="X461" s="1082"/>
      <c r="Y461" s="1082"/>
      <c r="Z461" s="1082"/>
      <c r="AA461" s="1554"/>
      <c r="AB461" s="500"/>
      <c r="AC461" s="500"/>
      <c r="AD461" s="500"/>
      <c r="AE461" s="500"/>
      <c r="AF461" s="1563">
        <v>11</v>
      </c>
    </row>
    <row r="462" spans="1:32" s="1563" customFormat="1" ht="11.45" customHeight="1">
      <c r="A462" s="913"/>
      <c r="B462" s="1558"/>
      <c r="C462" s="1558"/>
      <c r="D462" s="285"/>
      <c r="K462" s="1082"/>
      <c r="L462" s="1558"/>
      <c r="M462" s="1558"/>
      <c r="N462" s="1082"/>
      <c r="O462" s="1082"/>
      <c r="P462" s="1082"/>
      <c r="Q462" s="1082"/>
      <c r="R462" s="1558"/>
      <c r="S462" s="1082"/>
      <c r="T462" s="1082"/>
      <c r="U462" s="478"/>
      <c r="V462" s="1082"/>
      <c r="W462" s="1082"/>
      <c r="X462" s="1082"/>
      <c r="Y462" s="1082"/>
      <c r="Z462" s="1082"/>
      <c r="AA462" s="1554"/>
      <c r="AB462" s="500"/>
      <c r="AC462" s="500"/>
      <c r="AD462" s="500"/>
      <c r="AE462" s="500"/>
      <c r="AF462" s="1563">
        <v>11</v>
      </c>
    </row>
    <row r="463" spans="1:32" s="1563" customFormat="1" ht="11.45" customHeight="1">
      <c r="A463" s="913"/>
      <c r="B463" s="1558"/>
      <c r="C463" s="1558"/>
      <c r="D463" s="285"/>
      <c r="K463" s="1082"/>
      <c r="L463" s="1558"/>
      <c r="M463" s="1558"/>
      <c r="N463" s="1082"/>
      <c r="O463" s="1082"/>
      <c r="P463" s="1082"/>
      <c r="Q463" s="1082"/>
      <c r="R463" s="1558"/>
      <c r="S463" s="1082"/>
      <c r="T463" s="1082"/>
      <c r="U463" s="478"/>
      <c r="V463" s="1082"/>
      <c r="W463" s="1082"/>
      <c r="X463" s="1082"/>
      <c r="Y463" s="1082"/>
      <c r="Z463" s="1082"/>
      <c r="AA463" s="1554"/>
      <c r="AB463" s="500"/>
      <c r="AC463" s="500"/>
      <c r="AD463" s="500"/>
      <c r="AE463" s="500"/>
      <c r="AF463" s="1563">
        <v>11</v>
      </c>
    </row>
    <row r="464" spans="1:32" s="1563" customFormat="1" ht="11.45" customHeight="1">
      <c r="A464" s="913"/>
      <c r="B464" s="1558"/>
      <c r="C464" s="1558"/>
      <c r="D464" s="285"/>
      <c r="K464" s="1082"/>
      <c r="L464" s="1558"/>
      <c r="M464" s="1558"/>
      <c r="N464" s="1082"/>
      <c r="O464" s="1082"/>
      <c r="P464" s="1082"/>
      <c r="Q464" s="1082"/>
      <c r="R464" s="1558"/>
      <c r="S464" s="1082"/>
      <c r="T464" s="1082"/>
      <c r="U464" s="478"/>
      <c r="V464" s="1082"/>
      <c r="W464" s="1082"/>
      <c r="X464" s="1082"/>
      <c r="Y464" s="1082"/>
      <c r="Z464" s="1082"/>
      <c r="AA464" s="1554"/>
      <c r="AB464" s="500"/>
      <c r="AC464" s="500"/>
      <c r="AD464" s="500"/>
      <c r="AE464" s="500"/>
      <c r="AF464" s="1563">
        <v>11</v>
      </c>
    </row>
    <row r="465" spans="1:32" s="1563" customFormat="1" ht="11.45" customHeight="1">
      <c r="A465" s="913"/>
      <c r="B465" s="1558"/>
      <c r="C465" s="1558"/>
      <c r="D465" s="285"/>
      <c r="K465" s="1082"/>
      <c r="L465" s="1558"/>
      <c r="M465" s="1558"/>
      <c r="N465" s="1082"/>
      <c r="O465" s="1082"/>
      <c r="P465" s="1082"/>
      <c r="Q465" s="1082"/>
      <c r="R465" s="1558"/>
      <c r="S465" s="1082"/>
      <c r="T465" s="1082"/>
      <c r="U465" s="478"/>
      <c r="V465" s="1082"/>
      <c r="W465" s="1082"/>
      <c r="X465" s="1082"/>
      <c r="Y465" s="1082"/>
      <c r="Z465" s="1082"/>
      <c r="AA465" s="1554"/>
      <c r="AB465" s="500"/>
      <c r="AC465" s="500"/>
      <c r="AD465" s="500"/>
      <c r="AE465" s="500"/>
      <c r="AF465" s="1563">
        <v>11</v>
      </c>
    </row>
    <row r="466" spans="1:32" s="1563" customFormat="1" ht="11.45" customHeight="1">
      <c r="A466" s="913"/>
      <c r="B466" s="1558"/>
      <c r="C466" s="1558"/>
      <c r="D466" s="285"/>
      <c r="K466" s="1082"/>
      <c r="L466" s="1558"/>
      <c r="M466" s="1558"/>
      <c r="N466" s="1082"/>
      <c r="O466" s="1082"/>
      <c r="P466" s="1082"/>
      <c r="Q466" s="1082"/>
      <c r="R466" s="1558"/>
      <c r="S466" s="1082"/>
      <c r="T466" s="1082"/>
      <c r="U466" s="478"/>
      <c r="V466" s="1082"/>
      <c r="W466" s="1082"/>
      <c r="X466" s="1082"/>
      <c r="Y466" s="1082"/>
      <c r="Z466" s="1082"/>
      <c r="AA466" s="1554"/>
      <c r="AB466" s="500"/>
      <c r="AC466" s="500"/>
      <c r="AD466" s="500"/>
      <c r="AE466" s="500"/>
      <c r="AF466" s="1563">
        <v>11</v>
      </c>
    </row>
    <row r="467" spans="1:32" s="1563" customFormat="1" ht="11.45" customHeight="1">
      <c r="A467" s="913"/>
      <c r="B467" s="1558"/>
      <c r="C467" s="1558"/>
      <c r="D467" s="285"/>
      <c r="K467" s="1082"/>
      <c r="L467" s="1558"/>
      <c r="M467" s="1558"/>
      <c r="N467" s="1082"/>
      <c r="O467" s="1082"/>
      <c r="P467" s="1082"/>
      <c r="Q467" s="1082"/>
      <c r="R467" s="1558"/>
      <c r="S467" s="1082"/>
      <c r="T467" s="1082"/>
      <c r="U467" s="478"/>
      <c r="V467" s="1082"/>
      <c r="W467" s="1082"/>
      <c r="X467" s="1082"/>
      <c r="Y467" s="1082"/>
      <c r="Z467" s="1082"/>
      <c r="AA467" s="1554"/>
      <c r="AB467" s="500"/>
      <c r="AC467" s="500"/>
      <c r="AD467" s="500"/>
      <c r="AE467" s="500"/>
      <c r="AF467" s="1563">
        <v>11</v>
      </c>
    </row>
    <row r="468" spans="1:32" s="1563" customFormat="1" ht="11.45" customHeight="1">
      <c r="A468" s="913"/>
      <c r="B468" s="1558"/>
      <c r="C468" s="1558"/>
      <c r="D468" s="285"/>
      <c r="K468" s="1082"/>
      <c r="L468" s="1558"/>
      <c r="M468" s="1558"/>
      <c r="N468" s="1082"/>
      <c r="O468" s="1082"/>
      <c r="P468" s="1082"/>
      <c r="Q468" s="1082"/>
      <c r="R468" s="1558"/>
      <c r="S468" s="1082"/>
      <c r="T468" s="1082"/>
      <c r="U468" s="478"/>
      <c r="V468" s="1082"/>
      <c r="W468" s="1082"/>
      <c r="X468" s="1082"/>
      <c r="Y468" s="1082"/>
      <c r="Z468" s="1082"/>
      <c r="AA468" s="1554"/>
      <c r="AB468" s="500"/>
      <c r="AC468" s="500"/>
      <c r="AD468" s="500"/>
      <c r="AE468" s="500"/>
      <c r="AF468" s="1563">
        <v>11</v>
      </c>
    </row>
    <row r="469" spans="1:32" ht="11.45" customHeight="1">
      <c r="AF469" s="1553">
        <v>11</v>
      </c>
    </row>
    <row r="470" spans="1:32" ht="11.45" customHeight="1">
      <c r="AF470" s="1553">
        <v>11</v>
      </c>
    </row>
    <row r="471" spans="1:32" ht="11.45" customHeight="1">
      <c r="AF471" s="1553">
        <v>11</v>
      </c>
    </row>
    <row r="472" spans="1:32" ht="11.45" customHeight="1">
      <c r="A472" s="916"/>
      <c r="B472" s="1553"/>
      <c r="D472" s="1553"/>
      <c r="K472" s="1553"/>
      <c r="N472" s="1553"/>
      <c r="O472" s="1553"/>
      <c r="P472" s="1553"/>
      <c r="Q472" s="1553"/>
      <c r="S472" s="1553"/>
      <c r="T472" s="1553"/>
      <c r="U472" s="1553"/>
      <c r="V472" s="1553"/>
      <c r="W472" s="1553"/>
      <c r="X472" s="1553"/>
      <c r="Y472" s="1553"/>
      <c r="Z472" s="1553"/>
      <c r="AA472" s="1553"/>
      <c r="AB472" s="1553"/>
      <c r="AC472" s="1553"/>
      <c r="AD472" s="1553"/>
      <c r="AE472" s="1553"/>
      <c r="AF472" s="1553">
        <v>11</v>
      </c>
    </row>
    <row r="473" spans="1:32" ht="11.45" customHeight="1">
      <c r="A473" s="916"/>
      <c r="B473" s="1553"/>
      <c r="D473" s="1553"/>
      <c r="K473" s="1553"/>
      <c r="N473" s="1553"/>
      <c r="O473" s="1553"/>
      <c r="P473" s="1553"/>
      <c r="Q473" s="1553"/>
      <c r="S473" s="1553"/>
      <c r="T473" s="1553"/>
      <c r="U473" s="1553"/>
      <c r="V473" s="1553"/>
      <c r="W473" s="1553"/>
      <c r="X473" s="1553"/>
      <c r="Y473" s="1553"/>
      <c r="Z473" s="1553"/>
      <c r="AA473" s="1553"/>
      <c r="AB473" s="1553"/>
      <c r="AC473" s="1553"/>
      <c r="AD473" s="1553"/>
      <c r="AE473" s="1553"/>
      <c r="AF473" s="1553">
        <v>11</v>
      </c>
    </row>
    <row r="474" spans="1:32" ht="11.45" customHeight="1">
      <c r="A474" s="916"/>
      <c r="B474" s="1553"/>
      <c r="D474" s="1553"/>
      <c r="K474" s="1553"/>
      <c r="N474" s="1553"/>
      <c r="O474" s="1553"/>
      <c r="P474" s="1553"/>
      <c r="Q474" s="1553"/>
      <c r="S474" s="1553"/>
      <c r="T474" s="1553"/>
      <c r="U474" s="1553"/>
      <c r="V474" s="1553"/>
      <c r="W474" s="1553"/>
      <c r="X474" s="1553"/>
      <c r="Y474" s="1553"/>
      <c r="Z474" s="1553"/>
      <c r="AA474" s="1553"/>
      <c r="AB474" s="1553"/>
      <c r="AC474" s="1553"/>
      <c r="AD474" s="1553"/>
      <c r="AE474" s="1553"/>
      <c r="AF474" s="1553">
        <v>11</v>
      </c>
    </row>
    <row r="475" spans="1:32" ht="11.45" customHeight="1">
      <c r="A475" s="916"/>
      <c r="B475" s="1553"/>
      <c r="D475" s="1553"/>
      <c r="K475" s="1553"/>
      <c r="N475" s="1553"/>
      <c r="O475" s="1553"/>
      <c r="P475" s="1553"/>
      <c r="Q475" s="1553"/>
      <c r="S475" s="1553"/>
      <c r="T475" s="1553"/>
      <c r="U475" s="1553"/>
      <c r="V475" s="1553"/>
      <c r="W475" s="1553"/>
      <c r="X475" s="1553"/>
      <c r="Y475" s="1553"/>
      <c r="Z475" s="1553"/>
      <c r="AA475" s="1553"/>
      <c r="AB475" s="1553"/>
      <c r="AC475" s="1553"/>
      <c r="AD475" s="1553"/>
      <c r="AE475" s="1553"/>
      <c r="AF475" s="1553">
        <v>11</v>
      </c>
    </row>
    <row r="476" spans="1:32" ht="11.45" customHeight="1">
      <c r="A476" s="916"/>
      <c r="B476" s="1553"/>
      <c r="D476" s="1553"/>
      <c r="K476" s="1553"/>
      <c r="N476" s="1553"/>
      <c r="O476" s="1553"/>
      <c r="P476" s="1553"/>
      <c r="Q476" s="1553"/>
      <c r="S476" s="1553"/>
      <c r="T476" s="1553"/>
      <c r="U476" s="1553"/>
      <c r="V476" s="1553"/>
      <c r="W476" s="1553"/>
      <c r="X476" s="1553"/>
      <c r="Y476" s="1553"/>
      <c r="Z476" s="1553"/>
      <c r="AA476" s="1553"/>
      <c r="AB476" s="1553"/>
      <c r="AC476" s="1553"/>
      <c r="AD476" s="1553"/>
      <c r="AE476" s="1553"/>
      <c r="AF476" s="1553">
        <v>11</v>
      </c>
    </row>
    <row r="477" spans="1:32" ht="11.45" customHeight="1">
      <c r="A477" s="916"/>
      <c r="B477" s="1553"/>
      <c r="D477" s="1553"/>
      <c r="K477" s="1553"/>
      <c r="N477" s="1553"/>
      <c r="O477" s="1553"/>
      <c r="P477" s="1553"/>
      <c r="Q477" s="1553"/>
      <c r="S477" s="1553"/>
      <c r="T477" s="1553"/>
      <c r="U477" s="1553"/>
      <c r="V477" s="1553"/>
      <c r="W477" s="1553"/>
      <c r="X477" s="1553"/>
      <c r="Y477" s="1553"/>
      <c r="Z477" s="1553"/>
      <c r="AA477" s="1553"/>
      <c r="AB477" s="1553"/>
      <c r="AC477" s="1553"/>
      <c r="AD477" s="1553"/>
      <c r="AE477" s="1553"/>
      <c r="AF477" s="1553">
        <v>11</v>
      </c>
    </row>
    <row r="478" spans="1:32" ht="11.45" customHeight="1">
      <c r="A478" s="916"/>
      <c r="B478" s="1553"/>
      <c r="D478" s="1553"/>
      <c r="K478" s="1553"/>
      <c r="N478" s="1553"/>
      <c r="O478" s="1553"/>
      <c r="P478" s="1553"/>
      <c r="Q478" s="1553"/>
      <c r="S478" s="1553"/>
      <c r="T478" s="1553"/>
      <c r="U478" s="1553"/>
      <c r="V478" s="1553"/>
      <c r="W478" s="1553"/>
      <c r="X478" s="1553"/>
      <c r="Y478" s="1553"/>
      <c r="Z478" s="1553"/>
      <c r="AA478" s="1553"/>
      <c r="AB478" s="1553"/>
      <c r="AC478" s="1553"/>
      <c r="AD478" s="1553"/>
      <c r="AE478" s="1553"/>
      <c r="AF478" s="1553">
        <v>11</v>
      </c>
    </row>
    <row r="479" spans="1:32" ht="11.45" customHeight="1">
      <c r="A479" s="916"/>
      <c r="B479" s="1553"/>
      <c r="D479" s="1553"/>
      <c r="K479" s="1553"/>
      <c r="N479" s="1553"/>
      <c r="O479" s="1553"/>
      <c r="P479" s="1553"/>
      <c r="Q479" s="1553"/>
      <c r="S479" s="1553"/>
      <c r="T479" s="1553"/>
      <c r="U479" s="1553"/>
      <c r="V479" s="1553"/>
      <c r="W479" s="1553"/>
      <c r="X479" s="1553"/>
      <c r="Y479" s="1553"/>
      <c r="Z479" s="1553"/>
      <c r="AA479" s="1553"/>
      <c r="AB479" s="1553"/>
      <c r="AC479" s="1553"/>
      <c r="AD479" s="1553"/>
      <c r="AE479" s="1553"/>
      <c r="AF479" s="1553">
        <v>11</v>
      </c>
    </row>
    <row r="480" spans="1:32" ht="11.45" customHeight="1">
      <c r="A480" s="916"/>
      <c r="B480" s="1553"/>
      <c r="D480" s="1553"/>
      <c r="K480" s="1553"/>
      <c r="N480" s="1553"/>
      <c r="O480" s="1553"/>
      <c r="P480" s="1553"/>
      <c r="Q480" s="1553"/>
      <c r="S480" s="1553"/>
      <c r="T480" s="1553"/>
      <c r="U480" s="1553"/>
      <c r="V480" s="1553"/>
      <c r="W480" s="1553"/>
      <c r="X480" s="1553"/>
      <c r="Y480" s="1553"/>
      <c r="Z480" s="1553"/>
      <c r="AA480" s="1553"/>
      <c r="AB480" s="1553"/>
      <c r="AC480" s="1553"/>
      <c r="AD480" s="1553"/>
      <c r="AE480" s="1553"/>
      <c r="AF480" s="1553">
        <v>11</v>
      </c>
    </row>
    <row r="481" spans="1:32" ht="11.45" customHeight="1">
      <c r="A481" s="916"/>
      <c r="B481" s="1553"/>
      <c r="D481" s="1553"/>
      <c r="K481" s="1553"/>
      <c r="N481" s="1553"/>
      <c r="O481" s="1553"/>
      <c r="P481" s="1553"/>
      <c r="Q481" s="1553"/>
      <c r="S481" s="1553"/>
      <c r="T481" s="1553"/>
      <c r="U481" s="1553"/>
      <c r="V481" s="1553"/>
      <c r="W481" s="1553"/>
      <c r="X481" s="1553"/>
      <c r="Y481" s="1553"/>
      <c r="Z481" s="1553"/>
      <c r="AA481" s="1553"/>
      <c r="AB481" s="1553"/>
      <c r="AC481" s="1553"/>
      <c r="AD481" s="1553"/>
      <c r="AE481" s="1553"/>
      <c r="AF481" s="1553">
        <v>11</v>
      </c>
    </row>
    <row r="482" spans="1:32" ht="11.45" customHeight="1">
      <c r="A482" s="916"/>
      <c r="B482" s="1553"/>
      <c r="D482" s="1553"/>
      <c r="K482" s="1553"/>
      <c r="N482" s="1553"/>
      <c r="O482" s="1553"/>
      <c r="P482" s="1553"/>
      <c r="Q482" s="1553"/>
      <c r="S482" s="1553"/>
      <c r="T482" s="1553"/>
      <c r="U482" s="1553"/>
      <c r="V482" s="1553"/>
      <c r="W482" s="1553"/>
      <c r="X482" s="1553"/>
      <c r="Y482" s="1553"/>
      <c r="Z482" s="1553"/>
      <c r="AA482" s="1553"/>
      <c r="AB482" s="1553"/>
      <c r="AC482" s="1553"/>
      <c r="AD482" s="1553"/>
      <c r="AE482" s="1553"/>
      <c r="AF482" s="1553">
        <v>11</v>
      </c>
    </row>
    <row r="483" spans="1:32" ht="11.25" hidden="1" customHeight="1">
      <c r="A483" s="913" t="s">
        <v>70</v>
      </c>
      <c r="B483" s="1082">
        <v>0</v>
      </c>
      <c r="C483" s="1558">
        <v>0</v>
      </c>
      <c r="D483" s="1557">
        <v>3</v>
      </c>
      <c r="E483" s="1553">
        <v>7</v>
      </c>
      <c r="F483" s="1553">
        <v>54</v>
      </c>
      <c r="G483" s="1553">
        <v>10</v>
      </c>
      <c r="H483" s="1553">
        <v>0</v>
      </c>
      <c r="I483" s="1553">
        <v>40</v>
      </c>
      <c r="J483" s="1553">
        <v>102</v>
      </c>
      <c r="K483" s="1082">
        <v>9</v>
      </c>
      <c r="L483" s="1558">
        <v>5</v>
      </c>
      <c r="M483" s="1558">
        <v>3</v>
      </c>
      <c r="N483" s="1082">
        <v>3</v>
      </c>
      <c r="O483" s="1082">
        <v>3</v>
      </c>
      <c r="P483" s="1082">
        <v>3</v>
      </c>
      <c r="Q483" s="1082">
        <v>3</v>
      </c>
      <c r="R483" s="1558">
        <v>10</v>
      </c>
      <c r="S483" s="1082">
        <v>34</v>
      </c>
      <c r="T483" s="1082">
        <v>9</v>
      </c>
      <c r="U483" s="478">
        <v>8</v>
      </c>
      <c r="V483" s="1082">
        <v>8</v>
      </c>
      <c r="W483" s="1082">
        <v>8</v>
      </c>
      <c r="X483" s="1082">
        <v>8</v>
      </c>
      <c r="Y483" s="1082">
        <v>8</v>
      </c>
      <c r="Z483" s="1082">
        <v>8</v>
      </c>
      <c r="AA483" s="1554">
        <v>8</v>
      </c>
      <c r="AB483" s="1554">
        <v>8</v>
      </c>
      <c r="AC483" s="1554">
        <v>8</v>
      </c>
      <c r="AD483" s="1554">
        <v>8</v>
      </c>
      <c r="AE483" s="1554">
        <v>8</v>
      </c>
      <c r="AF483" s="1553">
        <v>11</v>
      </c>
    </row>
  </sheetData>
  <sheetProtection formatColumns="0" formatRows="0" insertRows="0" deleteColumns="0" deleteRows="0" sort="0" autoFilter="0"/>
  <mergeCells count="20">
    <mergeCell ref="A300:A310"/>
    <mergeCell ref="E21:I21"/>
    <mergeCell ref="E22:I22"/>
    <mergeCell ref="A33:A52"/>
    <mergeCell ref="B34:B39"/>
    <mergeCell ref="A53:A55"/>
    <mergeCell ref="A79:A80"/>
    <mergeCell ref="A99:A107"/>
    <mergeCell ref="A108:A112"/>
    <mergeCell ref="A113:A115"/>
    <mergeCell ref="A116:A291"/>
    <mergeCell ref="A295:A299"/>
    <mergeCell ref="B40:B45"/>
    <mergeCell ref="B46:B51"/>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80:I80 H78:I78"/>
    <dataValidation type="decimal" allowBlank="1" showErrorMessage="1" errorTitle="Ошибка" error="Введите значение от 0 до 100%" sqref="H107:I107 H112:I112">
      <formula1>0</formula1>
      <formula2>100</formula2>
    </dataValidation>
    <dataValidation type="decimal" allowBlank="1" showErrorMessage="1" errorTitle="Ошибка" error="Допускается ввод только действительных чисел!" sqref="H303:I303 H300:I300 H306:I306 H92:I97 H284:I284">
      <formula1>-9.99999999999999E+37</formula1>
      <formula2>9.99999999999999E+37</formula2>
    </dataValidation>
    <dataValidation type="decimal" allowBlank="1" showErrorMessage="1" errorTitle="Ошибка" error="Допускается ввод только действительных чисел!" sqref="H89:I9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08:I310 H98:I98">
      <formula1>900</formula1>
    </dataValidation>
    <dataValidation type="list" allowBlank="1" showInputMessage="1" showErrorMessage="1" errorTitle="Ошибка" error="Выберите значение из списка" prompt="Выберите значение из списка" sqref="G110">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79:I79 H81:I81 H108:I111 H307:I307 H30:I30 H32:I33 H35:I38 H52:I77 H99:I103 H17:I17 H9:I13 H15:I15 H4:I6 H91:I91 H105:I106 H113:I283 H285:I299 H42 I42 H43 I43 H44 I44 H48 I48 H49 I49 H50 I50 H83:H87 I83:I87">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G48">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82 H82">
      <formula1>900</formula1>
    </dataValidation>
    <dataValidation type="list" allowBlank="1" showInputMessage="1" showErrorMessage="1" errorTitle="Ошибка" error="Выберите значение из списка" prompt="Выберите значение из списка" sqref="H7:I7 H45 H51 I45 I51">
      <formula1>kind_of_purchase_method</formula1>
    </dataValidation>
  </dataValidations>
  <hyperlinks>
    <hyperlink ref="I98" r:id="rId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0" hidden="1" customWidth="1"/>
    <col min="2" max="2" width="17" style="1554" hidden="1" customWidth="1"/>
    <col min="3" max="3" width="3" style="1557" customWidth="1"/>
    <col min="4" max="4" width="1.85546875" style="1557" hidden="1" customWidth="1"/>
    <col min="5" max="6" width="7" style="1557" customWidth="1"/>
    <col min="7" max="7" width="29" style="1557" customWidth="1"/>
    <col min="8" max="8" width="3.7109375" style="1557" customWidth="1"/>
    <col min="9" max="9" width="5" style="1557" customWidth="1"/>
    <col min="10" max="11" width="24" style="1557" customWidth="1"/>
    <col min="12" max="12" width="3" style="1557" customWidth="1"/>
    <col min="13" max="13" width="6" style="1557" customWidth="1"/>
    <col min="14" max="14" width="25" style="1557" customWidth="1"/>
    <col min="15" max="18" width="18" style="1557" customWidth="1"/>
    <col min="19" max="19" width="93" style="1557" customWidth="1"/>
    <col min="20" max="20" width="10" style="1557" customWidth="1"/>
    <col min="21" max="21" width="10" style="1564" customWidth="1"/>
    <col min="22" max="22" width="11" style="1564" customWidth="1"/>
    <col min="23" max="27" width="10" style="1554" customWidth="1"/>
    <col min="28" max="83" width="8" style="1557" customWidth="1"/>
    <col min="84" max="84" width="9.140625" style="1557" hidden="1"/>
  </cols>
  <sheetData>
    <row r="1" spans="1:84" ht="22.5" hidden="1" customHeight="1">
      <c r="CF1" s="439" t="s">
        <v>1</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83"/>
      <c r="E5" s="3721" t="str">
        <f>FHD20_NAME_FORM</f>
        <v>Форма 11. Информация о расходах на капитальный и текущий ремонт основных средств</v>
      </c>
      <c r="F5" s="3721"/>
      <c r="G5" s="3721"/>
      <c r="H5" s="3721"/>
      <c r="I5" s="3721"/>
      <c r="J5" s="3721"/>
      <c r="K5" s="3721"/>
      <c r="L5" s="547"/>
      <c r="M5" s="547"/>
      <c r="CF5" s="439">
        <v>28</v>
      </c>
    </row>
    <row r="6" spans="1:84" s="1557" customFormat="1" ht="16.899999999999999" customHeight="1">
      <c r="A6" s="544"/>
      <c r="B6" s="691"/>
      <c r="C6" s="443"/>
      <c r="D6" s="984"/>
      <c r="E6" s="3667" t="str">
        <f>IF(org=0,"Не определено",org)</f>
        <v>ООО "Смоленскрегионтеплоэнерго"</v>
      </c>
      <c r="F6" s="3667"/>
      <c r="G6" s="3667"/>
      <c r="H6" s="3667"/>
      <c r="I6" s="3667"/>
      <c r="J6" s="3667"/>
      <c r="K6" s="3667"/>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1563" customFormat="1" ht="4.1500000000000004" customHeight="1">
      <c r="A8" s="555"/>
      <c r="B8" s="500"/>
      <c r="C8" s="285"/>
      <c r="D8" s="285"/>
      <c r="E8" s="285"/>
      <c r="F8" s="285"/>
      <c r="G8" s="901"/>
      <c r="H8" s="901"/>
      <c r="I8" s="901"/>
      <c r="J8" s="901"/>
      <c r="K8" s="944"/>
      <c r="L8" s="944"/>
      <c r="M8" s="944"/>
      <c r="R8" s="945"/>
      <c r="U8" s="545"/>
      <c r="V8" s="545"/>
      <c r="W8" s="556"/>
      <c r="X8" s="500"/>
      <c r="Y8" s="500"/>
      <c r="Z8" s="500"/>
      <c r="AA8" s="500"/>
      <c r="CF8" s="430">
        <v>4</v>
      </c>
    </row>
    <row r="9" spans="1:84" ht="19.899999999999999" customHeight="1">
      <c r="D9" s="224"/>
      <c r="E9" s="3589" t="s">
        <v>345</v>
      </c>
      <c r="F9" s="3595"/>
      <c r="G9" s="3595"/>
      <c r="H9" s="3595"/>
      <c r="I9" s="3595"/>
      <c r="J9" s="3595"/>
      <c r="K9" s="3595"/>
      <c r="L9" s="3595"/>
      <c r="M9" s="3595"/>
      <c r="N9" s="3595"/>
      <c r="O9" s="3595"/>
      <c r="P9" s="3595"/>
      <c r="Q9" s="3595"/>
      <c r="R9" s="3588"/>
      <c r="S9" s="3618" t="s">
        <v>346</v>
      </c>
      <c r="T9" s="269"/>
      <c r="CF9" s="439">
        <v>19</v>
      </c>
    </row>
    <row r="10" spans="1:84" ht="48.2" customHeight="1">
      <c r="D10" s="485" t="s">
        <v>76</v>
      </c>
      <c r="E10" s="3618" t="s">
        <v>76</v>
      </c>
      <c r="F10" s="3618"/>
      <c r="G10" s="455" t="s">
        <v>347</v>
      </c>
      <c r="H10" s="3618" t="s">
        <v>76</v>
      </c>
      <c r="I10" s="3618"/>
      <c r="J10" s="455" t="s">
        <v>923</v>
      </c>
      <c r="K10" s="455" t="s">
        <v>924</v>
      </c>
      <c r="L10" s="3618" t="s">
        <v>76</v>
      </c>
      <c r="M10" s="3618"/>
      <c r="N10" s="455" t="s">
        <v>925</v>
      </c>
      <c r="O10" s="455" t="s">
        <v>926</v>
      </c>
      <c r="P10" s="455" t="s">
        <v>927</v>
      </c>
      <c r="Q10" s="455" t="s">
        <v>928</v>
      </c>
      <c r="R10" s="455" t="s">
        <v>929</v>
      </c>
      <c r="S10" s="3618"/>
      <c r="T10" s="269"/>
      <c r="CF10" s="439">
        <v>46</v>
      </c>
    </row>
    <row r="11" spans="1:84" s="1564" customFormat="1" ht="15" customHeight="1">
      <c r="A11" s="978"/>
      <c r="D11" s="951" t="s">
        <v>164</v>
      </c>
      <c r="E11" s="951"/>
      <c r="F11" s="951" t="s">
        <v>89</v>
      </c>
      <c r="G11" s="951" t="s">
        <v>78</v>
      </c>
      <c r="H11" s="951"/>
      <c r="I11" s="951" t="s">
        <v>79</v>
      </c>
      <c r="J11" s="951" t="s">
        <v>100</v>
      </c>
      <c r="K11" s="951" t="s">
        <v>80</v>
      </c>
      <c r="L11" s="951"/>
      <c r="M11" s="951" t="s">
        <v>81</v>
      </c>
      <c r="N11" s="951" t="s">
        <v>110</v>
      </c>
      <c r="O11" s="951" t="s">
        <v>114</v>
      </c>
      <c r="P11" s="951" t="s">
        <v>118</v>
      </c>
      <c r="Q11" s="951" t="s">
        <v>122</v>
      </c>
      <c r="R11" s="951" t="s">
        <v>126</v>
      </c>
      <c r="S11" s="951" t="s">
        <v>130</v>
      </c>
      <c r="U11" s="545"/>
      <c r="V11" s="545"/>
      <c r="W11" s="545"/>
      <c r="CF11" s="445">
        <v>0</v>
      </c>
    </row>
    <row r="12" spans="1:84" s="1557" customFormat="1" ht="1.1499999999999999" customHeight="1">
      <c r="A12" s="549"/>
      <c r="B12" s="296"/>
      <c r="D12" s="482"/>
      <c r="E12" s="281"/>
      <c r="F12" s="281"/>
      <c r="Q12" s="550"/>
      <c r="R12" s="551"/>
      <c r="T12" s="552"/>
      <c r="U12" s="553"/>
      <c r="V12" s="553"/>
      <c r="W12" s="554"/>
      <c r="X12" s="296"/>
      <c r="Y12" s="296"/>
      <c r="Z12" s="296"/>
      <c r="AA12" s="296"/>
      <c r="CF12" s="443">
        <v>1</v>
      </c>
    </row>
    <row r="13" spans="1:84" s="1563" customFormat="1" ht="1.1499999999999999" customHeight="1">
      <c r="A13" s="555"/>
      <c r="B13" s="500"/>
      <c r="D13" s="482" t="s">
        <v>421</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1739" customFormat="1" ht="15" customHeight="1">
      <c r="A14" s="557" t="s">
        <v>169</v>
      </c>
      <c r="B14" s="558"/>
      <c r="C14" s="558"/>
      <c r="D14" s="3835" t="s">
        <v>164</v>
      </c>
      <c r="E14" s="3832" t="s">
        <v>160</v>
      </c>
      <c r="F14" s="3833"/>
      <c r="G14" s="3834"/>
      <c r="H14" s="3838"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3838"/>
      <c r="J14" s="3838"/>
      <c r="K14" s="3838"/>
      <c r="L14" s="3838"/>
      <c r="M14" s="3838"/>
      <c r="N14" s="3838"/>
      <c r="O14" s="3838"/>
      <c r="P14" s="3838"/>
      <c r="Q14" s="3838"/>
      <c r="R14" s="3838"/>
      <c r="S14" s="653"/>
      <c r="T14" s="650"/>
      <c r="U14" s="559"/>
      <c r="V14" s="559"/>
      <c r="W14" s="560"/>
      <c r="X14" s="560"/>
      <c r="Y14" s="560"/>
      <c r="Z14" s="560"/>
      <c r="AA14" s="561"/>
      <c r="AB14" s="562"/>
      <c r="AC14" s="3830"/>
      <c r="AD14" s="563"/>
      <c r="AE14" s="564" t="s">
        <v>9</v>
      </c>
      <c r="AF14" s="564"/>
      <c r="AG14" s="565" t="s">
        <v>930</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1739" customFormat="1" ht="15" customHeight="1">
      <c r="A15" s="557"/>
      <c r="B15" s="558"/>
      <c r="C15" s="558"/>
      <c r="D15" s="3836"/>
      <c r="E15" s="3832" t="s">
        <v>607</v>
      </c>
      <c r="F15" s="3833"/>
      <c r="G15" s="3834"/>
      <c r="H15" s="3838" t="str">
        <f>IF(A14="","",INDEX(DIFFERENTIATION_UNMERGE_AREA,MATCH(A14,DIFFERENTIATION_ID_DIFF,0)))</f>
        <v>без дифференциации</v>
      </c>
      <c r="I15" s="3838"/>
      <c r="J15" s="3838"/>
      <c r="K15" s="3838"/>
      <c r="L15" s="3838"/>
      <c r="M15" s="3838"/>
      <c r="N15" s="3838"/>
      <c r="O15" s="3838"/>
      <c r="P15" s="3838"/>
      <c r="Q15" s="3838"/>
      <c r="R15" s="3838"/>
      <c r="S15" s="653"/>
      <c r="T15" s="650"/>
      <c r="U15" s="559"/>
      <c r="V15" s="559"/>
      <c r="W15" s="560"/>
      <c r="X15" s="560"/>
      <c r="Y15" s="560"/>
      <c r="Z15" s="560"/>
      <c r="AA15" s="561"/>
      <c r="AB15" s="562"/>
      <c r="AC15" s="3830"/>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1739" customFormat="1" ht="15" customHeight="1">
      <c r="A16" s="557"/>
      <c r="B16" s="558"/>
      <c r="C16" s="558"/>
      <c r="D16" s="3836"/>
      <c r="E16" s="3832" t="s">
        <v>608</v>
      </c>
      <c r="F16" s="3833"/>
      <c r="G16" s="3834"/>
      <c r="H16" s="3838" t="str">
        <f>IF(A14="","",INDEX(DIFFERENTIATION_UNMERGE_SYSTEM,MATCH(A14,DIFFERENTIATION_ID_DIFF,0)))</f>
        <v>без дифференциации</v>
      </c>
      <c r="I16" s="3838"/>
      <c r="J16" s="3838"/>
      <c r="K16" s="3838"/>
      <c r="L16" s="3838"/>
      <c r="M16" s="3838"/>
      <c r="N16" s="3838"/>
      <c r="O16" s="3838"/>
      <c r="P16" s="3838"/>
      <c r="Q16" s="3838"/>
      <c r="R16" s="3838"/>
      <c r="S16" s="653"/>
      <c r="T16" s="650"/>
      <c r="U16" s="559"/>
      <c r="V16" s="559"/>
      <c r="W16" s="560"/>
      <c r="X16" s="560"/>
      <c r="Y16" s="560"/>
      <c r="Z16" s="560"/>
      <c r="AA16" s="561"/>
      <c r="AB16" s="562"/>
      <c r="AC16" s="3830"/>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1739" customFormat="1" ht="22.5" customHeight="1">
      <c r="A17" s="567"/>
      <c r="B17" s="351"/>
      <c r="C17" s="346"/>
      <c r="D17" s="3836"/>
      <c r="E17" s="3831" t="s">
        <v>931</v>
      </c>
      <c r="F17" s="3831"/>
      <c r="G17" s="3831"/>
      <c r="H17" s="3831"/>
      <c r="I17" s="3831"/>
      <c r="J17" s="3831"/>
      <c r="K17" s="3831"/>
      <c r="L17" s="3831"/>
      <c r="M17" s="3831"/>
      <c r="N17" s="3831"/>
      <c r="O17" s="3831"/>
      <c r="P17" s="3831"/>
      <c r="Q17" s="492">
        <f>SUMIF(T18:T19,"i",Q18:Q19)</f>
        <v>0</v>
      </c>
      <c r="R17" s="943"/>
      <c r="S17" s="824" t="s">
        <v>932</v>
      </c>
      <c r="T17" s="651" t="s">
        <v>933</v>
      </c>
      <c r="U17" s="3736">
        <v>1</v>
      </c>
      <c r="V17" s="3736" t="str">
        <f>INDEX(B_FHD_FLAG_INDEX_1,1,MATCH(A14,B_FHD_FLAG_DIFFERENTIATION,0))</f>
        <v>отсутствует</v>
      </c>
      <c r="W17" s="351"/>
      <c r="X17" s="351"/>
      <c r="Y17" s="351"/>
      <c r="Z17" s="351"/>
      <c r="AA17" s="445"/>
      <c r="AB17" s="351"/>
      <c r="AC17" s="3830"/>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1739" customFormat="1" ht="11.25" hidden="1" customHeight="1">
      <c r="A18" s="568"/>
      <c r="B18" s="445"/>
      <c r="C18" s="445"/>
      <c r="D18" s="3836"/>
      <c r="E18" s="569"/>
      <c r="F18" s="569">
        <v>0</v>
      </c>
      <c r="G18" s="569"/>
      <c r="H18" s="569"/>
      <c r="I18" s="569"/>
      <c r="J18" s="569"/>
      <c r="K18" s="569"/>
      <c r="L18" s="569"/>
      <c r="M18" s="569"/>
      <c r="N18" s="569"/>
      <c r="O18" s="569"/>
      <c r="P18" s="569"/>
      <c r="Q18" s="569"/>
      <c r="R18" s="569"/>
      <c r="S18" s="570"/>
      <c r="T18" s="652"/>
      <c r="U18" s="3736"/>
      <c r="V18" s="3736"/>
      <c r="W18" s="445"/>
      <c r="X18" s="445"/>
      <c r="Y18" s="445"/>
      <c r="Z18" s="445"/>
      <c r="AA18" s="445"/>
      <c r="AB18" s="351"/>
      <c r="AC18" s="3830"/>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1739" customFormat="1" ht="11.25" customHeight="1">
      <c r="A19" s="567"/>
      <c r="B19" s="351"/>
      <c r="C19" s="346"/>
      <c r="D19" s="3836"/>
      <c r="E19" s="583" t="s">
        <v>9</v>
      </c>
      <c r="F19" s="584" t="s">
        <v>9</v>
      </c>
      <c r="G19" s="584" t="s">
        <v>9</v>
      </c>
      <c r="H19" s="585" t="s">
        <v>9</v>
      </c>
      <c r="I19" s="585"/>
      <c r="J19" s="585"/>
      <c r="K19" s="585"/>
      <c r="L19" s="585"/>
      <c r="M19" s="585"/>
      <c r="N19" s="585"/>
      <c r="O19" s="585"/>
      <c r="P19" s="585"/>
      <c r="Q19" s="585"/>
      <c r="R19" s="586"/>
      <c r="S19" s="946"/>
      <c r="T19" s="652"/>
      <c r="U19" s="3736"/>
      <c r="V19" s="3736"/>
      <c r="W19" s="351"/>
      <c r="X19" s="351"/>
      <c r="Y19" s="351"/>
      <c r="Z19" s="351"/>
      <c r="AA19" s="445"/>
      <c r="AB19" s="351"/>
      <c r="AC19" s="3830"/>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1739" customFormat="1" ht="22.5" customHeight="1">
      <c r="A20" s="567"/>
      <c r="B20" s="351"/>
      <c r="C20" s="346"/>
      <c r="D20" s="3836"/>
      <c r="E20" s="3831" t="s">
        <v>934</v>
      </c>
      <c r="F20" s="3831"/>
      <c r="G20" s="3831"/>
      <c r="H20" s="3831"/>
      <c r="I20" s="3831"/>
      <c r="J20" s="3831"/>
      <c r="K20" s="3831"/>
      <c r="L20" s="3831"/>
      <c r="M20" s="3831"/>
      <c r="N20" s="3831"/>
      <c r="O20" s="3831"/>
      <c r="P20" s="3831"/>
      <c r="Q20" s="492">
        <f>SUMIF(T21:T22,"i",Q21:Q22)</f>
        <v>0</v>
      </c>
      <c r="R20" s="943"/>
      <c r="S20" s="643" t="s">
        <v>935</v>
      </c>
      <c r="T20" s="651" t="s">
        <v>933</v>
      </c>
      <c r="U20" s="3736">
        <v>2</v>
      </c>
      <c r="V20" s="3736"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1739" customFormat="1" ht="11.25" hidden="1" customHeight="1">
      <c r="A21" s="642"/>
      <c r="B21" s="445"/>
      <c r="C21" s="445"/>
      <c r="D21" s="3836"/>
      <c r="E21" s="569"/>
      <c r="F21" s="569">
        <v>0</v>
      </c>
      <c r="G21" s="569"/>
      <c r="H21" s="569"/>
      <c r="I21" s="569"/>
      <c r="J21" s="569"/>
      <c r="K21" s="569"/>
      <c r="L21" s="569"/>
      <c r="M21" s="569"/>
      <c r="N21" s="569"/>
      <c r="O21" s="569"/>
      <c r="P21" s="569"/>
      <c r="Q21" s="569"/>
      <c r="R21" s="569"/>
      <c r="S21" s="570"/>
      <c r="T21" s="652"/>
      <c r="U21" s="3736"/>
      <c r="V21" s="3736"/>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1739" customFormat="1" ht="11.25" customHeight="1">
      <c r="A22" s="567"/>
      <c r="B22" s="351"/>
      <c r="C22" s="346"/>
      <c r="D22" s="3837"/>
      <c r="E22" s="583" t="s">
        <v>9</v>
      </c>
      <c r="F22" s="584" t="s">
        <v>9</v>
      </c>
      <c r="G22" s="584" t="s">
        <v>9</v>
      </c>
      <c r="H22" s="585" t="s">
        <v>9</v>
      </c>
      <c r="I22" s="585"/>
      <c r="J22" s="585"/>
      <c r="K22" s="585"/>
      <c r="L22" s="585"/>
      <c r="M22" s="585"/>
      <c r="N22" s="585"/>
      <c r="O22" s="585"/>
      <c r="P22" s="585"/>
      <c r="Q22" s="585"/>
      <c r="R22" s="586"/>
      <c r="S22" s="946"/>
      <c r="T22" s="652"/>
      <c r="U22" s="3736"/>
      <c r="V22" s="3736"/>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73"/>
      <c r="E23" s="973"/>
      <c r="F23" s="973"/>
      <c r="G23" s="973"/>
      <c r="H23" s="973"/>
      <c r="I23" s="973"/>
      <c r="J23" s="973"/>
      <c r="K23" s="973"/>
      <c r="L23" s="973"/>
      <c r="M23" s="973"/>
      <c r="N23" s="973"/>
      <c r="O23" s="973"/>
      <c r="P23" s="973"/>
      <c r="Q23" s="973"/>
      <c r="R23" s="973"/>
      <c r="S23" s="973"/>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3839"/>
      <c r="F27" s="3839"/>
      <c r="G27" s="3839"/>
      <c r="H27" s="3839"/>
      <c r="I27" s="3839"/>
      <c r="J27" s="3839"/>
      <c r="K27" s="3839"/>
      <c r="L27" s="3839"/>
      <c r="M27" s="3839"/>
      <c r="N27" s="3839"/>
      <c r="O27" s="3839"/>
      <c r="P27" s="3839"/>
      <c r="Q27" s="3839"/>
      <c r="R27" s="3839"/>
      <c r="CF27" s="439">
        <v>11</v>
      </c>
    </row>
    <row r="28" spans="1:84" ht="11.45" customHeight="1">
      <c r="F28" s="690"/>
      <c r="G28" s="690"/>
      <c r="CF28" s="439">
        <v>11</v>
      </c>
    </row>
    <row r="29" spans="1:84" ht="11.25" hidden="1" customHeight="1">
      <c r="A29" s="544" t="s">
        <v>70</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3" hidden="1" customWidth="1"/>
    <col min="6" max="6" width="16.85546875" style="1288" hidden="1" customWidth="1"/>
    <col min="7" max="7" width="5.5703125" style="1564" hidden="1" customWidth="1"/>
    <col min="8" max="8" width="3" style="1557" customWidth="1"/>
    <col min="9" max="9" width="7" style="1557" customWidth="1"/>
    <col min="10" max="10" width="56" style="1557" customWidth="1"/>
    <col min="11" max="11" width="10" style="1557" customWidth="1"/>
    <col min="12" max="12" width="40.5703125" style="1557" hidden="1" customWidth="1"/>
    <col min="13" max="13" width="40.7109375" style="1557" customWidth="1"/>
    <col min="14" max="14" width="9.7109375" style="1288" hidden="1" customWidth="1"/>
    <col min="15" max="15" width="102" style="1557" customWidth="1"/>
    <col min="16" max="16" width="9" style="1288" customWidth="1"/>
    <col min="17" max="17" width="5" style="1564" customWidth="1"/>
    <col min="18" max="18" width="3" style="1564" customWidth="1"/>
    <col min="19" max="22" width="3" style="1288" customWidth="1"/>
    <col min="23" max="23" width="10" style="1564" customWidth="1"/>
    <col min="24" max="24" width="34" style="1288" customWidth="1"/>
    <col min="25" max="25" width="9" style="1288" customWidth="1"/>
    <col min="26" max="26" width="8" style="670" customWidth="1"/>
    <col min="27" max="31" width="8" style="1288" customWidth="1"/>
    <col min="32" max="36" width="8" style="1554" customWidth="1"/>
    <col min="37" max="37" width="5.42578125" style="1557" hidden="1" customWidth="1"/>
  </cols>
  <sheetData>
    <row r="1" spans="1:37" s="1288" customFormat="1" ht="33.75" hidden="1" customHeight="1">
      <c r="A1" s="913"/>
      <c r="B1" s="913"/>
      <c r="C1" s="913"/>
      <c r="D1" s="913"/>
      <c r="E1" s="913"/>
      <c r="G1" s="1558"/>
      <c r="H1" s="806"/>
      <c r="L1" s="1288">
        <v>4</v>
      </c>
      <c r="M1" s="1288">
        <v>4</v>
      </c>
      <c r="Q1" s="1558"/>
      <c r="R1" s="1558"/>
      <c r="W1" s="1558"/>
      <c r="AK1" s="1288" t="s">
        <v>1</v>
      </c>
    </row>
    <row r="2" spans="1:37" s="1288" customFormat="1" ht="78.75" hidden="1" customHeight="1">
      <c r="A2" s="913"/>
      <c r="B2" s="1939" t="s">
        <v>936</v>
      </c>
      <c r="C2" s="1939" t="s">
        <v>937</v>
      </c>
      <c r="D2" s="1938" t="s">
        <v>938</v>
      </c>
      <c r="E2" s="1942" t="e">
        <f>RIGHT(I2,LEN(I2)-SEARCH("#",SUBSTITUTE(I2,".","#",LEN(I2)-LEN(SUBSTITUTE(I2,".","")))))</f>
        <v>#VALUE!</v>
      </c>
      <c r="F2" s="1944">
        <f>J2</f>
        <v>0</v>
      </c>
      <c r="G2" s="1558"/>
      <c r="H2" s="1945"/>
      <c r="I2" s="1935"/>
      <c r="J2" s="474"/>
      <c r="K2" s="1905" t="s">
        <v>599</v>
      </c>
      <c r="L2" s="685"/>
      <c r="M2" s="685"/>
      <c r="N2" s="477"/>
      <c r="O2" s="1447" t="s">
        <v>600</v>
      </c>
      <c r="P2" s="477"/>
      <c r="Q2" s="1558"/>
      <c r="R2" s="1558"/>
      <c r="W2" s="1558"/>
      <c r="Z2" s="478"/>
      <c r="AF2" s="1554"/>
      <c r="AG2" s="1554"/>
      <c r="AH2" s="1554"/>
      <c r="AI2" s="1554"/>
      <c r="AJ2" s="1554"/>
      <c r="AK2" s="1288">
        <v>0</v>
      </c>
    </row>
    <row r="3" spans="1:37" ht="11.25" hidden="1" customHeight="1">
      <c r="E3" s="1937" t="s">
        <v>939</v>
      </c>
      <c r="L3" s="1553">
        <f>0</f>
        <v>0</v>
      </c>
      <c r="M3" s="1553">
        <v>1</v>
      </c>
      <c r="AK3" s="1553">
        <v>0</v>
      </c>
    </row>
    <row r="4" spans="1:37" s="1554" customFormat="1" ht="11.25" hidden="1" customHeight="1">
      <c r="A4" s="913"/>
      <c r="B4" s="913"/>
      <c r="C4" s="913"/>
      <c r="E4" s="913"/>
      <c r="F4" s="1288"/>
      <c r="G4" s="1558"/>
      <c r="H4" s="554"/>
      <c r="N4" s="1288"/>
      <c r="O4" s="1554">
        <v>4</v>
      </c>
      <c r="P4" s="1288"/>
      <c r="Q4" s="1558"/>
      <c r="R4" s="1558"/>
      <c r="S4" s="1288"/>
      <c r="T4" s="1288"/>
      <c r="U4" s="1288"/>
      <c r="V4" s="1288"/>
      <c r="W4" s="1558"/>
      <c r="X4" s="1288"/>
      <c r="Y4" s="1288"/>
      <c r="Z4" s="478"/>
      <c r="AA4" s="1288"/>
      <c r="AB4" s="1288"/>
      <c r="AC4" s="1288"/>
      <c r="AD4" s="1288"/>
      <c r="AE4" s="1288"/>
      <c r="AK4" s="1554">
        <v>0</v>
      </c>
    </row>
    <row r="5" spans="1:37" ht="11.45" customHeight="1">
      <c r="AK5" s="1553">
        <v>11</v>
      </c>
    </row>
    <row r="6" spans="1:37" ht="57.75" customHeight="1">
      <c r="I6" s="3682" t="s">
        <v>940</v>
      </c>
      <c r="J6" s="3682"/>
      <c r="K6" s="3682"/>
      <c r="L6" s="3682"/>
      <c r="M6" s="3682"/>
      <c r="O6" s="490"/>
      <c r="AK6" s="1553">
        <v>55</v>
      </c>
    </row>
    <row r="7" spans="1:37" ht="25.15" customHeight="1">
      <c r="I7" s="3667" t="str">
        <f>IF(org=0,"Не определено",org)</f>
        <v>ООО "Смоленскрегионтеплоэнерго"</v>
      </c>
      <c r="J7" s="3667"/>
      <c r="K7" s="3667"/>
      <c r="L7" s="3667"/>
      <c r="M7" s="3667"/>
      <c r="AK7" s="1553">
        <v>24</v>
      </c>
    </row>
    <row r="8" spans="1:37" ht="11.45" customHeight="1">
      <c r="I8" s="1058"/>
      <c r="J8" s="1058"/>
      <c r="K8" s="1058"/>
      <c r="L8" s="1058"/>
      <c r="M8" s="1058"/>
      <c r="AK8" s="1553">
        <v>11</v>
      </c>
    </row>
    <row r="9" spans="1:37" s="1564" customFormat="1" ht="30" hidden="1" customHeight="1">
      <c r="A9" s="1089"/>
      <c r="B9" s="1089"/>
      <c r="C9" s="1089"/>
      <c r="E9" s="1089"/>
      <c r="L9" s="816"/>
      <c r="M9" s="816" t="s">
        <v>169</v>
      </c>
      <c r="AK9" s="1558">
        <v>1</v>
      </c>
    </row>
    <row r="10" spans="1:37" ht="11.45" customHeight="1">
      <c r="E10" s="1936" t="s">
        <v>941</v>
      </c>
      <c r="I10" s="645"/>
      <c r="J10" s="3822" t="s">
        <v>160</v>
      </c>
      <c r="K10" s="3823"/>
      <c r="L10" s="1915" t="str">
        <f>IF(L9="","",INDEX(DIFFERENTIATION_UNMERGE_VD,MATCH(L9,DIFFERENTIATION_ID_DIFF,0)))</f>
        <v/>
      </c>
      <c r="M10" s="1915"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3618" t="s">
        <v>346</v>
      </c>
      <c r="AK10" s="1553">
        <v>11</v>
      </c>
    </row>
    <row r="11" spans="1:37" ht="11.45" customHeight="1">
      <c r="E11" s="1936" t="s">
        <v>942</v>
      </c>
      <c r="I11" s="645"/>
      <c r="J11" s="3822" t="s">
        <v>607</v>
      </c>
      <c r="K11" s="3823"/>
      <c r="L11" s="1915" t="str">
        <f>IF(L9="","",INDEX(DIFFERENTIATION_UNMERGE_AREA,MATCH(L9,DIFFERENTIATION_ID_DIFF,0)))</f>
        <v/>
      </c>
      <c r="M11" s="1915" t="str">
        <f>IF(M9="","",INDEX(DIFFERENTIATION_UNMERGE_AREA,MATCH(M9,DIFFERENTIATION_ID_DIFF,0)))</f>
        <v>без дифференциации</v>
      </c>
      <c r="O11" s="3618"/>
      <c r="AK11" s="1553">
        <v>11</v>
      </c>
    </row>
    <row r="12" spans="1:37" ht="11.45" customHeight="1">
      <c r="E12" s="1936" t="s">
        <v>943</v>
      </c>
      <c r="I12" s="1584"/>
      <c r="J12" s="3822" t="s">
        <v>608</v>
      </c>
      <c r="K12" s="3823"/>
      <c r="L12" s="1915" t="str">
        <f>IF(L9="","",INDEX(DIFFERENTIATION_UNMERGE_SYSTEM,MATCH(L9,DIFFERENTIATION_ID_DIFF,0)))</f>
        <v/>
      </c>
      <c r="M12" s="1915" t="str">
        <f>IF(M9="","",INDEX(DIFFERENTIATION_UNMERGE_SYSTEM,MATCH(M9,DIFFERENTIATION_ID_DIFF,0)))</f>
        <v>без дифференциации</v>
      </c>
      <c r="O12" s="3618"/>
      <c r="AK12" s="1553">
        <v>11</v>
      </c>
    </row>
    <row r="13" spans="1:37" ht="11.45" customHeight="1">
      <c r="E13" s="1936" t="s">
        <v>944</v>
      </c>
      <c r="F13" s="1936" t="s">
        <v>945</v>
      </c>
      <c r="I13" s="3824" t="s">
        <v>345</v>
      </c>
      <c r="J13" s="3825"/>
      <c r="K13" s="3825"/>
      <c r="L13" s="1913"/>
      <c r="M13" s="1953"/>
      <c r="O13" s="3618"/>
      <c r="AK13" s="1553">
        <v>11</v>
      </c>
    </row>
    <row r="14" spans="1:37" ht="24" customHeight="1">
      <c r="I14" s="1906" t="s">
        <v>76</v>
      </c>
      <c r="J14" s="1906" t="s">
        <v>347</v>
      </c>
      <c r="K14" s="1906" t="s">
        <v>609</v>
      </c>
      <c r="L14" s="1946" t="s">
        <v>348</v>
      </c>
      <c r="M14" s="1947" t="s">
        <v>348</v>
      </c>
      <c r="O14" s="3618"/>
      <c r="AK14" s="1553">
        <v>23</v>
      </c>
    </row>
    <row r="15" spans="1:37" ht="24" customHeight="1">
      <c r="A15" s="1940"/>
      <c r="B15" s="1939" t="s">
        <v>946</v>
      </c>
      <c r="C15" s="1939" t="s">
        <v>947</v>
      </c>
      <c r="D15" s="1938" t="s">
        <v>948</v>
      </c>
      <c r="E15" s="1942" t="s">
        <v>949</v>
      </c>
      <c r="F15" s="1942" t="s">
        <v>949</v>
      </c>
      <c r="G15" s="1558" t="s">
        <v>634</v>
      </c>
      <c r="H15" s="1907"/>
      <c r="I15" s="1552">
        <v>1</v>
      </c>
      <c r="J15" s="1908" t="s">
        <v>950</v>
      </c>
      <c r="K15" s="1906" t="s">
        <v>351</v>
      </c>
      <c r="L15" s="596"/>
      <c r="M15" s="746"/>
      <c r="N15" s="477" t="s">
        <v>951</v>
      </c>
      <c r="O15" s="1447" t="s">
        <v>952</v>
      </c>
      <c r="P15" s="477" t="s">
        <v>951</v>
      </c>
      <c r="AK15" s="1553">
        <v>23</v>
      </c>
    </row>
    <row r="16" spans="1:37" ht="35.65" customHeight="1">
      <c r="A16" s="1940"/>
      <c r="B16" s="1939" t="s">
        <v>953</v>
      </c>
      <c r="C16" s="1939" t="s">
        <v>954</v>
      </c>
      <c r="D16" s="1938" t="s">
        <v>938</v>
      </c>
      <c r="E16" s="1942" t="s">
        <v>949</v>
      </c>
      <c r="F16" s="1942" t="s">
        <v>949</v>
      </c>
      <c r="H16" s="1907"/>
      <c r="I16" s="1551">
        <v>2</v>
      </c>
      <c r="J16" s="1949" t="s">
        <v>955</v>
      </c>
      <c r="K16" s="1948" t="s">
        <v>599</v>
      </c>
      <c r="L16" s="1954"/>
      <c r="M16" s="1597"/>
      <c r="N16" s="477" t="s">
        <v>951</v>
      </c>
      <c r="O16" s="1447" t="s">
        <v>956</v>
      </c>
      <c r="P16" s="477" t="s">
        <v>951</v>
      </c>
      <c r="AK16" s="1553">
        <v>34</v>
      </c>
    </row>
    <row r="17" spans="1:37" s="1564" customFormat="1" ht="17.25" hidden="1" customHeight="1">
      <c r="A17" s="1089"/>
      <c r="B17" s="1089"/>
      <c r="C17" s="1089"/>
      <c r="D17" s="1089"/>
      <c r="E17" s="1089"/>
      <c r="H17" s="1246"/>
      <c r="I17" s="939" t="s">
        <v>957</v>
      </c>
      <c r="J17" s="917"/>
      <c r="K17" s="939"/>
      <c r="L17" s="918"/>
      <c r="M17" s="918"/>
      <c r="O17" s="1307"/>
      <c r="AK17" s="1558">
        <v>1</v>
      </c>
    </row>
    <row r="18" spans="1:37" s="1288" customFormat="1" ht="24" customHeight="1">
      <c r="A18" s="913"/>
      <c r="B18" s="913"/>
      <c r="C18" s="913"/>
      <c r="D18" s="913"/>
      <c r="E18" s="913"/>
      <c r="G18" s="1558"/>
      <c r="H18" s="1555"/>
      <c r="I18" s="504"/>
      <c r="J18" s="505" t="s">
        <v>908</v>
      </c>
      <c r="K18" s="506"/>
      <c r="L18" s="1956"/>
      <c r="M18" s="507"/>
      <c r="N18" s="477"/>
      <c r="O18" s="1447" t="s">
        <v>909</v>
      </c>
      <c r="P18" s="477"/>
      <c r="Q18" s="1558"/>
      <c r="R18" s="1558"/>
      <c r="W18" s="1558"/>
      <c r="Z18" s="478"/>
      <c r="AF18" s="1554"/>
      <c r="AG18" s="1554"/>
      <c r="AH18" s="1554"/>
      <c r="AI18" s="1554"/>
      <c r="AJ18" s="1554"/>
      <c r="AK18" s="1288">
        <v>23</v>
      </c>
    </row>
    <row r="19" spans="1:37" ht="19.899999999999999" customHeight="1">
      <c r="A19" s="1940"/>
      <c r="B19" s="1939" t="s">
        <v>958</v>
      </c>
      <c r="C19" s="1939" t="s">
        <v>959</v>
      </c>
      <c r="D19" s="1938" t="s">
        <v>938</v>
      </c>
      <c r="E19" s="1942" t="s">
        <v>949</v>
      </c>
      <c r="F19" s="1942" t="s">
        <v>949</v>
      </c>
      <c r="H19" s="1907"/>
      <c r="I19" s="1586">
        <v>3</v>
      </c>
      <c r="J19" s="1908" t="s">
        <v>959</v>
      </c>
      <c r="K19" s="1904" t="s">
        <v>599</v>
      </c>
      <c r="L19" s="661"/>
      <c r="M19" s="491"/>
      <c r="N19" s="477"/>
      <c r="O19" s="1447" t="s">
        <v>960</v>
      </c>
      <c r="P19" s="477"/>
      <c r="AK19" s="1553">
        <v>19</v>
      </c>
    </row>
    <row r="20" spans="1:37" ht="77.650000000000006" customHeight="1">
      <c r="A20" s="1940"/>
      <c r="B20" s="1939" t="s">
        <v>961</v>
      </c>
      <c r="C20" s="1939" t="s">
        <v>962</v>
      </c>
      <c r="D20" s="1938" t="s">
        <v>938</v>
      </c>
      <c r="E20" s="1942" t="s">
        <v>949</v>
      </c>
      <c r="F20" s="1942" t="s">
        <v>949</v>
      </c>
      <c r="H20" s="1907"/>
      <c r="I20" s="1586">
        <v>4</v>
      </c>
      <c r="J20" s="1908" t="s">
        <v>963</v>
      </c>
      <c r="K20" s="1904" t="s">
        <v>639</v>
      </c>
      <c r="L20" s="661"/>
      <c r="M20" s="491"/>
      <c r="N20" s="477"/>
      <c r="O20" s="1447"/>
      <c r="P20" s="477"/>
      <c r="AK20" s="1553">
        <v>74</v>
      </c>
    </row>
    <row r="21" spans="1:37" ht="35.65" customHeight="1">
      <c r="A21" s="1940"/>
      <c r="B21" s="1939" t="s">
        <v>964</v>
      </c>
      <c r="C21" s="1939" t="s">
        <v>965</v>
      </c>
      <c r="D21" s="1938" t="s">
        <v>938</v>
      </c>
      <c r="E21" s="1942" t="s">
        <v>949</v>
      </c>
      <c r="F21" s="1942" t="s">
        <v>949</v>
      </c>
      <c r="H21" s="1907"/>
      <c r="I21" s="1586">
        <v>5</v>
      </c>
      <c r="J21" s="1908" t="s">
        <v>966</v>
      </c>
      <c r="K21" s="1904" t="s">
        <v>639</v>
      </c>
      <c r="L21" s="661"/>
      <c r="M21" s="491"/>
      <c r="N21" s="477"/>
      <c r="O21" s="1447" t="s">
        <v>960</v>
      </c>
      <c r="P21" s="477"/>
      <c r="AK21" s="1553">
        <v>34</v>
      </c>
    </row>
    <row r="22" spans="1:37" ht="48.2" customHeight="1">
      <c r="A22" s="1940"/>
      <c r="B22" s="1939" t="s">
        <v>967</v>
      </c>
      <c r="C22" s="1939" t="s">
        <v>968</v>
      </c>
      <c r="D22" s="1938" t="s">
        <v>938</v>
      </c>
      <c r="E22" s="1942" t="s">
        <v>949</v>
      </c>
      <c r="F22" s="1942" t="s">
        <v>949</v>
      </c>
      <c r="H22" s="1907"/>
      <c r="I22" s="1586">
        <v>6</v>
      </c>
      <c r="J22" s="1908" t="s">
        <v>969</v>
      </c>
      <c r="K22" s="1904" t="s">
        <v>639</v>
      </c>
      <c r="L22" s="661"/>
      <c r="M22" s="491"/>
      <c r="N22" s="477"/>
      <c r="O22" s="1447" t="s">
        <v>970</v>
      </c>
      <c r="P22" s="477"/>
      <c r="AK22" s="1553">
        <v>46</v>
      </c>
    </row>
    <row r="23" spans="1:37" ht="19.899999999999999" customHeight="1">
      <c r="A23" s="1940"/>
      <c r="B23" s="1939" t="s">
        <v>971</v>
      </c>
      <c r="C23" s="1939" t="s">
        <v>972</v>
      </c>
      <c r="D23" s="1938" t="s">
        <v>938</v>
      </c>
      <c r="E23" s="1942" t="s">
        <v>949</v>
      </c>
      <c r="F23" s="1942" t="s">
        <v>949</v>
      </c>
      <c r="H23" s="1907"/>
      <c r="I23" s="1586" t="s">
        <v>973</v>
      </c>
      <c r="J23" s="1446" t="s">
        <v>974</v>
      </c>
      <c r="K23" s="1904" t="s">
        <v>639</v>
      </c>
      <c r="L23" s="661"/>
      <c r="M23" s="491"/>
      <c r="N23" s="477"/>
      <c r="O23" s="1447" t="s">
        <v>960</v>
      </c>
      <c r="P23" s="477"/>
      <c r="AK23" s="1553">
        <v>19</v>
      </c>
    </row>
    <row r="24" spans="1:37" ht="19.899999999999999" customHeight="1">
      <c r="A24" s="1940"/>
      <c r="B24" s="1939" t="s">
        <v>975</v>
      </c>
      <c r="C24" s="1939" t="s">
        <v>976</v>
      </c>
      <c r="D24" s="1938" t="s">
        <v>938</v>
      </c>
      <c r="E24" s="1942" t="s">
        <v>949</v>
      </c>
      <c r="F24" s="1942" t="s">
        <v>949</v>
      </c>
      <c r="H24" s="1907"/>
      <c r="I24" s="1586" t="s">
        <v>977</v>
      </c>
      <c r="J24" s="1446" t="s">
        <v>978</v>
      </c>
      <c r="K24" s="1904" t="s">
        <v>639</v>
      </c>
      <c r="L24" s="661"/>
      <c r="M24" s="491"/>
      <c r="N24" s="477"/>
      <c r="O24" s="1447"/>
      <c r="P24" s="477"/>
      <c r="AK24" s="1553">
        <v>19</v>
      </c>
    </row>
    <row r="25" spans="1:37" ht="24" customHeight="1">
      <c r="A25" s="1940"/>
      <c r="B25" s="1939" t="s">
        <v>979</v>
      </c>
      <c r="C25" s="1939" t="s">
        <v>980</v>
      </c>
      <c r="D25" s="1938" t="s">
        <v>938</v>
      </c>
      <c r="E25" s="1942" t="s">
        <v>949</v>
      </c>
      <c r="F25" s="1942" t="s">
        <v>949</v>
      </c>
      <c r="H25" s="1907"/>
      <c r="I25" s="1586" t="s">
        <v>981</v>
      </c>
      <c r="J25" s="1446" t="s">
        <v>982</v>
      </c>
      <c r="K25" s="1904" t="s">
        <v>639</v>
      </c>
      <c r="L25" s="661"/>
      <c r="M25" s="491"/>
      <c r="N25" s="477"/>
      <c r="O25" s="1447"/>
      <c r="P25" s="477"/>
      <c r="AK25" s="1553">
        <v>23</v>
      </c>
    </row>
    <row r="26" spans="1:37" ht="24" customHeight="1">
      <c r="A26" s="1940"/>
      <c r="B26" s="1939" t="s">
        <v>983</v>
      </c>
      <c r="C26" s="1939" t="s">
        <v>984</v>
      </c>
      <c r="D26" s="1938" t="s">
        <v>938</v>
      </c>
      <c r="E26" s="1942" t="s">
        <v>949</v>
      </c>
      <c r="F26" s="1942" t="s">
        <v>949</v>
      </c>
      <c r="H26" s="1907"/>
      <c r="I26" s="1586">
        <v>7</v>
      </c>
      <c r="J26" s="1908" t="s">
        <v>984</v>
      </c>
      <c r="K26" s="1904" t="s">
        <v>985</v>
      </c>
      <c r="L26" s="661"/>
      <c r="M26" s="491"/>
      <c r="N26" s="477"/>
      <c r="O26" s="1447"/>
      <c r="P26" s="477"/>
      <c r="AK26" s="1553">
        <v>23</v>
      </c>
    </row>
    <row r="27" spans="1:37" ht="24" customHeight="1">
      <c r="A27" s="1940"/>
      <c r="B27" s="1939" t="s">
        <v>986</v>
      </c>
      <c r="C27" s="1939" t="s">
        <v>987</v>
      </c>
      <c r="D27" s="1938" t="s">
        <v>938</v>
      </c>
      <c r="E27" s="1942" t="s">
        <v>949</v>
      </c>
      <c r="F27" s="1942" t="s">
        <v>949</v>
      </c>
      <c r="H27" s="1907"/>
      <c r="I27" s="1586">
        <v>8</v>
      </c>
      <c r="J27" s="1908" t="s">
        <v>987</v>
      </c>
      <c r="K27" s="1904" t="s">
        <v>910</v>
      </c>
      <c r="L27" s="661"/>
      <c r="M27" s="491"/>
      <c r="N27" s="477"/>
      <c r="O27" s="1447"/>
      <c r="P27" s="477"/>
      <c r="AK27" s="1553">
        <v>23</v>
      </c>
    </row>
    <row r="28" spans="1:37" ht="35.65" customHeight="1">
      <c r="A28" s="1940"/>
      <c r="B28" s="1939" t="s">
        <v>988</v>
      </c>
      <c r="C28" s="1939" t="s">
        <v>989</v>
      </c>
      <c r="D28" s="1938" t="s">
        <v>938</v>
      </c>
      <c r="E28" s="1942" t="s">
        <v>949</v>
      </c>
      <c r="F28" s="1942" t="s">
        <v>949</v>
      </c>
      <c r="H28" s="1907"/>
      <c r="I28" s="1596">
        <v>9</v>
      </c>
      <c r="J28" s="1908" t="s">
        <v>990</v>
      </c>
      <c r="K28" s="1904" t="s">
        <v>603</v>
      </c>
      <c r="L28" s="661"/>
      <c r="M28" s="491"/>
      <c r="N28" s="477"/>
      <c r="O28" s="1447"/>
      <c r="P28" s="477"/>
      <c r="AK28" s="1553">
        <v>34</v>
      </c>
    </row>
    <row r="29" spans="1:37" ht="35.65" customHeight="1">
      <c r="A29" s="1940"/>
      <c r="B29" s="1939" t="s">
        <v>991</v>
      </c>
      <c r="C29" s="1939" t="s">
        <v>992</v>
      </c>
      <c r="D29" s="1938" t="s">
        <v>938</v>
      </c>
      <c r="E29" s="1942" t="s">
        <v>949</v>
      </c>
      <c r="F29" s="1942" t="s">
        <v>949</v>
      </c>
      <c r="H29" s="1907"/>
      <c r="I29" s="1596">
        <v>10</v>
      </c>
      <c r="J29" s="1908" t="s">
        <v>993</v>
      </c>
      <c r="K29" s="1904" t="s">
        <v>603</v>
      </c>
      <c r="L29" s="661"/>
      <c r="M29" s="491"/>
      <c r="N29" s="477"/>
      <c r="O29" s="1447"/>
      <c r="P29" s="477"/>
      <c r="AK29" s="1553">
        <v>34</v>
      </c>
    </row>
    <row r="30" spans="1:37" ht="24" customHeight="1">
      <c r="A30" s="1940"/>
      <c r="B30" s="1939" t="s">
        <v>994</v>
      </c>
      <c r="C30" s="1939" t="s">
        <v>995</v>
      </c>
      <c r="D30" s="1938" t="s">
        <v>938</v>
      </c>
      <c r="E30" s="1942" t="s">
        <v>949</v>
      </c>
      <c r="F30" s="1942" t="s">
        <v>949</v>
      </c>
      <c r="H30" s="1907"/>
      <c r="I30" s="1596">
        <v>11</v>
      </c>
      <c r="J30" s="1908" t="s">
        <v>995</v>
      </c>
      <c r="K30" s="1904" t="s">
        <v>911</v>
      </c>
      <c r="L30" s="1955"/>
      <c r="M30" s="1543"/>
      <c r="N30" s="477"/>
      <c r="O30" s="1447"/>
      <c r="P30" s="477"/>
      <c r="AK30" s="1553">
        <v>23</v>
      </c>
    </row>
    <row r="31" spans="1:37" ht="24" customHeight="1">
      <c r="A31" s="1940"/>
      <c r="B31" s="1939" t="s">
        <v>996</v>
      </c>
      <c r="C31" s="1939" t="s">
        <v>997</v>
      </c>
      <c r="D31" s="1938" t="s">
        <v>938</v>
      </c>
      <c r="E31" s="1942" t="s">
        <v>949</v>
      </c>
      <c r="F31" s="1942" t="s">
        <v>949</v>
      </c>
      <c r="H31" s="1907"/>
      <c r="I31" s="1596">
        <v>12</v>
      </c>
      <c r="J31" s="1908" t="s">
        <v>997</v>
      </c>
      <c r="K31" s="1904" t="s">
        <v>911</v>
      </c>
      <c r="L31" s="1955"/>
      <c r="M31" s="1543"/>
      <c r="N31" s="477"/>
      <c r="O31" s="1447"/>
      <c r="P31" s="477"/>
      <c r="AK31" s="1553">
        <v>23</v>
      </c>
    </row>
    <row r="32" spans="1:37" ht="48.2" customHeight="1">
      <c r="A32" s="1940"/>
      <c r="B32" s="1939" t="s">
        <v>998</v>
      </c>
      <c r="C32" s="1939" t="s">
        <v>999</v>
      </c>
      <c r="D32" s="1938" t="s">
        <v>938</v>
      </c>
      <c r="E32" s="1942" t="s">
        <v>949</v>
      </c>
      <c r="F32" s="1942" t="s">
        <v>949</v>
      </c>
      <c r="H32" s="1907"/>
      <c r="I32" s="1596">
        <v>13</v>
      </c>
      <c r="J32" s="1908" t="s">
        <v>1000</v>
      </c>
      <c r="K32" s="1904" t="s">
        <v>921</v>
      </c>
      <c r="L32" s="661"/>
      <c r="M32" s="491"/>
      <c r="N32" s="477"/>
      <c r="O32" s="1447" t="s">
        <v>960</v>
      </c>
      <c r="P32" s="477"/>
      <c r="AK32" s="1553">
        <v>46</v>
      </c>
    </row>
    <row r="33" spans="1:37" s="1288" customFormat="1" ht="48.2" customHeight="1">
      <c r="A33" s="1940"/>
      <c r="B33" s="1939" t="s">
        <v>1001</v>
      </c>
      <c r="C33" s="1939" t="s">
        <v>1002</v>
      </c>
      <c r="D33" s="1938" t="s">
        <v>938</v>
      </c>
      <c r="E33" s="1942" t="s">
        <v>949</v>
      </c>
      <c r="F33" s="1942" t="s">
        <v>949</v>
      </c>
      <c r="G33" s="1558"/>
      <c r="H33" s="1907"/>
      <c r="I33" s="1596">
        <v>14</v>
      </c>
      <c r="J33" s="1920" t="s">
        <v>1003</v>
      </c>
      <c r="K33" s="1909" t="s">
        <v>1004</v>
      </c>
      <c r="L33" s="661"/>
      <c r="M33" s="491"/>
      <c r="N33" s="477"/>
      <c r="O33" s="1447" t="s">
        <v>960</v>
      </c>
      <c r="P33" s="477"/>
      <c r="Q33" s="1558"/>
      <c r="R33" s="1558"/>
      <c r="W33" s="1558"/>
      <c r="Z33" s="478"/>
      <c r="AF33" s="1554"/>
      <c r="AG33" s="1554"/>
      <c r="AH33" s="1554"/>
      <c r="AI33" s="1554"/>
      <c r="AJ33" s="1554"/>
      <c r="AK33" s="1288">
        <v>46</v>
      </c>
    </row>
    <row r="34" spans="1:37" ht="108" customHeight="1">
      <c r="A34" s="1940"/>
      <c r="B34" s="1939" t="s">
        <v>1005</v>
      </c>
      <c r="C34" s="1939" t="s">
        <v>1006</v>
      </c>
      <c r="D34" s="1938" t="s">
        <v>948</v>
      </c>
      <c r="E34" s="1942" t="s">
        <v>949</v>
      </c>
      <c r="F34" s="1942" t="s">
        <v>949</v>
      </c>
      <c r="G34" s="1558" t="s">
        <v>634</v>
      </c>
      <c r="H34" s="1907"/>
      <c r="I34" s="1918">
        <v>15</v>
      </c>
      <c r="J34" s="1919" t="s">
        <v>1007</v>
      </c>
      <c r="K34" s="1904" t="s">
        <v>351</v>
      </c>
      <c r="L34" s="319"/>
      <c r="M34" s="1086"/>
      <c r="N34" s="477"/>
      <c r="O34" s="1447" t="s">
        <v>952</v>
      </c>
      <c r="P34" s="477"/>
      <c r="AK34" s="1553">
        <v>103</v>
      </c>
    </row>
    <row r="35" spans="1:37" s="1563" customFormat="1" ht="11.45" customHeight="1">
      <c r="A35" s="913"/>
      <c r="B35" s="913"/>
      <c r="C35" s="913"/>
      <c r="D35" s="913"/>
      <c r="E35" s="913"/>
      <c r="F35" s="1558"/>
      <c r="G35" s="1558"/>
      <c r="H35" s="285"/>
      <c r="N35" s="1288"/>
      <c r="P35" s="1288"/>
      <c r="Q35" s="1558"/>
      <c r="R35" s="1558"/>
      <c r="S35" s="1288"/>
      <c r="T35" s="1288"/>
      <c r="U35" s="1288"/>
      <c r="V35" s="1288"/>
      <c r="W35" s="1558"/>
      <c r="X35" s="1288"/>
      <c r="Y35" s="1288"/>
      <c r="Z35" s="478"/>
      <c r="AA35" s="1288"/>
      <c r="AB35" s="1288"/>
      <c r="AC35" s="1288"/>
      <c r="AD35" s="1288"/>
      <c r="AE35" s="1288"/>
      <c r="AF35" s="1554"/>
      <c r="AG35" s="556"/>
      <c r="AH35" s="556"/>
      <c r="AI35" s="556"/>
      <c r="AJ35" s="556"/>
      <c r="AK35" s="1563">
        <v>11</v>
      </c>
    </row>
    <row r="36" spans="1:37" s="1563" customFormat="1" ht="11.45" customHeight="1">
      <c r="A36" s="913"/>
      <c r="B36" s="913"/>
      <c r="C36" s="913"/>
      <c r="D36" s="913"/>
      <c r="E36" s="913"/>
      <c r="F36" s="1558"/>
      <c r="G36" s="1558"/>
      <c r="H36" s="285"/>
      <c r="N36" s="1288"/>
      <c r="P36" s="1288"/>
      <c r="Q36" s="1558"/>
      <c r="R36" s="1558"/>
      <c r="S36" s="1288"/>
      <c r="T36" s="1288"/>
      <c r="U36" s="1288"/>
      <c r="V36" s="1288"/>
      <c r="W36" s="1558"/>
      <c r="X36" s="1288"/>
      <c r="Y36" s="1288"/>
      <c r="Z36" s="478"/>
      <c r="AA36" s="1288"/>
      <c r="AB36" s="1288"/>
      <c r="AC36" s="1288"/>
      <c r="AD36" s="1288"/>
      <c r="AE36" s="1288"/>
      <c r="AF36" s="1554"/>
      <c r="AG36" s="556"/>
      <c r="AH36" s="556"/>
      <c r="AI36" s="556"/>
      <c r="AJ36" s="556"/>
      <c r="AK36" s="1563">
        <v>11</v>
      </c>
    </row>
    <row r="37" spans="1:37" s="1563" customFormat="1" ht="11.45" customHeight="1">
      <c r="A37" s="913"/>
      <c r="B37" s="913"/>
      <c r="C37" s="913"/>
      <c r="D37" s="913"/>
      <c r="E37" s="913"/>
      <c r="F37" s="1558"/>
      <c r="G37" s="1558"/>
      <c r="H37" s="285"/>
      <c r="L37" s="556"/>
      <c r="M37" s="556"/>
      <c r="N37" s="1288"/>
      <c r="P37" s="1288"/>
      <c r="Q37" s="1558"/>
      <c r="R37" s="1558"/>
      <c r="S37" s="1288"/>
      <c r="T37" s="1288"/>
      <c r="U37" s="1288"/>
      <c r="V37" s="1288"/>
      <c r="W37" s="1558"/>
      <c r="X37" s="1288"/>
      <c r="Y37" s="1288"/>
      <c r="Z37" s="478"/>
      <c r="AA37" s="1288"/>
      <c r="AB37" s="1288"/>
      <c r="AC37" s="1288"/>
      <c r="AD37" s="1288"/>
      <c r="AE37" s="1288"/>
      <c r="AF37" s="1554"/>
      <c r="AG37" s="556"/>
      <c r="AH37" s="556"/>
      <c r="AI37" s="556"/>
      <c r="AJ37" s="556"/>
      <c r="AK37" s="1563">
        <v>11</v>
      </c>
    </row>
    <row r="38" spans="1:37" s="1563" customFormat="1" ht="11.45" customHeight="1">
      <c r="A38" s="913"/>
      <c r="B38" s="913"/>
      <c r="C38" s="913"/>
      <c r="D38" s="913"/>
      <c r="E38" s="913"/>
      <c r="F38" s="1558"/>
      <c r="G38" s="1558"/>
      <c r="H38" s="285"/>
      <c r="N38" s="1288"/>
      <c r="P38" s="1288"/>
      <c r="Q38" s="1558"/>
      <c r="R38" s="1558"/>
      <c r="S38" s="1288"/>
      <c r="T38" s="1288"/>
      <c r="U38" s="1288"/>
      <c r="V38" s="1288"/>
      <c r="W38" s="1558"/>
      <c r="X38" s="1288"/>
      <c r="Y38" s="1288"/>
      <c r="Z38" s="478"/>
      <c r="AA38" s="1288"/>
      <c r="AB38" s="1288"/>
      <c r="AC38" s="1288"/>
      <c r="AD38" s="1288"/>
      <c r="AE38" s="1288"/>
      <c r="AF38" s="1554"/>
      <c r="AG38" s="556"/>
      <c r="AH38" s="556"/>
      <c r="AI38" s="556"/>
      <c r="AJ38" s="556"/>
      <c r="AK38" s="1563">
        <v>11</v>
      </c>
    </row>
    <row r="39" spans="1:37" s="1563" customFormat="1" ht="11.45" customHeight="1">
      <c r="A39" s="913"/>
      <c r="B39" s="913"/>
      <c r="C39" s="913"/>
      <c r="D39" s="913"/>
      <c r="E39" s="913"/>
      <c r="F39" s="1558"/>
      <c r="G39" s="1558"/>
      <c r="H39" s="285"/>
      <c r="N39" s="1288"/>
      <c r="P39" s="1288"/>
      <c r="Q39" s="1558"/>
      <c r="R39" s="1558"/>
      <c r="S39" s="1288"/>
      <c r="T39" s="1288"/>
      <c r="U39" s="1288"/>
      <c r="V39" s="1288"/>
      <c r="W39" s="1558"/>
      <c r="X39" s="1288"/>
      <c r="Y39" s="1288"/>
      <c r="Z39" s="478"/>
      <c r="AA39" s="1288"/>
      <c r="AB39" s="1288"/>
      <c r="AC39" s="1288"/>
      <c r="AD39" s="1288"/>
      <c r="AE39" s="1288"/>
      <c r="AF39" s="1554"/>
      <c r="AG39" s="556"/>
      <c r="AH39" s="556"/>
      <c r="AI39" s="556"/>
      <c r="AJ39" s="556"/>
      <c r="AK39" s="1563">
        <v>11</v>
      </c>
    </row>
    <row r="40" spans="1:37" s="1563" customFormat="1" ht="11.45" customHeight="1">
      <c r="A40" s="913"/>
      <c r="B40" s="913"/>
      <c r="C40" s="913"/>
      <c r="D40" s="913"/>
      <c r="E40" s="913"/>
      <c r="F40" s="1558"/>
      <c r="G40" s="1558"/>
      <c r="H40" s="285"/>
      <c r="N40" s="1288"/>
      <c r="P40" s="1288"/>
      <c r="Q40" s="1558"/>
      <c r="R40" s="1558"/>
      <c r="S40" s="1288"/>
      <c r="T40" s="1288"/>
      <c r="U40" s="1288"/>
      <c r="V40" s="1288"/>
      <c r="W40" s="1558"/>
      <c r="X40" s="1288"/>
      <c r="Y40" s="1288"/>
      <c r="Z40" s="478"/>
      <c r="AA40" s="1288"/>
      <c r="AB40" s="1288"/>
      <c r="AC40" s="1288"/>
      <c r="AD40" s="1288"/>
      <c r="AE40" s="1288"/>
      <c r="AF40" s="1554"/>
      <c r="AG40" s="556"/>
      <c r="AH40" s="556"/>
      <c r="AI40" s="556"/>
      <c r="AJ40" s="556"/>
      <c r="AK40" s="1563">
        <v>11</v>
      </c>
    </row>
    <row r="41" spans="1:37" s="1563" customFormat="1" ht="11.45" customHeight="1">
      <c r="A41" s="913"/>
      <c r="B41" s="913"/>
      <c r="C41" s="913"/>
      <c r="D41" s="913"/>
      <c r="E41" s="913"/>
      <c r="F41" s="1558"/>
      <c r="G41" s="1558"/>
      <c r="H41" s="285"/>
      <c r="N41" s="1288"/>
      <c r="P41" s="1288"/>
      <c r="Q41" s="1558"/>
      <c r="R41" s="1558"/>
      <c r="S41" s="1288"/>
      <c r="T41" s="1288"/>
      <c r="U41" s="1288"/>
      <c r="V41" s="1288"/>
      <c r="W41" s="1558"/>
      <c r="X41" s="1288"/>
      <c r="Y41" s="1288"/>
      <c r="Z41" s="478"/>
      <c r="AA41" s="1288"/>
      <c r="AB41" s="1288"/>
      <c r="AC41" s="1288"/>
      <c r="AD41" s="1288"/>
      <c r="AE41" s="1288"/>
      <c r="AF41" s="1554"/>
      <c r="AG41" s="556"/>
      <c r="AH41" s="556"/>
      <c r="AI41" s="556"/>
      <c r="AJ41" s="556"/>
      <c r="AK41" s="1563">
        <v>11</v>
      </c>
    </row>
    <row r="42" spans="1:37" s="1563" customFormat="1" ht="11.45" customHeight="1">
      <c r="A42" s="913"/>
      <c r="B42" s="913"/>
      <c r="C42" s="913"/>
      <c r="D42" s="913"/>
      <c r="E42" s="913"/>
      <c r="F42" s="1558"/>
      <c r="G42" s="1558"/>
      <c r="H42" s="285"/>
      <c r="N42" s="1288"/>
      <c r="P42" s="1288"/>
      <c r="Q42" s="1558"/>
      <c r="R42" s="1558"/>
      <c r="S42" s="1288"/>
      <c r="T42" s="1288"/>
      <c r="U42" s="1288"/>
      <c r="V42" s="1288"/>
      <c r="W42" s="1558"/>
      <c r="X42" s="1288"/>
      <c r="Y42" s="1288"/>
      <c r="Z42" s="478"/>
      <c r="AA42" s="1288"/>
      <c r="AB42" s="1288"/>
      <c r="AC42" s="1288"/>
      <c r="AD42" s="1288"/>
      <c r="AE42" s="1288"/>
      <c r="AF42" s="1554"/>
      <c r="AG42" s="556"/>
      <c r="AH42" s="556"/>
      <c r="AI42" s="556"/>
      <c r="AJ42" s="556"/>
      <c r="AK42" s="1563">
        <v>11</v>
      </c>
    </row>
    <row r="43" spans="1:37" s="1563" customFormat="1" ht="11.45" customHeight="1">
      <c r="A43" s="913"/>
      <c r="B43" s="913"/>
      <c r="C43" s="913"/>
      <c r="D43" s="913"/>
      <c r="E43" s="913"/>
      <c r="F43" s="1558"/>
      <c r="G43" s="1558"/>
      <c r="H43" s="285"/>
      <c r="N43" s="1288"/>
      <c r="P43" s="1288"/>
      <c r="Q43" s="1558"/>
      <c r="R43" s="1558"/>
      <c r="S43" s="1288"/>
      <c r="T43" s="1288"/>
      <c r="U43" s="1288"/>
      <c r="V43" s="1288"/>
      <c r="W43" s="1558"/>
      <c r="X43" s="1288"/>
      <c r="Y43" s="1288"/>
      <c r="Z43" s="478"/>
      <c r="AA43" s="1288"/>
      <c r="AB43" s="1288"/>
      <c r="AC43" s="1288"/>
      <c r="AD43" s="1288"/>
      <c r="AE43" s="1288"/>
      <c r="AF43" s="1554"/>
      <c r="AG43" s="556"/>
      <c r="AH43" s="556"/>
      <c r="AI43" s="556"/>
      <c r="AJ43" s="556"/>
      <c r="AK43" s="1563">
        <v>11</v>
      </c>
    </row>
    <row r="44" spans="1:37" s="1563" customFormat="1" ht="11.45" customHeight="1">
      <c r="A44" s="913"/>
      <c r="B44" s="913"/>
      <c r="C44" s="913"/>
      <c r="D44" s="913"/>
      <c r="E44" s="913"/>
      <c r="F44" s="1558"/>
      <c r="G44" s="1558"/>
      <c r="H44" s="285"/>
      <c r="N44" s="1288"/>
      <c r="P44" s="1288"/>
      <c r="Q44" s="1558"/>
      <c r="R44" s="1558"/>
      <c r="S44" s="1288"/>
      <c r="T44" s="1288"/>
      <c r="U44" s="1288"/>
      <c r="V44" s="1288"/>
      <c r="W44" s="1558"/>
      <c r="X44" s="1288"/>
      <c r="Y44" s="1288"/>
      <c r="Z44" s="478"/>
      <c r="AA44" s="1288"/>
      <c r="AB44" s="1288"/>
      <c r="AC44" s="1288"/>
      <c r="AD44" s="1288"/>
      <c r="AE44" s="1288"/>
      <c r="AF44" s="1554"/>
      <c r="AG44" s="556"/>
      <c r="AH44" s="556"/>
      <c r="AI44" s="556"/>
      <c r="AJ44" s="556"/>
      <c r="AK44" s="1563">
        <v>11</v>
      </c>
    </row>
    <row r="45" spans="1:37" s="1563" customFormat="1" ht="11.45" customHeight="1">
      <c r="A45" s="913"/>
      <c r="B45" s="913"/>
      <c r="C45" s="913"/>
      <c r="D45" s="913"/>
      <c r="E45" s="913"/>
      <c r="F45" s="1558"/>
      <c r="G45" s="1558"/>
      <c r="H45" s="285"/>
      <c r="N45" s="1288"/>
      <c r="P45" s="1288"/>
      <c r="Q45" s="1558"/>
      <c r="R45" s="1558"/>
      <c r="S45" s="1288"/>
      <c r="T45" s="1288"/>
      <c r="U45" s="1288"/>
      <c r="V45" s="1288"/>
      <c r="W45" s="1558"/>
      <c r="X45" s="1288"/>
      <c r="Y45" s="1288"/>
      <c r="Z45" s="478"/>
      <c r="AA45" s="1288"/>
      <c r="AB45" s="1288"/>
      <c r="AC45" s="1288"/>
      <c r="AD45" s="1288"/>
      <c r="AE45" s="1288"/>
      <c r="AF45" s="1554"/>
      <c r="AG45" s="556"/>
      <c r="AH45" s="556"/>
      <c r="AI45" s="556"/>
      <c r="AJ45" s="556"/>
      <c r="AK45" s="1563">
        <v>11</v>
      </c>
    </row>
    <row r="46" spans="1:37" s="1563" customFormat="1" ht="11.45" customHeight="1">
      <c r="A46" s="913"/>
      <c r="B46" s="913"/>
      <c r="C46" s="913"/>
      <c r="D46" s="913"/>
      <c r="E46" s="913"/>
      <c r="F46" s="1558"/>
      <c r="G46" s="1558"/>
      <c r="H46" s="285"/>
      <c r="N46" s="1288"/>
      <c r="P46" s="1288"/>
      <c r="Q46" s="1558"/>
      <c r="R46" s="1558"/>
      <c r="S46" s="1288"/>
      <c r="T46" s="1288"/>
      <c r="U46" s="1288"/>
      <c r="V46" s="1288"/>
      <c r="W46" s="1558"/>
      <c r="X46" s="1288"/>
      <c r="Y46" s="1288"/>
      <c r="Z46" s="478"/>
      <c r="AA46" s="1288"/>
      <c r="AB46" s="1288"/>
      <c r="AC46" s="1288"/>
      <c r="AD46" s="1288"/>
      <c r="AE46" s="1288"/>
      <c r="AF46" s="1554"/>
      <c r="AG46" s="556"/>
      <c r="AH46" s="556"/>
      <c r="AI46" s="556"/>
      <c r="AJ46" s="556"/>
      <c r="AK46" s="1563">
        <v>11</v>
      </c>
    </row>
    <row r="47" spans="1:37" s="1563" customFormat="1" ht="11.45" customHeight="1">
      <c r="A47" s="913"/>
      <c r="B47" s="913"/>
      <c r="C47" s="913"/>
      <c r="D47" s="913"/>
      <c r="E47" s="913"/>
      <c r="F47" s="1558"/>
      <c r="G47" s="1558"/>
      <c r="H47" s="285"/>
      <c r="N47" s="1288"/>
      <c r="P47" s="1288"/>
      <c r="Q47" s="1558"/>
      <c r="R47" s="1558"/>
      <c r="S47" s="1288"/>
      <c r="T47" s="1288"/>
      <c r="U47" s="1288"/>
      <c r="V47" s="1288"/>
      <c r="W47" s="1558"/>
      <c r="X47" s="1288"/>
      <c r="Y47" s="1288"/>
      <c r="Z47" s="478"/>
      <c r="AA47" s="1288"/>
      <c r="AB47" s="1288"/>
      <c r="AC47" s="1288"/>
      <c r="AD47" s="1288"/>
      <c r="AE47" s="1288"/>
      <c r="AF47" s="1554"/>
      <c r="AG47" s="556"/>
      <c r="AH47" s="556"/>
      <c r="AI47" s="556"/>
      <c r="AJ47" s="556"/>
      <c r="AK47" s="1563">
        <v>11</v>
      </c>
    </row>
    <row r="48" spans="1:37" s="1563" customFormat="1" ht="11.45" customHeight="1">
      <c r="A48" s="913"/>
      <c r="B48" s="913"/>
      <c r="C48" s="913"/>
      <c r="D48" s="913"/>
      <c r="E48" s="913"/>
      <c r="F48" s="1558"/>
      <c r="G48" s="1558"/>
      <c r="H48" s="285"/>
      <c r="N48" s="1288"/>
      <c r="P48" s="1288"/>
      <c r="Q48" s="1558"/>
      <c r="R48" s="1558"/>
      <c r="S48" s="1288"/>
      <c r="T48" s="1288"/>
      <c r="U48" s="1288"/>
      <c r="V48" s="1288"/>
      <c r="W48" s="1558"/>
      <c r="X48" s="1288"/>
      <c r="Y48" s="1288"/>
      <c r="Z48" s="478"/>
      <c r="AA48" s="1288"/>
      <c r="AB48" s="1288"/>
      <c r="AC48" s="1288"/>
      <c r="AD48" s="1288"/>
      <c r="AE48" s="1288"/>
      <c r="AF48" s="1554"/>
      <c r="AG48" s="556"/>
      <c r="AH48" s="556"/>
      <c r="AI48" s="556"/>
      <c r="AJ48" s="556"/>
      <c r="AK48" s="1563">
        <v>11</v>
      </c>
    </row>
    <row r="49" spans="1:37" s="1563" customFormat="1" ht="11.45" customHeight="1">
      <c r="A49" s="913"/>
      <c r="B49" s="913"/>
      <c r="C49" s="913"/>
      <c r="D49" s="913"/>
      <c r="E49" s="913"/>
      <c r="F49" s="1558"/>
      <c r="G49" s="1558"/>
      <c r="H49" s="285"/>
      <c r="N49" s="1288"/>
      <c r="P49" s="1288"/>
      <c r="Q49" s="1558"/>
      <c r="R49" s="1558"/>
      <c r="S49" s="1288"/>
      <c r="T49" s="1288"/>
      <c r="U49" s="1288"/>
      <c r="V49" s="1288"/>
      <c r="W49" s="1558"/>
      <c r="X49" s="1288"/>
      <c r="Y49" s="1288"/>
      <c r="Z49" s="478"/>
      <c r="AA49" s="1288"/>
      <c r="AB49" s="1288"/>
      <c r="AC49" s="1288"/>
      <c r="AD49" s="1288"/>
      <c r="AE49" s="1288"/>
      <c r="AF49" s="1554"/>
      <c r="AG49" s="556"/>
      <c r="AH49" s="556"/>
      <c r="AI49" s="556"/>
      <c r="AJ49" s="556"/>
      <c r="AK49" s="1563">
        <v>11</v>
      </c>
    </row>
    <row r="50" spans="1:37" s="1563" customFormat="1" ht="11.45" customHeight="1">
      <c r="A50" s="913"/>
      <c r="B50" s="913"/>
      <c r="C50" s="913"/>
      <c r="D50" s="913"/>
      <c r="E50" s="913"/>
      <c r="F50" s="1558"/>
      <c r="G50" s="1558"/>
      <c r="H50" s="285"/>
      <c r="N50" s="1288"/>
      <c r="P50" s="1288"/>
      <c r="Q50" s="1558"/>
      <c r="R50" s="1558"/>
      <c r="S50" s="1288"/>
      <c r="T50" s="1288"/>
      <c r="U50" s="1288"/>
      <c r="V50" s="1288"/>
      <c r="W50" s="1558"/>
      <c r="X50" s="1288"/>
      <c r="Y50" s="1288"/>
      <c r="Z50" s="478"/>
      <c r="AA50" s="1288"/>
      <c r="AB50" s="1288"/>
      <c r="AC50" s="1288"/>
      <c r="AD50" s="1288"/>
      <c r="AE50" s="1288"/>
      <c r="AF50" s="1554"/>
      <c r="AG50" s="556"/>
      <c r="AH50" s="556"/>
      <c r="AI50" s="556"/>
      <c r="AJ50" s="556"/>
      <c r="AK50" s="1563">
        <v>11</v>
      </c>
    </row>
    <row r="51" spans="1:37" s="1563" customFormat="1" ht="11.45" customHeight="1">
      <c r="A51" s="913"/>
      <c r="B51" s="913"/>
      <c r="C51" s="913"/>
      <c r="D51" s="913"/>
      <c r="E51" s="913"/>
      <c r="F51" s="1558"/>
      <c r="G51" s="1558"/>
      <c r="H51" s="285"/>
      <c r="N51" s="1288"/>
      <c r="P51" s="1288"/>
      <c r="Q51" s="1558"/>
      <c r="R51" s="1558"/>
      <c r="S51" s="1288"/>
      <c r="T51" s="1288"/>
      <c r="U51" s="1288"/>
      <c r="V51" s="1288"/>
      <c r="W51" s="1558"/>
      <c r="X51" s="1288"/>
      <c r="Y51" s="1288"/>
      <c r="Z51" s="478"/>
      <c r="AA51" s="1288"/>
      <c r="AB51" s="1288"/>
      <c r="AC51" s="1288"/>
      <c r="AD51" s="1288"/>
      <c r="AE51" s="1288"/>
      <c r="AF51" s="1554"/>
      <c r="AG51" s="556"/>
      <c r="AH51" s="556"/>
      <c r="AI51" s="556"/>
      <c r="AJ51" s="556"/>
      <c r="AK51" s="1563">
        <v>11</v>
      </c>
    </row>
    <row r="52" spans="1:37" s="1563" customFormat="1" ht="11.45" customHeight="1">
      <c r="A52" s="913"/>
      <c r="B52" s="913"/>
      <c r="C52" s="913"/>
      <c r="D52" s="913"/>
      <c r="E52" s="913"/>
      <c r="F52" s="1558"/>
      <c r="G52" s="1558"/>
      <c r="H52" s="285"/>
      <c r="N52" s="1288"/>
      <c r="P52" s="1288"/>
      <c r="Q52" s="1558"/>
      <c r="R52" s="1558"/>
      <c r="S52" s="1288"/>
      <c r="T52" s="1288"/>
      <c r="U52" s="1288"/>
      <c r="V52" s="1288"/>
      <c r="W52" s="1558"/>
      <c r="X52" s="1288"/>
      <c r="Y52" s="1288"/>
      <c r="Z52" s="478"/>
      <c r="AA52" s="1288"/>
      <c r="AB52" s="1288"/>
      <c r="AC52" s="1288"/>
      <c r="AD52" s="1288"/>
      <c r="AE52" s="1288"/>
      <c r="AF52" s="1554"/>
      <c r="AG52" s="556"/>
      <c r="AH52" s="556"/>
      <c r="AI52" s="556"/>
      <c r="AJ52" s="556"/>
      <c r="AK52" s="1563">
        <v>11</v>
      </c>
    </row>
    <row r="53" spans="1:37" s="1563" customFormat="1" ht="11.45" customHeight="1">
      <c r="A53" s="913"/>
      <c r="B53" s="913"/>
      <c r="C53" s="913"/>
      <c r="D53" s="913"/>
      <c r="E53" s="913"/>
      <c r="F53" s="1558"/>
      <c r="G53" s="1558"/>
      <c r="H53" s="285"/>
      <c r="N53" s="1288"/>
      <c r="P53" s="1288"/>
      <c r="Q53" s="1558"/>
      <c r="R53" s="1558"/>
      <c r="S53" s="1288"/>
      <c r="T53" s="1288"/>
      <c r="U53" s="1288"/>
      <c r="V53" s="1288"/>
      <c r="W53" s="1558"/>
      <c r="X53" s="1288"/>
      <c r="Y53" s="1288"/>
      <c r="Z53" s="478"/>
      <c r="AA53" s="1288"/>
      <c r="AB53" s="1288"/>
      <c r="AC53" s="1288"/>
      <c r="AD53" s="1288"/>
      <c r="AE53" s="1288"/>
      <c r="AF53" s="1554"/>
      <c r="AG53" s="556"/>
      <c r="AH53" s="556"/>
      <c r="AI53" s="556"/>
      <c r="AJ53" s="556"/>
      <c r="AK53" s="1563">
        <v>11</v>
      </c>
    </row>
    <row r="54" spans="1:37" s="1563" customFormat="1" ht="11.45" customHeight="1">
      <c r="A54" s="913"/>
      <c r="B54" s="913"/>
      <c r="C54" s="913"/>
      <c r="D54" s="913"/>
      <c r="E54" s="913"/>
      <c r="F54" s="1558"/>
      <c r="G54" s="1558"/>
      <c r="H54" s="285"/>
      <c r="N54" s="1288"/>
      <c r="P54" s="1288"/>
      <c r="Q54" s="1558"/>
      <c r="R54" s="1558"/>
      <c r="S54" s="1288"/>
      <c r="T54" s="1288"/>
      <c r="U54" s="1288"/>
      <c r="V54" s="1288"/>
      <c r="W54" s="1558"/>
      <c r="X54" s="1288"/>
      <c r="Y54" s="1288"/>
      <c r="Z54" s="478"/>
      <c r="AA54" s="1288"/>
      <c r="AB54" s="1288"/>
      <c r="AC54" s="1288"/>
      <c r="AD54" s="1288"/>
      <c r="AE54" s="1288"/>
      <c r="AF54" s="1554"/>
      <c r="AG54" s="556"/>
      <c r="AH54" s="556"/>
      <c r="AI54" s="556"/>
      <c r="AJ54" s="556"/>
      <c r="AK54" s="1563">
        <v>11</v>
      </c>
    </row>
    <row r="55" spans="1:37" s="1563" customFormat="1" ht="11.45" customHeight="1">
      <c r="A55" s="913"/>
      <c r="B55" s="913"/>
      <c r="C55" s="913"/>
      <c r="D55" s="913"/>
      <c r="E55" s="913"/>
      <c r="F55" s="1558"/>
      <c r="G55" s="1558"/>
      <c r="H55" s="285"/>
      <c r="N55" s="1288"/>
      <c r="P55" s="1288"/>
      <c r="Q55" s="1558"/>
      <c r="R55" s="1558"/>
      <c r="S55" s="1288"/>
      <c r="T55" s="1288"/>
      <c r="U55" s="1288"/>
      <c r="V55" s="1288"/>
      <c r="W55" s="1558"/>
      <c r="X55" s="1288"/>
      <c r="Y55" s="1288"/>
      <c r="Z55" s="478"/>
      <c r="AA55" s="1288"/>
      <c r="AB55" s="1288"/>
      <c r="AC55" s="1288"/>
      <c r="AD55" s="1288"/>
      <c r="AE55" s="1288"/>
      <c r="AF55" s="1554"/>
      <c r="AG55" s="556"/>
      <c r="AH55" s="556"/>
      <c r="AI55" s="556"/>
      <c r="AJ55" s="556"/>
      <c r="AK55" s="1563">
        <v>11</v>
      </c>
    </row>
    <row r="56" spans="1:37" s="1563" customFormat="1" ht="11.45" customHeight="1">
      <c r="A56" s="913"/>
      <c r="B56" s="913"/>
      <c r="C56" s="913"/>
      <c r="D56" s="913"/>
      <c r="E56" s="913"/>
      <c r="F56" s="1558"/>
      <c r="G56" s="1558"/>
      <c r="H56" s="285"/>
      <c r="N56" s="1288"/>
      <c r="P56" s="1288"/>
      <c r="Q56" s="1558"/>
      <c r="R56" s="1558"/>
      <c r="S56" s="1288"/>
      <c r="T56" s="1288"/>
      <c r="U56" s="1288"/>
      <c r="V56" s="1288"/>
      <c r="W56" s="1558"/>
      <c r="X56" s="1288"/>
      <c r="Y56" s="1288"/>
      <c r="Z56" s="478"/>
      <c r="AA56" s="1288"/>
      <c r="AB56" s="1288"/>
      <c r="AC56" s="1288"/>
      <c r="AD56" s="1288"/>
      <c r="AE56" s="1288"/>
      <c r="AF56" s="1554"/>
      <c r="AG56" s="556"/>
      <c r="AH56" s="556"/>
      <c r="AI56" s="556"/>
      <c r="AJ56" s="556"/>
      <c r="AK56" s="1563">
        <v>11</v>
      </c>
    </row>
    <row r="57" spans="1:37" s="1563" customFormat="1" ht="11.45" customHeight="1">
      <c r="A57" s="913"/>
      <c r="B57" s="913"/>
      <c r="C57" s="913"/>
      <c r="D57" s="913"/>
      <c r="E57" s="913"/>
      <c r="F57" s="1558"/>
      <c r="G57" s="1558"/>
      <c r="H57" s="285"/>
      <c r="N57" s="1288"/>
      <c r="P57" s="1288"/>
      <c r="Q57" s="1558"/>
      <c r="R57" s="1558"/>
      <c r="S57" s="1288"/>
      <c r="T57" s="1288"/>
      <c r="U57" s="1288"/>
      <c r="V57" s="1288"/>
      <c r="W57" s="1558"/>
      <c r="X57" s="1288"/>
      <c r="Y57" s="1288"/>
      <c r="Z57" s="478"/>
      <c r="AA57" s="1288"/>
      <c r="AB57" s="1288"/>
      <c r="AC57" s="1288"/>
      <c r="AD57" s="1288"/>
      <c r="AE57" s="1288"/>
      <c r="AF57" s="1554"/>
      <c r="AG57" s="556"/>
      <c r="AH57" s="556"/>
      <c r="AI57" s="556"/>
      <c r="AJ57" s="556"/>
      <c r="AK57" s="1563">
        <v>11</v>
      </c>
    </row>
    <row r="58" spans="1:37" s="1563" customFormat="1" ht="11.45" customHeight="1">
      <c r="A58" s="913"/>
      <c r="B58" s="913"/>
      <c r="C58" s="913"/>
      <c r="D58" s="913"/>
      <c r="E58" s="913"/>
      <c r="F58" s="1558"/>
      <c r="G58" s="1558"/>
      <c r="H58" s="285"/>
      <c r="N58" s="1288"/>
      <c r="P58" s="1288"/>
      <c r="Q58" s="1558"/>
      <c r="R58" s="1558"/>
      <c r="S58" s="1288"/>
      <c r="T58" s="1288"/>
      <c r="U58" s="1288"/>
      <c r="V58" s="1288"/>
      <c r="W58" s="1558"/>
      <c r="X58" s="1288"/>
      <c r="Y58" s="1288"/>
      <c r="Z58" s="478"/>
      <c r="AA58" s="1288"/>
      <c r="AB58" s="1288"/>
      <c r="AC58" s="1288"/>
      <c r="AD58" s="1288"/>
      <c r="AE58" s="1288"/>
      <c r="AF58" s="1554"/>
      <c r="AG58" s="556"/>
      <c r="AH58" s="556"/>
      <c r="AI58" s="556"/>
      <c r="AJ58" s="556"/>
      <c r="AK58" s="1563">
        <v>11</v>
      </c>
    </row>
    <row r="59" spans="1:37" s="1563" customFormat="1" ht="11.45" customHeight="1">
      <c r="A59" s="913"/>
      <c r="B59" s="913"/>
      <c r="C59" s="913"/>
      <c r="D59" s="913"/>
      <c r="E59" s="913"/>
      <c r="F59" s="1558"/>
      <c r="G59" s="1558"/>
      <c r="H59" s="285"/>
      <c r="N59" s="1288"/>
      <c r="P59" s="1288"/>
      <c r="Q59" s="1558"/>
      <c r="R59" s="1558"/>
      <c r="S59" s="1288"/>
      <c r="T59" s="1288"/>
      <c r="U59" s="1288"/>
      <c r="V59" s="1288"/>
      <c r="W59" s="1558"/>
      <c r="X59" s="1288"/>
      <c r="Y59" s="1288"/>
      <c r="Z59" s="478"/>
      <c r="AA59" s="1288"/>
      <c r="AB59" s="1288"/>
      <c r="AC59" s="1288"/>
      <c r="AD59" s="1288"/>
      <c r="AE59" s="1288"/>
      <c r="AF59" s="1554"/>
      <c r="AG59" s="556"/>
      <c r="AH59" s="556"/>
      <c r="AI59" s="556"/>
      <c r="AJ59" s="556"/>
      <c r="AK59" s="1563">
        <v>11</v>
      </c>
    </row>
    <row r="60" spans="1:37" s="1563" customFormat="1" ht="11.45" customHeight="1">
      <c r="A60" s="913"/>
      <c r="B60" s="913"/>
      <c r="C60" s="913"/>
      <c r="D60" s="913"/>
      <c r="E60" s="913"/>
      <c r="F60" s="1558"/>
      <c r="G60" s="1558"/>
      <c r="H60" s="285"/>
      <c r="N60" s="1288"/>
      <c r="P60" s="1288"/>
      <c r="Q60" s="1558"/>
      <c r="R60" s="1558"/>
      <c r="S60" s="1288"/>
      <c r="T60" s="1288"/>
      <c r="U60" s="1288"/>
      <c r="V60" s="1288"/>
      <c r="W60" s="1558"/>
      <c r="X60" s="1288"/>
      <c r="Y60" s="1288"/>
      <c r="Z60" s="478"/>
      <c r="AA60" s="1288"/>
      <c r="AB60" s="1288"/>
      <c r="AC60" s="1288"/>
      <c r="AD60" s="1288"/>
      <c r="AE60" s="1288"/>
      <c r="AF60" s="1554"/>
      <c r="AG60" s="556"/>
      <c r="AH60" s="556"/>
      <c r="AI60" s="556"/>
      <c r="AJ60" s="556"/>
      <c r="AK60" s="1563">
        <v>11</v>
      </c>
    </row>
    <row r="61" spans="1:37" s="1563" customFormat="1" ht="11.45" customHeight="1">
      <c r="A61" s="913"/>
      <c r="B61" s="913"/>
      <c r="C61" s="913"/>
      <c r="D61" s="913"/>
      <c r="E61" s="913"/>
      <c r="F61" s="1558"/>
      <c r="G61" s="1558"/>
      <c r="H61" s="285"/>
      <c r="N61" s="1288"/>
      <c r="P61" s="1288"/>
      <c r="Q61" s="1558"/>
      <c r="R61" s="1558"/>
      <c r="S61" s="1288"/>
      <c r="T61" s="1288"/>
      <c r="U61" s="1288"/>
      <c r="V61" s="1288"/>
      <c r="W61" s="1558"/>
      <c r="X61" s="1288"/>
      <c r="Y61" s="1288"/>
      <c r="Z61" s="478"/>
      <c r="AA61" s="1288"/>
      <c r="AB61" s="1288"/>
      <c r="AC61" s="1288"/>
      <c r="AD61" s="1288"/>
      <c r="AE61" s="1288"/>
      <c r="AF61" s="1554"/>
      <c r="AG61" s="556"/>
      <c r="AH61" s="556"/>
      <c r="AI61" s="556"/>
      <c r="AJ61" s="556"/>
      <c r="AK61" s="1563">
        <v>11</v>
      </c>
    </row>
    <row r="62" spans="1:37" s="1563" customFormat="1" ht="11.45" customHeight="1">
      <c r="A62" s="913"/>
      <c r="B62" s="913"/>
      <c r="C62" s="913"/>
      <c r="D62" s="913"/>
      <c r="E62" s="913"/>
      <c r="F62" s="1558"/>
      <c r="G62" s="1558"/>
      <c r="H62" s="285"/>
      <c r="N62" s="1288"/>
      <c r="P62" s="1288"/>
      <c r="Q62" s="1558"/>
      <c r="R62" s="1558"/>
      <c r="S62" s="1288"/>
      <c r="T62" s="1288"/>
      <c r="U62" s="1288"/>
      <c r="V62" s="1288"/>
      <c r="W62" s="1558"/>
      <c r="X62" s="1288"/>
      <c r="Y62" s="1288"/>
      <c r="Z62" s="478"/>
      <c r="AA62" s="1288"/>
      <c r="AB62" s="1288"/>
      <c r="AC62" s="1288"/>
      <c r="AD62" s="1288"/>
      <c r="AE62" s="1288"/>
      <c r="AF62" s="1554"/>
      <c r="AG62" s="556"/>
      <c r="AH62" s="556"/>
      <c r="AI62" s="556"/>
      <c r="AJ62" s="556"/>
      <c r="AK62" s="1563">
        <v>11</v>
      </c>
    </row>
    <row r="63" spans="1:37" s="1563" customFormat="1" ht="11.45" customHeight="1">
      <c r="A63" s="913"/>
      <c r="B63" s="913"/>
      <c r="C63" s="913"/>
      <c r="D63" s="913"/>
      <c r="E63" s="913"/>
      <c r="F63" s="1558"/>
      <c r="G63" s="1558"/>
      <c r="H63" s="285"/>
      <c r="N63" s="1288"/>
      <c r="P63" s="1288"/>
      <c r="Q63" s="1558"/>
      <c r="R63" s="1558"/>
      <c r="S63" s="1288"/>
      <c r="T63" s="1288"/>
      <c r="U63" s="1288"/>
      <c r="V63" s="1288"/>
      <c r="W63" s="1558"/>
      <c r="X63" s="1288"/>
      <c r="Y63" s="1288"/>
      <c r="Z63" s="478"/>
      <c r="AA63" s="1288"/>
      <c r="AB63" s="1288"/>
      <c r="AC63" s="1288"/>
      <c r="AD63" s="1288"/>
      <c r="AE63" s="1288"/>
      <c r="AF63" s="1554"/>
      <c r="AG63" s="556"/>
      <c r="AH63" s="556"/>
      <c r="AI63" s="556"/>
      <c r="AJ63" s="556"/>
      <c r="AK63" s="1563">
        <v>11</v>
      </c>
    </row>
    <row r="64" spans="1:37" s="1563" customFormat="1" ht="11.45" customHeight="1">
      <c r="A64" s="913"/>
      <c r="B64" s="913"/>
      <c r="C64" s="913"/>
      <c r="D64" s="913"/>
      <c r="E64" s="913"/>
      <c r="F64" s="1558"/>
      <c r="G64" s="1558"/>
      <c r="H64" s="285"/>
      <c r="N64" s="1288"/>
      <c r="P64" s="1288"/>
      <c r="Q64" s="1558"/>
      <c r="R64" s="1558"/>
      <c r="S64" s="1288"/>
      <c r="T64" s="1288"/>
      <c r="U64" s="1288"/>
      <c r="V64" s="1288"/>
      <c r="W64" s="1558"/>
      <c r="X64" s="1288"/>
      <c r="Y64" s="1288"/>
      <c r="Z64" s="478"/>
      <c r="AA64" s="1288"/>
      <c r="AB64" s="1288"/>
      <c r="AC64" s="1288"/>
      <c r="AD64" s="1288"/>
      <c r="AE64" s="1288"/>
      <c r="AF64" s="1554"/>
      <c r="AG64" s="556"/>
      <c r="AH64" s="556"/>
      <c r="AI64" s="556"/>
      <c r="AJ64" s="556"/>
      <c r="AK64" s="1563">
        <v>11</v>
      </c>
    </row>
    <row r="65" spans="1:37" s="1563" customFormat="1" ht="11.45" customHeight="1">
      <c r="A65" s="913"/>
      <c r="B65" s="913"/>
      <c r="C65" s="913"/>
      <c r="D65" s="913"/>
      <c r="E65" s="913"/>
      <c r="F65" s="1558"/>
      <c r="G65" s="1558"/>
      <c r="H65" s="285"/>
      <c r="N65" s="1288"/>
      <c r="P65" s="1288"/>
      <c r="Q65" s="1558"/>
      <c r="R65" s="1558"/>
      <c r="S65" s="1288"/>
      <c r="T65" s="1288"/>
      <c r="U65" s="1288"/>
      <c r="V65" s="1288"/>
      <c r="W65" s="1558"/>
      <c r="X65" s="1288"/>
      <c r="Y65" s="1288"/>
      <c r="Z65" s="478"/>
      <c r="AA65" s="1288"/>
      <c r="AB65" s="1288"/>
      <c r="AC65" s="1288"/>
      <c r="AD65" s="1288"/>
      <c r="AE65" s="1288"/>
      <c r="AF65" s="1554"/>
      <c r="AG65" s="556"/>
      <c r="AH65" s="556"/>
      <c r="AI65" s="556"/>
      <c r="AJ65" s="556"/>
      <c r="AK65" s="1563">
        <v>11</v>
      </c>
    </row>
    <row r="66" spans="1:37" s="1563" customFormat="1" ht="11.45" customHeight="1">
      <c r="A66" s="913"/>
      <c r="B66" s="913"/>
      <c r="C66" s="913"/>
      <c r="D66" s="913"/>
      <c r="E66" s="913"/>
      <c r="F66" s="1558"/>
      <c r="G66" s="1558"/>
      <c r="H66" s="285"/>
      <c r="N66" s="1288"/>
      <c r="P66" s="1288"/>
      <c r="Q66" s="1558"/>
      <c r="R66" s="1558"/>
      <c r="S66" s="1288"/>
      <c r="T66" s="1288"/>
      <c r="U66" s="1288"/>
      <c r="V66" s="1288"/>
      <c r="W66" s="1558"/>
      <c r="X66" s="1288"/>
      <c r="Y66" s="1288"/>
      <c r="Z66" s="478"/>
      <c r="AA66" s="1288"/>
      <c r="AB66" s="1288"/>
      <c r="AC66" s="1288"/>
      <c r="AD66" s="1288"/>
      <c r="AE66" s="1288"/>
      <c r="AF66" s="1554"/>
      <c r="AG66" s="556"/>
      <c r="AH66" s="556"/>
      <c r="AI66" s="556"/>
      <c r="AJ66" s="556"/>
      <c r="AK66" s="1563">
        <v>11</v>
      </c>
    </row>
    <row r="67" spans="1:37" s="1563" customFormat="1" ht="11.45" customHeight="1">
      <c r="A67" s="913"/>
      <c r="B67" s="913"/>
      <c r="C67" s="913"/>
      <c r="D67" s="913"/>
      <c r="E67" s="913"/>
      <c r="F67" s="1558"/>
      <c r="G67" s="1558"/>
      <c r="H67" s="285"/>
      <c r="N67" s="1288"/>
      <c r="P67" s="1288"/>
      <c r="Q67" s="1558"/>
      <c r="R67" s="1558"/>
      <c r="S67" s="1288"/>
      <c r="T67" s="1288"/>
      <c r="U67" s="1288"/>
      <c r="V67" s="1288"/>
      <c r="W67" s="1558"/>
      <c r="X67" s="1288"/>
      <c r="Y67" s="1288"/>
      <c r="Z67" s="478"/>
      <c r="AA67" s="1288"/>
      <c r="AB67" s="1288"/>
      <c r="AC67" s="1288"/>
      <c r="AD67" s="1288"/>
      <c r="AE67" s="1288"/>
      <c r="AF67" s="1554"/>
      <c r="AG67" s="556"/>
      <c r="AH67" s="556"/>
      <c r="AI67" s="556"/>
      <c r="AJ67" s="556"/>
      <c r="AK67" s="1563">
        <v>11</v>
      </c>
    </row>
    <row r="68" spans="1:37" s="1563" customFormat="1" ht="11.45" customHeight="1">
      <c r="A68" s="913"/>
      <c r="B68" s="913"/>
      <c r="C68" s="913"/>
      <c r="D68" s="913"/>
      <c r="E68" s="913"/>
      <c r="F68" s="1558"/>
      <c r="G68" s="1558"/>
      <c r="H68" s="285"/>
      <c r="N68" s="1288"/>
      <c r="P68" s="1288"/>
      <c r="Q68" s="1558"/>
      <c r="R68" s="1558"/>
      <c r="S68" s="1288"/>
      <c r="T68" s="1288"/>
      <c r="U68" s="1288"/>
      <c r="V68" s="1288"/>
      <c r="W68" s="1558"/>
      <c r="X68" s="1288"/>
      <c r="Y68" s="1288"/>
      <c r="Z68" s="478"/>
      <c r="AA68" s="1288"/>
      <c r="AB68" s="1288"/>
      <c r="AC68" s="1288"/>
      <c r="AD68" s="1288"/>
      <c r="AE68" s="1288"/>
      <c r="AF68" s="1554"/>
      <c r="AG68" s="556"/>
      <c r="AH68" s="556"/>
      <c r="AI68" s="556"/>
      <c r="AJ68" s="556"/>
      <c r="AK68" s="1563">
        <v>11</v>
      </c>
    </row>
    <row r="69" spans="1:37" s="1563" customFormat="1" ht="11.45" customHeight="1">
      <c r="A69" s="913"/>
      <c r="B69" s="913"/>
      <c r="C69" s="913"/>
      <c r="D69" s="913"/>
      <c r="E69" s="913"/>
      <c r="F69" s="1558"/>
      <c r="G69" s="1558"/>
      <c r="H69" s="285"/>
      <c r="N69" s="1288"/>
      <c r="P69" s="1288"/>
      <c r="Q69" s="1558"/>
      <c r="R69" s="1558"/>
      <c r="S69" s="1288"/>
      <c r="T69" s="1288"/>
      <c r="U69" s="1288"/>
      <c r="V69" s="1288"/>
      <c r="W69" s="1558"/>
      <c r="X69" s="1288"/>
      <c r="Y69" s="1288"/>
      <c r="Z69" s="478"/>
      <c r="AA69" s="1288"/>
      <c r="AB69" s="1288"/>
      <c r="AC69" s="1288"/>
      <c r="AD69" s="1288"/>
      <c r="AE69" s="1288"/>
      <c r="AF69" s="1554"/>
      <c r="AG69" s="556"/>
      <c r="AH69" s="556"/>
      <c r="AI69" s="556"/>
      <c r="AJ69" s="556"/>
      <c r="AK69" s="1563">
        <v>11</v>
      </c>
    </row>
    <row r="70" spans="1:37" s="1563" customFormat="1" ht="11.45" customHeight="1">
      <c r="A70" s="913"/>
      <c r="B70" s="913"/>
      <c r="C70" s="913"/>
      <c r="D70" s="913"/>
      <c r="E70" s="913"/>
      <c r="F70" s="1558"/>
      <c r="G70" s="1558"/>
      <c r="H70" s="285"/>
      <c r="N70" s="1288"/>
      <c r="P70" s="1288"/>
      <c r="Q70" s="1558"/>
      <c r="R70" s="1558"/>
      <c r="S70" s="1288"/>
      <c r="T70" s="1288"/>
      <c r="U70" s="1288"/>
      <c r="V70" s="1288"/>
      <c r="W70" s="1558"/>
      <c r="X70" s="1288"/>
      <c r="Y70" s="1288"/>
      <c r="Z70" s="478"/>
      <c r="AA70" s="1288"/>
      <c r="AB70" s="1288"/>
      <c r="AC70" s="1288"/>
      <c r="AD70" s="1288"/>
      <c r="AE70" s="1288"/>
      <c r="AF70" s="1554"/>
      <c r="AG70" s="556"/>
      <c r="AH70" s="556"/>
      <c r="AI70" s="556"/>
      <c r="AJ70" s="556"/>
      <c r="AK70" s="1563">
        <v>11</v>
      </c>
    </row>
    <row r="71" spans="1:37" s="1563" customFormat="1" ht="11.45" customHeight="1">
      <c r="A71" s="913"/>
      <c r="B71" s="913"/>
      <c r="C71" s="913"/>
      <c r="D71" s="913"/>
      <c r="E71" s="913"/>
      <c r="F71" s="1558"/>
      <c r="G71" s="1558"/>
      <c r="H71" s="285"/>
      <c r="N71" s="1288"/>
      <c r="P71" s="1288"/>
      <c r="Q71" s="1558"/>
      <c r="R71" s="1558"/>
      <c r="S71" s="1288"/>
      <c r="T71" s="1288"/>
      <c r="U71" s="1288"/>
      <c r="V71" s="1288"/>
      <c r="W71" s="1558"/>
      <c r="X71" s="1288"/>
      <c r="Y71" s="1288"/>
      <c r="Z71" s="478"/>
      <c r="AA71" s="1288"/>
      <c r="AB71" s="1288"/>
      <c r="AC71" s="1288"/>
      <c r="AD71" s="1288"/>
      <c r="AE71" s="1288"/>
      <c r="AF71" s="1554"/>
      <c r="AG71" s="556"/>
      <c r="AH71" s="556"/>
      <c r="AI71" s="556"/>
      <c r="AJ71" s="556"/>
      <c r="AK71" s="1563">
        <v>11</v>
      </c>
    </row>
    <row r="72" spans="1:37" s="1563" customFormat="1" ht="11.45" customHeight="1">
      <c r="A72" s="913"/>
      <c r="B72" s="913"/>
      <c r="C72" s="913"/>
      <c r="D72" s="913"/>
      <c r="E72" s="913"/>
      <c r="F72" s="1558"/>
      <c r="G72" s="1558"/>
      <c r="H72" s="285"/>
      <c r="N72" s="1288"/>
      <c r="P72" s="1288"/>
      <c r="Q72" s="1558"/>
      <c r="R72" s="1558"/>
      <c r="S72" s="1288"/>
      <c r="T72" s="1288"/>
      <c r="U72" s="1288"/>
      <c r="V72" s="1288"/>
      <c r="W72" s="1558"/>
      <c r="X72" s="1288"/>
      <c r="Y72" s="1288"/>
      <c r="Z72" s="478"/>
      <c r="AA72" s="1288"/>
      <c r="AB72" s="1288"/>
      <c r="AC72" s="1288"/>
      <c r="AD72" s="1288"/>
      <c r="AE72" s="1288"/>
      <c r="AF72" s="1554"/>
      <c r="AG72" s="556"/>
      <c r="AH72" s="556"/>
      <c r="AI72" s="556"/>
      <c r="AJ72" s="556"/>
      <c r="AK72" s="1563">
        <v>11</v>
      </c>
    </row>
    <row r="73" spans="1:37" s="1563" customFormat="1" ht="11.45" customHeight="1">
      <c r="A73" s="913"/>
      <c r="B73" s="913"/>
      <c r="C73" s="913"/>
      <c r="D73" s="913"/>
      <c r="E73" s="913"/>
      <c r="F73" s="1558"/>
      <c r="G73" s="1558"/>
      <c r="H73" s="285"/>
      <c r="N73" s="1288"/>
      <c r="P73" s="1288"/>
      <c r="Q73" s="1558"/>
      <c r="R73" s="1558"/>
      <c r="S73" s="1288"/>
      <c r="T73" s="1288"/>
      <c r="U73" s="1288"/>
      <c r="V73" s="1288"/>
      <c r="W73" s="1558"/>
      <c r="X73" s="1288"/>
      <c r="Y73" s="1288"/>
      <c r="Z73" s="478"/>
      <c r="AA73" s="1288"/>
      <c r="AB73" s="1288"/>
      <c r="AC73" s="1288"/>
      <c r="AD73" s="1288"/>
      <c r="AE73" s="1288"/>
      <c r="AF73" s="1554"/>
      <c r="AG73" s="556"/>
      <c r="AH73" s="556"/>
      <c r="AI73" s="556"/>
      <c r="AJ73" s="556"/>
      <c r="AK73" s="1563">
        <v>11</v>
      </c>
    </row>
    <row r="74" spans="1:37" s="1563" customFormat="1" ht="11.45" customHeight="1">
      <c r="A74" s="913"/>
      <c r="B74" s="913"/>
      <c r="C74" s="913"/>
      <c r="D74" s="913"/>
      <c r="E74" s="913"/>
      <c r="F74" s="1558"/>
      <c r="G74" s="1558"/>
      <c r="H74" s="285"/>
      <c r="N74" s="1288"/>
      <c r="P74" s="1288"/>
      <c r="Q74" s="1558"/>
      <c r="R74" s="1558"/>
      <c r="S74" s="1288"/>
      <c r="T74" s="1288"/>
      <c r="U74" s="1288"/>
      <c r="V74" s="1288"/>
      <c r="W74" s="1558"/>
      <c r="X74" s="1288"/>
      <c r="Y74" s="1288"/>
      <c r="Z74" s="478"/>
      <c r="AA74" s="1288"/>
      <c r="AB74" s="1288"/>
      <c r="AC74" s="1288"/>
      <c r="AD74" s="1288"/>
      <c r="AE74" s="1288"/>
      <c r="AF74" s="1554"/>
      <c r="AG74" s="556"/>
      <c r="AH74" s="556"/>
      <c r="AI74" s="556"/>
      <c r="AJ74" s="556"/>
      <c r="AK74" s="1563">
        <v>11</v>
      </c>
    </row>
    <row r="75" spans="1:37" s="1563" customFormat="1" ht="11.45" customHeight="1">
      <c r="A75" s="913"/>
      <c r="B75" s="913"/>
      <c r="C75" s="913"/>
      <c r="D75" s="913"/>
      <c r="E75" s="913"/>
      <c r="F75" s="1558"/>
      <c r="G75" s="1558"/>
      <c r="H75" s="285"/>
      <c r="N75" s="1288"/>
      <c r="P75" s="1288"/>
      <c r="Q75" s="1558"/>
      <c r="R75" s="1558"/>
      <c r="S75" s="1288"/>
      <c r="T75" s="1288"/>
      <c r="U75" s="1288"/>
      <c r="V75" s="1288"/>
      <c r="W75" s="1558"/>
      <c r="X75" s="1288"/>
      <c r="Y75" s="1288"/>
      <c r="Z75" s="478"/>
      <c r="AA75" s="1288"/>
      <c r="AB75" s="1288"/>
      <c r="AC75" s="1288"/>
      <c r="AD75" s="1288"/>
      <c r="AE75" s="1288"/>
      <c r="AF75" s="1554"/>
      <c r="AG75" s="556"/>
      <c r="AH75" s="556"/>
      <c r="AI75" s="556"/>
      <c r="AJ75" s="556"/>
      <c r="AK75" s="1563">
        <v>11</v>
      </c>
    </row>
    <row r="76" spans="1:37" s="1563" customFormat="1" ht="11.45" customHeight="1">
      <c r="A76" s="913"/>
      <c r="B76" s="913"/>
      <c r="C76" s="913"/>
      <c r="D76" s="913"/>
      <c r="E76" s="913"/>
      <c r="F76" s="1558"/>
      <c r="G76" s="1558"/>
      <c r="H76" s="285"/>
      <c r="N76" s="1288"/>
      <c r="P76" s="1288"/>
      <c r="Q76" s="1558"/>
      <c r="R76" s="1558"/>
      <c r="S76" s="1288"/>
      <c r="T76" s="1288"/>
      <c r="U76" s="1288"/>
      <c r="V76" s="1288"/>
      <c r="W76" s="1558"/>
      <c r="X76" s="1288"/>
      <c r="Y76" s="1288"/>
      <c r="Z76" s="478"/>
      <c r="AA76" s="1288"/>
      <c r="AB76" s="1288"/>
      <c r="AC76" s="1288"/>
      <c r="AD76" s="1288"/>
      <c r="AE76" s="1288"/>
      <c r="AF76" s="1554"/>
      <c r="AG76" s="556"/>
      <c r="AH76" s="556"/>
      <c r="AI76" s="556"/>
      <c r="AJ76" s="556"/>
      <c r="AK76" s="1563">
        <v>11</v>
      </c>
    </row>
    <row r="77" spans="1:37" s="1563" customFormat="1" ht="11.45" customHeight="1">
      <c r="A77" s="913"/>
      <c r="B77" s="913"/>
      <c r="C77" s="913"/>
      <c r="D77" s="913"/>
      <c r="E77" s="913"/>
      <c r="F77" s="1558"/>
      <c r="G77" s="1558"/>
      <c r="H77" s="285"/>
      <c r="N77" s="1288"/>
      <c r="P77" s="1288"/>
      <c r="Q77" s="1558"/>
      <c r="R77" s="1558"/>
      <c r="S77" s="1288"/>
      <c r="T77" s="1288"/>
      <c r="U77" s="1288"/>
      <c r="V77" s="1288"/>
      <c r="W77" s="1558"/>
      <c r="X77" s="1288"/>
      <c r="Y77" s="1288"/>
      <c r="Z77" s="478"/>
      <c r="AA77" s="1288"/>
      <c r="AB77" s="1288"/>
      <c r="AC77" s="1288"/>
      <c r="AD77" s="1288"/>
      <c r="AE77" s="1288"/>
      <c r="AF77" s="1554"/>
      <c r="AG77" s="556"/>
      <c r="AH77" s="556"/>
      <c r="AI77" s="556"/>
      <c r="AJ77" s="556"/>
      <c r="AK77" s="1563">
        <v>11</v>
      </c>
    </row>
    <row r="78" spans="1:37" s="1563" customFormat="1" ht="11.45" customHeight="1">
      <c r="A78" s="913"/>
      <c r="B78" s="913"/>
      <c r="C78" s="913"/>
      <c r="D78" s="913"/>
      <c r="E78" s="913"/>
      <c r="F78" s="1558"/>
      <c r="G78" s="1558"/>
      <c r="H78" s="285"/>
      <c r="N78" s="1288"/>
      <c r="P78" s="1288"/>
      <c r="Q78" s="1558"/>
      <c r="R78" s="1558"/>
      <c r="S78" s="1288"/>
      <c r="T78" s="1288"/>
      <c r="U78" s="1288"/>
      <c r="V78" s="1288"/>
      <c r="W78" s="1558"/>
      <c r="X78" s="1288"/>
      <c r="Y78" s="1288"/>
      <c r="Z78" s="478"/>
      <c r="AA78" s="1288"/>
      <c r="AB78" s="1288"/>
      <c r="AC78" s="1288"/>
      <c r="AD78" s="1288"/>
      <c r="AE78" s="1288"/>
      <c r="AF78" s="1554"/>
      <c r="AG78" s="556"/>
      <c r="AH78" s="556"/>
      <c r="AI78" s="556"/>
      <c r="AJ78" s="556"/>
      <c r="AK78" s="1563">
        <v>11</v>
      </c>
    </row>
    <row r="79" spans="1:37" s="1563" customFormat="1" ht="11.45" customHeight="1">
      <c r="A79" s="913"/>
      <c r="B79" s="913"/>
      <c r="C79" s="913"/>
      <c r="D79" s="913"/>
      <c r="E79" s="913"/>
      <c r="F79" s="1558"/>
      <c r="G79" s="1558"/>
      <c r="H79" s="285"/>
      <c r="N79" s="1288"/>
      <c r="P79" s="1288"/>
      <c r="Q79" s="1558"/>
      <c r="R79" s="1558"/>
      <c r="S79" s="1288"/>
      <c r="T79" s="1288"/>
      <c r="U79" s="1288"/>
      <c r="V79" s="1288"/>
      <c r="W79" s="1558"/>
      <c r="X79" s="1288"/>
      <c r="Y79" s="1288"/>
      <c r="Z79" s="478"/>
      <c r="AA79" s="1288"/>
      <c r="AB79" s="1288"/>
      <c r="AC79" s="1288"/>
      <c r="AD79" s="1288"/>
      <c r="AE79" s="1288"/>
      <c r="AF79" s="1554"/>
      <c r="AG79" s="556"/>
      <c r="AH79" s="556"/>
      <c r="AI79" s="556"/>
      <c r="AJ79" s="556"/>
      <c r="AK79" s="1563">
        <v>11</v>
      </c>
    </row>
    <row r="80" spans="1:37" s="1563" customFormat="1" ht="11.45" customHeight="1">
      <c r="A80" s="913"/>
      <c r="B80" s="913"/>
      <c r="C80" s="913"/>
      <c r="D80" s="913"/>
      <c r="E80" s="913"/>
      <c r="F80" s="1558"/>
      <c r="G80" s="1558"/>
      <c r="H80" s="285"/>
      <c r="N80" s="1288"/>
      <c r="P80" s="1288"/>
      <c r="Q80" s="1558"/>
      <c r="R80" s="1558"/>
      <c r="S80" s="1288"/>
      <c r="T80" s="1288"/>
      <c r="U80" s="1288"/>
      <c r="V80" s="1288"/>
      <c r="W80" s="1558"/>
      <c r="X80" s="1288"/>
      <c r="Y80" s="1288"/>
      <c r="Z80" s="478"/>
      <c r="AA80" s="1288"/>
      <c r="AB80" s="1288"/>
      <c r="AC80" s="1288"/>
      <c r="AD80" s="1288"/>
      <c r="AE80" s="1288"/>
      <c r="AF80" s="1554"/>
      <c r="AG80" s="556"/>
      <c r="AH80" s="556"/>
      <c r="AI80" s="556"/>
      <c r="AJ80" s="556"/>
      <c r="AK80" s="1563">
        <v>11</v>
      </c>
    </row>
    <row r="81" spans="1:37" s="1563" customFormat="1" ht="11.45" customHeight="1">
      <c r="A81" s="913"/>
      <c r="B81" s="913"/>
      <c r="C81" s="913"/>
      <c r="D81" s="913"/>
      <c r="E81" s="913"/>
      <c r="F81" s="1558"/>
      <c r="G81" s="1558"/>
      <c r="H81" s="285"/>
      <c r="N81" s="1288"/>
      <c r="P81" s="1288"/>
      <c r="Q81" s="1558"/>
      <c r="R81" s="1558"/>
      <c r="S81" s="1288"/>
      <c r="T81" s="1288"/>
      <c r="U81" s="1288"/>
      <c r="V81" s="1288"/>
      <c r="W81" s="1558"/>
      <c r="X81" s="1288"/>
      <c r="Y81" s="1288"/>
      <c r="Z81" s="478"/>
      <c r="AA81" s="1288"/>
      <c r="AB81" s="1288"/>
      <c r="AC81" s="1288"/>
      <c r="AD81" s="1288"/>
      <c r="AE81" s="1288"/>
      <c r="AF81" s="1554"/>
      <c r="AG81" s="556"/>
      <c r="AH81" s="556"/>
      <c r="AI81" s="556"/>
      <c r="AJ81" s="556"/>
      <c r="AK81" s="1563">
        <v>11</v>
      </c>
    </row>
    <row r="82" spans="1:37" s="1563" customFormat="1" ht="11.45" customHeight="1">
      <c r="A82" s="913"/>
      <c r="B82" s="913"/>
      <c r="C82" s="913"/>
      <c r="D82" s="913"/>
      <c r="E82" s="913"/>
      <c r="F82" s="1558"/>
      <c r="G82" s="1558"/>
      <c r="H82" s="285"/>
      <c r="N82" s="1288"/>
      <c r="P82" s="1288"/>
      <c r="Q82" s="1558"/>
      <c r="R82" s="1558"/>
      <c r="S82" s="1288"/>
      <c r="T82" s="1288"/>
      <c r="U82" s="1288"/>
      <c r="V82" s="1288"/>
      <c r="W82" s="1558"/>
      <c r="X82" s="1288"/>
      <c r="Y82" s="1288"/>
      <c r="Z82" s="478"/>
      <c r="AA82" s="1288"/>
      <c r="AB82" s="1288"/>
      <c r="AC82" s="1288"/>
      <c r="AD82" s="1288"/>
      <c r="AE82" s="1288"/>
      <c r="AF82" s="1554"/>
      <c r="AG82" s="556"/>
      <c r="AH82" s="556"/>
      <c r="AI82" s="556"/>
      <c r="AJ82" s="556"/>
      <c r="AK82" s="1563">
        <v>11</v>
      </c>
    </row>
    <row r="83" spans="1:37" s="1563" customFormat="1" ht="11.45" customHeight="1">
      <c r="A83" s="913"/>
      <c r="B83" s="913"/>
      <c r="C83" s="913"/>
      <c r="D83" s="913"/>
      <c r="E83" s="913"/>
      <c r="F83" s="1558"/>
      <c r="G83" s="1558"/>
      <c r="H83" s="285"/>
      <c r="N83" s="1288"/>
      <c r="P83" s="1288"/>
      <c r="Q83" s="1558"/>
      <c r="R83" s="1558"/>
      <c r="S83" s="1288"/>
      <c r="T83" s="1288"/>
      <c r="U83" s="1288"/>
      <c r="V83" s="1288"/>
      <c r="W83" s="1558"/>
      <c r="X83" s="1288"/>
      <c r="Y83" s="1288"/>
      <c r="Z83" s="478"/>
      <c r="AA83" s="1288"/>
      <c r="AB83" s="1288"/>
      <c r="AC83" s="1288"/>
      <c r="AD83" s="1288"/>
      <c r="AE83" s="1288"/>
      <c r="AF83" s="1554"/>
      <c r="AG83" s="556"/>
      <c r="AH83" s="556"/>
      <c r="AI83" s="556"/>
      <c r="AJ83" s="556"/>
      <c r="AK83" s="1563">
        <v>11</v>
      </c>
    </row>
    <row r="84" spans="1:37" s="1563" customFormat="1" ht="11.45" customHeight="1">
      <c r="A84" s="913"/>
      <c r="B84" s="913"/>
      <c r="C84" s="913"/>
      <c r="D84" s="913"/>
      <c r="E84" s="913"/>
      <c r="F84" s="1558"/>
      <c r="G84" s="1558"/>
      <c r="H84" s="285"/>
      <c r="N84" s="1288"/>
      <c r="P84" s="1288"/>
      <c r="Q84" s="1558"/>
      <c r="R84" s="1558"/>
      <c r="S84" s="1288"/>
      <c r="T84" s="1288"/>
      <c r="U84" s="1288"/>
      <c r="V84" s="1288"/>
      <c r="W84" s="1558"/>
      <c r="X84" s="1288"/>
      <c r="Y84" s="1288"/>
      <c r="Z84" s="478"/>
      <c r="AA84" s="1288"/>
      <c r="AB84" s="1288"/>
      <c r="AC84" s="1288"/>
      <c r="AD84" s="1288"/>
      <c r="AE84" s="1288"/>
      <c r="AF84" s="1554"/>
      <c r="AG84" s="556"/>
      <c r="AH84" s="556"/>
      <c r="AI84" s="556"/>
      <c r="AJ84" s="556"/>
      <c r="AK84" s="1563">
        <v>11</v>
      </c>
    </row>
    <row r="85" spans="1:37" s="1563" customFormat="1" ht="11.45" customHeight="1">
      <c r="A85" s="913"/>
      <c r="B85" s="913"/>
      <c r="C85" s="913"/>
      <c r="D85" s="913"/>
      <c r="E85" s="913"/>
      <c r="F85" s="1558"/>
      <c r="G85" s="1558"/>
      <c r="H85" s="285"/>
      <c r="N85" s="1288"/>
      <c r="P85" s="1288"/>
      <c r="Q85" s="1558"/>
      <c r="R85" s="1558"/>
      <c r="S85" s="1288"/>
      <c r="T85" s="1288"/>
      <c r="U85" s="1288"/>
      <c r="V85" s="1288"/>
      <c r="W85" s="1558"/>
      <c r="X85" s="1288"/>
      <c r="Y85" s="1288"/>
      <c r="Z85" s="478"/>
      <c r="AA85" s="1288"/>
      <c r="AB85" s="1288"/>
      <c r="AC85" s="1288"/>
      <c r="AD85" s="1288"/>
      <c r="AE85" s="1288"/>
      <c r="AF85" s="1554"/>
      <c r="AG85" s="556"/>
      <c r="AH85" s="556"/>
      <c r="AI85" s="556"/>
      <c r="AJ85" s="556"/>
      <c r="AK85" s="1563">
        <v>11</v>
      </c>
    </row>
    <row r="86" spans="1:37" s="1563" customFormat="1" ht="11.45" customHeight="1">
      <c r="A86" s="913"/>
      <c r="B86" s="913"/>
      <c r="C86" s="913"/>
      <c r="D86" s="913"/>
      <c r="E86" s="913"/>
      <c r="F86" s="1558"/>
      <c r="G86" s="1558"/>
      <c r="H86" s="285"/>
      <c r="N86" s="1288"/>
      <c r="P86" s="1288"/>
      <c r="Q86" s="1558"/>
      <c r="R86" s="1558"/>
      <c r="S86" s="1288"/>
      <c r="T86" s="1288"/>
      <c r="U86" s="1288"/>
      <c r="V86" s="1288"/>
      <c r="W86" s="1558"/>
      <c r="X86" s="1288"/>
      <c r="Y86" s="1288"/>
      <c r="Z86" s="478"/>
      <c r="AA86" s="1288"/>
      <c r="AB86" s="1288"/>
      <c r="AC86" s="1288"/>
      <c r="AD86" s="1288"/>
      <c r="AE86" s="1288"/>
      <c r="AF86" s="1554"/>
      <c r="AG86" s="556"/>
      <c r="AH86" s="556"/>
      <c r="AI86" s="556"/>
      <c r="AJ86" s="556"/>
      <c r="AK86" s="1563">
        <v>11</v>
      </c>
    </row>
    <row r="87" spans="1:37" s="1563" customFormat="1" ht="11.45" customHeight="1">
      <c r="A87" s="913"/>
      <c r="B87" s="913"/>
      <c r="C87" s="913"/>
      <c r="D87" s="913"/>
      <c r="E87" s="913"/>
      <c r="F87" s="1558"/>
      <c r="G87" s="1558"/>
      <c r="H87" s="285"/>
      <c r="N87" s="1288"/>
      <c r="P87" s="1288"/>
      <c r="Q87" s="1558"/>
      <c r="R87" s="1558"/>
      <c r="S87" s="1288"/>
      <c r="T87" s="1288"/>
      <c r="U87" s="1288"/>
      <c r="V87" s="1288"/>
      <c r="W87" s="1558"/>
      <c r="X87" s="1288"/>
      <c r="Y87" s="1288"/>
      <c r="Z87" s="478"/>
      <c r="AA87" s="1288"/>
      <c r="AB87" s="1288"/>
      <c r="AC87" s="1288"/>
      <c r="AD87" s="1288"/>
      <c r="AE87" s="1288"/>
      <c r="AF87" s="1554"/>
      <c r="AG87" s="556"/>
      <c r="AH87" s="556"/>
      <c r="AI87" s="556"/>
      <c r="AJ87" s="556"/>
      <c r="AK87" s="1563">
        <v>11</v>
      </c>
    </row>
    <row r="88" spans="1:37" s="1563" customFormat="1" ht="11.45" customHeight="1">
      <c r="A88" s="913"/>
      <c r="B88" s="913"/>
      <c r="C88" s="913"/>
      <c r="D88" s="913"/>
      <c r="E88" s="913"/>
      <c r="F88" s="1558"/>
      <c r="G88" s="1558"/>
      <c r="H88" s="285"/>
      <c r="N88" s="1288"/>
      <c r="P88" s="1288"/>
      <c r="Q88" s="1558"/>
      <c r="R88" s="1558"/>
      <c r="S88" s="1288"/>
      <c r="T88" s="1288"/>
      <c r="U88" s="1288"/>
      <c r="V88" s="1288"/>
      <c r="W88" s="1558"/>
      <c r="X88" s="1288"/>
      <c r="Y88" s="1288"/>
      <c r="Z88" s="478"/>
      <c r="AA88" s="1288"/>
      <c r="AB88" s="1288"/>
      <c r="AC88" s="1288"/>
      <c r="AD88" s="1288"/>
      <c r="AE88" s="1288"/>
      <c r="AF88" s="1554"/>
      <c r="AG88" s="556"/>
      <c r="AH88" s="556"/>
      <c r="AI88" s="556"/>
      <c r="AJ88" s="556"/>
      <c r="AK88" s="1563">
        <v>11</v>
      </c>
    </row>
    <row r="89" spans="1:37" s="1563" customFormat="1" ht="11.45" customHeight="1">
      <c r="A89" s="913"/>
      <c r="B89" s="913"/>
      <c r="C89" s="913"/>
      <c r="D89" s="913"/>
      <c r="E89" s="913"/>
      <c r="F89" s="1558"/>
      <c r="G89" s="1558"/>
      <c r="H89" s="285"/>
      <c r="N89" s="1288"/>
      <c r="P89" s="1288"/>
      <c r="Q89" s="1558"/>
      <c r="R89" s="1558"/>
      <c r="S89" s="1288"/>
      <c r="T89" s="1288"/>
      <c r="U89" s="1288"/>
      <c r="V89" s="1288"/>
      <c r="W89" s="1558"/>
      <c r="X89" s="1288"/>
      <c r="Y89" s="1288"/>
      <c r="Z89" s="478"/>
      <c r="AA89" s="1288"/>
      <c r="AB89" s="1288"/>
      <c r="AC89" s="1288"/>
      <c r="AD89" s="1288"/>
      <c r="AE89" s="1288"/>
      <c r="AF89" s="1554"/>
      <c r="AG89" s="556"/>
      <c r="AH89" s="556"/>
      <c r="AI89" s="556"/>
      <c r="AJ89" s="556"/>
      <c r="AK89" s="1563">
        <v>11</v>
      </c>
    </row>
    <row r="90" spans="1:37" s="1563" customFormat="1" ht="11.45" customHeight="1">
      <c r="A90" s="913"/>
      <c r="B90" s="913"/>
      <c r="C90" s="913"/>
      <c r="D90" s="913"/>
      <c r="E90" s="913"/>
      <c r="F90" s="1558"/>
      <c r="G90" s="1558"/>
      <c r="H90" s="285"/>
      <c r="N90" s="1288"/>
      <c r="P90" s="1288"/>
      <c r="Q90" s="1558"/>
      <c r="R90" s="1558"/>
      <c r="S90" s="1288"/>
      <c r="T90" s="1288"/>
      <c r="U90" s="1288"/>
      <c r="V90" s="1288"/>
      <c r="W90" s="1558"/>
      <c r="X90" s="1288"/>
      <c r="Y90" s="1288"/>
      <c r="Z90" s="478"/>
      <c r="AA90" s="1288"/>
      <c r="AB90" s="1288"/>
      <c r="AC90" s="1288"/>
      <c r="AD90" s="1288"/>
      <c r="AE90" s="1288"/>
      <c r="AF90" s="1554"/>
      <c r="AG90" s="556"/>
      <c r="AH90" s="556"/>
      <c r="AI90" s="556"/>
      <c r="AJ90" s="556"/>
      <c r="AK90" s="1563">
        <v>11</v>
      </c>
    </row>
    <row r="91" spans="1:37" s="1563" customFormat="1" ht="11.45" customHeight="1">
      <c r="A91" s="913"/>
      <c r="B91" s="913"/>
      <c r="C91" s="913"/>
      <c r="D91" s="913"/>
      <c r="E91" s="913"/>
      <c r="F91" s="1558"/>
      <c r="G91" s="1558"/>
      <c r="H91" s="285"/>
      <c r="N91" s="1288"/>
      <c r="P91" s="1288"/>
      <c r="Q91" s="1558"/>
      <c r="R91" s="1558"/>
      <c r="S91" s="1288"/>
      <c r="T91" s="1288"/>
      <c r="U91" s="1288"/>
      <c r="V91" s="1288"/>
      <c r="W91" s="1558"/>
      <c r="X91" s="1288"/>
      <c r="Y91" s="1288"/>
      <c r="Z91" s="478"/>
      <c r="AA91" s="1288"/>
      <c r="AB91" s="1288"/>
      <c r="AC91" s="1288"/>
      <c r="AD91" s="1288"/>
      <c r="AE91" s="1288"/>
      <c r="AF91" s="1554"/>
      <c r="AG91" s="556"/>
      <c r="AH91" s="556"/>
      <c r="AI91" s="556"/>
      <c r="AJ91" s="556"/>
      <c r="AK91" s="1563">
        <v>11</v>
      </c>
    </row>
    <row r="92" spans="1:37" s="1563" customFormat="1" ht="11.45" customHeight="1">
      <c r="A92" s="913"/>
      <c r="B92" s="913"/>
      <c r="C92" s="913"/>
      <c r="D92" s="913"/>
      <c r="E92" s="913"/>
      <c r="F92" s="1558"/>
      <c r="G92" s="1558"/>
      <c r="H92" s="285"/>
      <c r="N92" s="1288"/>
      <c r="P92" s="1288"/>
      <c r="Q92" s="1558"/>
      <c r="R92" s="1558"/>
      <c r="S92" s="1288"/>
      <c r="T92" s="1288"/>
      <c r="U92" s="1288"/>
      <c r="V92" s="1288"/>
      <c r="W92" s="1558"/>
      <c r="X92" s="1288"/>
      <c r="Y92" s="1288"/>
      <c r="Z92" s="478"/>
      <c r="AA92" s="1288"/>
      <c r="AB92" s="1288"/>
      <c r="AC92" s="1288"/>
      <c r="AD92" s="1288"/>
      <c r="AE92" s="1288"/>
      <c r="AF92" s="1554"/>
      <c r="AG92" s="556"/>
      <c r="AH92" s="556"/>
      <c r="AI92" s="556"/>
      <c r="AJ92" s="556"/>
      <c r="AK92" s="1563">
        <v>11</v>
      </c>
    </row>
    <row r="93" spans="1:37" s="1563" customFormat="1" ht="11.45" customHeight="1">
      <c r="A93" s="913"/>
      <c r="B93" s="913"/>
      <c r="C93" s="913"/>
      <c r="D93" s="913"/>
      <c r="E93" s="913"/>
      <c r="F93" s="1558"/>
      <c r="G93" s="1558"/>
      <c r="H93" s="285"/>
      <c r="N93" s="1288"/>
      <c r="P93" s="1288"/>
      <c r="Q93" s="1558"/>
      <c r="R93" s="1558"/>
      <c r="S93" s="1288"/>
      <c r="T93" s="1288"/>
      <c r="U93" s="1288"/>
      <c r="V93" s="1288"/>
      <c r="W93" s="1558"/>
      <c r="X93" s="1288"/>
      <c r="Y93" s="1288"/>
      <c r="Z93" s="478"/>
      <c r="AA93" s="1288"/>
      <c r="AB93" s="1288"/>
      <c r="AC93" s="1288"/>
      <c r="AD93" s="1288"/>
      <c r="AE93" s="1288"/>
      <c r="AF93" s="1554"/>
      <c r="AG93" s="556"/>
      <c r="AH93" s="556"/>
      <c r="AI93" s="556"/>
      <c r="AJ93" s="556"/>
      <c r="AK93" s="1563">
        <v>11</v>
      </c>
    </row>
    <row r="94" spans="1:37" s="1563" customFormat="1" ht="11.45" customHeight="1">
      <c r="A94" s="913"/>
      <c r="B94" s="913"/>
      <c r="C94" s="913"/>
      <c r="D94" s="913"/>
      <c r="E94" s="913"/>
      <c r="F94" s="1558"/>
      <c r="G94" s="1558"/>
      <c r="H94" s="285"/>
      <c r="N94" s="1288"/>
      <c r="P94" s="1288"/>
      <c r="Q94" s="1558"/>
      <c r="R94" s="1558"/>
      <c r="S94" s="1288"/>
      <c r="T94" s="1288"/>
      <c r="U94" s="1288"/>
      <c r="V94" s="1288"/>
      <c r="W94" s="1558"/>
      <c r="X94" s="1288"/>
      <c r="Y94" s="1288"/>
      <c r="Z94" s="478"/>
      <c r="AA94" s="1288"/>
      <c r="AB94" s="1288"/>
      <c r="AC94" s="1288"/>
      <c r="AD94" s="1288"/>
      <c r="AE94" s="1288"/>
      <c r="AF94" s="1554"/>
      <c r="AG94" s="556"/>
      <c r="AH94" s="556"/>
      <c r="AI94" s="556"/>
      <c r="AJ94" s="556"/>
      <c r="AK94" s="1563">
        <v>11</v>
      </c>
    </row>
    <row r="95" spans="1:37" s="1563" customFormat="1" ht="11.45" customHeight="1">
      <c r="A95" s="913"/>
      <c r="B95" s="913"/>
      <c r="C95" s="913"/>
      <c r="D95" s="913"/>
      <c r="E95" s="913"/>
      <c r="F95" s="1558"/>
      <c r="G95" s="1558"/>
      <c r="H95" s="285"/>
      <c r="N95" s="1288"/>
      <c r="P95" s="1288"/>
      <c r="Q95" s="1558"/>
      <c r="R95" s="1558"/>
      <c r="S95" s="1288"/>
      <c r="T95" s="1288"/>
      <c r="U95" s="1288"/>
      <c r="V95" s="1288"/>
      <c r="W95" s="1558"/>
      <c r="X95" s="1288"/>
      <c r="Y95" s="1288"/>
      <c r="Z95" s="478"/>
      <c r="AA95" s="1288"/>
      <c r="AB95" s="1288"/>
      <c r="AC95" s="1288"/>
      <c r="AD95" s="1288"/>
      <c r="AE95" s="1288"/>
      <c r="AF95" s="1554"/>
      <c r="AG95" s="556"/>
      <c r="AH95" s="556"/>
      <c r="AI95" s="556"/>
      <c r="AJ95" s="556"/>
      <c r="AK95" s="1563">
        <v>11</v>
      </c>
    </row>
    <row r="96" spans="1:37" s="1563" customFormat="1" ht="11.45" customHeight="1">
      <c r="A96" s="913"/>
      <c r="B96" s="913"/>
      <c r="C96" s="913"/>
      <c r="D96" s="913"/>
      <c r="E96" s="913"/>
      <c r="F96" s="1558"/>
      <c r="G96" s="1558"/>
      <c r="H96" s="285"/>
      <c r="N96" s="1288"/>
      <c r="P96" s="1288"/>
      <c r="Q96" s="1558"/>
      <c r="R96" s="1558"/>
      <c r="S96" s="1288"/>
      <c r="T96" s="1288"/>
      <c r="U96" s="1288"/>
      <c r="V96" s="1288"/>
      <c r="W96" s="1558"/>
      <c r="X96" s="1288"/>
      <c r="Y96" s="1288"/>
      <c r="Z96" s="478"/>
      <c r="AA96" s="1288"/>
      <c r="AB96" s="1288"/>
      <c r="AC96" s="1288"/>
      <c r="AD96" s="1288"/>
      <c r="AE96" s="1288"/>
      <c r="AF96" s="1554"/>
      <c r="AG96" s="556"/>
      <c r="AH96" s="556"/>
      <c r="AI96" s="556"/>
      <c r="AJ96" s="556"/>
      <c r="AK96" s="1563">
        <v>11</v>
      </c>
    </row>
    <row r="97" spans="1:37" s="1563" customFormat="1" ht="11.45" customHeight="1">
      <c r="A97" s="913"/>
      <c r="B97" s="913"/>
      <c r="C97" s="913"/>
      <c r="D97" s="913"/>
      <c r="E97" s="913"/>
      <c r="F97" s="1558"/>
      <c r="G97" s="1558"/>
      <c r="H97" s="285"/>
      <c r="N97" s="1288"/>
      <c r="P97" s="1288"/>
      <c r="Q97" s="1558"/>
      <c r="R97" s="1558"/>
      <c r="S97" s="1288"/>
      <c r="T97" s="1288"/>
      <c r="U97" s="1288"/>
      <c r="V97" s="1288"/>
      <c r="W97" s="1558"/>
      <c r="X97" s="1288"/>
      <c r="Y97" s="1288"/>
      <c r="Z97" s="478"/>
      <c r="AA97" s="1288"/>
      <c r="AB97" s="1288"/>
      <c r="AC97" s="1288"/>
      <c r="AD97" s="1288"/>
      <c r="AE97" s="1288"/>
      <c r="AF97" s="1554"/>
      <c r="AG97" s="556"/>
      <c r="AH97" s="556"/>
      <c r="AI97" s="556"/>
      <c r="AJ97" s="556"/>
      <c r="AK97" s="1563">
        <v>11</v>
      </c>
    </row>
    <row r="98" spans="1:37" s="1563" customFormat="1" ht="11.45" customHeight="1">
      <c r="A98" s="913"/>
      <c r="B98" s="913"/>
      <c r="C98" s="913"/>
      <c r="D98" s="913"/>
      <c r="E98" s="913"/>
      <c r="F98" s="1558"/>
      <c r="G98" s="1558"/>
      <c r="H98" s="285"/>
      <c r="N98" s="1288"/>
      <c r="P98" s="1288"/>
      <c r="Q98" s="1558"/>
      <c r="R98" s="1558"/>
      <c r="S98" s="1288"/>
      <c r="T98" s="1288"/>
      <c r="U98" s="1288"/>
      <c r="V98" s="1288"/>
      <c r="W98" s="1558"/>
      <c r="X98" s="1288"/>
      <c r="Y98" s="1288"/>
      <c r="Z98" s="478"/>
      <c r="AA98" s="1288"/>
      <c r="AB98" s="1288"/>
      <c r="AC98" s="1288"/>
      <c r="AD98" s="1288"/>
      <c r="AE98" s="1288"/>
      <c r="AF98" s="1554"/>
      <c r="AG98" s="556"/>
      <c r="AH98" s="556"/>
      <c r="AI98" s="556"/>
      <c r="AJ98" s="556"/>
      <c r="AK98" s="1563">
        <v>11</v>
      </c>
    </row>
    <row r="99" spans="1:37" s="1563" customFormat="1" ht="11.45" customHeight="1">
      <c r="A99" s="913"/>
      <c r="B99" s="913"/>
      <c r="C99" s="913"/>
      <c r="D99" s="913"/>
      <c r="E99" s="913"/>
      <c r="F99" s="1558"/>
      <c r="G99" s="1558"/>
      <c r="H99" s="285"/>
      <c r="N99" s="1288"/>
      <c r="P99" s="1288"/>
      <c r="Q99" s="1558"/>
      <c r="R99" s="1558"/>
      <c r="S99" s="1288"/>
      <c r="T99" s="1288"/>
      <c r="U99" s="1288"/>
      <c r="V99" s="1288"/>
      <c r="W99" s="1558"/>
      <c r="X99" s="1288"/>
      <c r="Y99" s="1288"/>
      <c r="Z99" s="478"/>
      <c r="AA99" s="1288"/>
      <c r="AB99" s="1288"/>
      <c r="AC99" s="1288"/>
      <c r="AD99" s="1288"/>
      <c r="AE99" s="1288"/>
      <c r="AF99" s="1554"/>
      <c r="AG99" s="556"/>
      <c r="AH99" s="556"/>
      <c r="AI99" s="556"/>
      <c r="AJ99" s="556"/>
      <c r="AK99" s="1563">
        <v>11</v>
      </c>
    </row>
    <row r="100" spans="1:37" s="1563" customFormat="1" ht="11.45" customHeight="1">
      <c r="A100" s="913"/>
      <c r="B100" s="913"/>
      <c r="C100" s="913"/>
      <c r="D100" s="913"/>
      <c r="E100" s="913"/>
      <c r="F100" s="1558"/>
      <c r="G100" s="1558"/>
      <c r="H100" s="285"/>
      <c r="N100" s="1288"/>
      <c r="P100" s="1288"/>
      <c r="Q100" s="1558"/>
      <c r="R100" s="1558"/>
      <c r="S100" s="1288"/>
      <c r="T100" s="1288"/>
      <c r="U100" s="1288"/>
      <c r="V100" s="1288"/>
      <c r="W100" s="1558"/>
      <c r="X100" s="1288"/>
      <c r="Y100" s="1288"/>
      <c r="Z100" s="478"/>
      <c r="AA100" s="1288"/>
      <c r="AB100" s="1288"/>
      <c r="AC100" s="1288"/>
      <c r="AD100" s="1288"/>
      <c r="AE100" s="1288"/>
      <c r="AF100" s="1554"/>
      <c r="AG100" s="556"/>
      <c r="AH100" s="556"/>
      <c r="AI100" s="556"/>
      <c r="AJ100" s="556"/>
      <c r="AK100" s="1563">
        <v>11</v>
      </c>
    </row>
    <row r="101" spans="1:37" s="1563" customFormat="1" ht="11.45" customHeight="1">
      <c r="A101" s="913"/>
      <c r="B101" s="913"/>
      <c r="C101" s="913"/>
      <c r="D101" s="913"/>
      <c r="E101" s="913"/>
      <c r="F101" s="1558"/>
      <c r="G101" s="1558"/>
      <c r="H101" s="285"/>
      <c r="N101" s="1288"/>
      <c r="P101" s="1288"/>
      <c r="Q101" s="1558"/>
      <c r="R101" s="1558"/>
      <c r="S101" s="1288"/>
      <c r="T101" s="1288"/>
      <c r="U101" s="1288"/>
      <c r="V101" s="1288"/>
      <c r="W101" s="1558"/>
      <c r="X101" s="1288"/>
      <c r="Y101" s="1288"/>
      <c r="Z101" s="478"/>
      <c r="AA101" s="1288"/>
      <c r="AB101" s="1288"/>
      <c r="AC101" s="1288"/>
      <c r="AD101" s="1288"/>
      <c r="AE101" s="1288"/>
      <c r="AF101" s="1554"/>
      <c r="AG101" s="556"/>
      <c r="AH101" s="556"/>
      <c r="AI101" s="556"/>
      <c r="AJ101" s="556"/>
      <c r="AK101" s="1563">
        <v>11</v>
      </c>
    </row>
    <row r="102" spans="1:37" s="1563" customFormat="1" ht="11.45" customHeight="1">
      <c r="A102" s="913"/>
      <c r="B102" s="913"/>
      <c r="C102" s="913"/>
      <c r="D102" s="913"/>
      <c r="E102" s="913"/>
      <c r="F102" s="1558"/>
      <c r="G102" s="1558"/>
      <c r="H102" s="285"/>
      <c r="N102" s="1288"/>
      <c r="P102" s="1288"/>
      <c r="Q102" s="1558"/>
      <c r="R102" s="1558"/>
      <c r="S102" s="1288"/>
      <c r="T102" s="1288"/>
      <c r="U102" s="1288"/>
      <c r="V102" s="1288"/>
      <c r="W102" s="1558"/>
      <c r="X102" s="1288"/>
      <c r="Y102" s="1288"/>
      <c r="Z102" s="478"/>
      <c r="AA102" s="1288"/>
      <c r="AB102" s="1288"/>
      <c r="AC102" s="1288"/>
      <c r="AD102" s="1288"/>
      <c r="AE102" s="1288"/>
      <c r="AF102" s="1554"/>
      <c r="AG102" s="556"/>
      <c r="AH102" s="556"/>
      <c r="AI102" s="556"/>
      <c r="AJ102" s="556"/>
      <c r="AK102" s="1563">
        <v>11</v>
      </c>
    </row>
    <row r="103" spans="1:37" s="1563" customFormat="1" ht="11.45" customHeight="1">
      <c r="A103" s="913"/>
      <c r="B103" s="913"/>
      <c r="C103" s="913"/>
      <c r="D103" s="913"/>
      <c r="E103" s="913"/>
      <c r="F103" s="1558"/>
      <c r="G103" s="1558"/>
      <c r="H103" s="285"/>
      <c r="N103" s="1288"/>
      <c r="P103" s="1288"/>
      <c r="Q103" s="1558"/>
      <c r="R103" s="1558"/>
      <c r="S103" s="1288"/>
      <c r="T103" s="1288"/>
      <c r="U103" s="1288"/>
      <c r="V103" s="1288"/>
      <c r="W103" s="1558"/>
      <c r="X103" s="1288"/>
      <c r="Y103" s="1288"/>
      <c r="Z103" s="478"/>
      <c r="AA103" s="1288"/>
      <c r="AB103" s="1288"/>
      <c r="AC103" s="1288"/>
      <c r="AD103" s="1288"/>
      <c r="AE103" s="1288"/>
      <c r="AF103" s="1554"/>
      <c r="AG103" s="556"/>
      <c r="AH103" s="556"/>
      <c r="AI103" s="556"/>
      <c r="AJ103" s="556"/>
      <c r="AK103" s="1563">
        <v>11</v>
      </c>
    </row>
    <row r="104" spans="1:37" s="1563" customFormat="1" ht="11.45" customHeight="1">
      <c r="A104" s="913"/>
      <c r="B104" s="913"/>
      <c r="C104" s="913"/>
      <c r="D104" s="913"/>
      <c r="E104" s="913"/>
      <c r="F104" s="1558"/>
      <c r="G104" s="1558"/>
      <c r="H104" s="285"/>
      <c r="N104" s="1288"/>
      <c r="P104" s="1288"/>
      <c r="Q104" s="1558"/>
      <c r="R104" s="1558"/>
      <c r="S104" s="1288"/>
      <c r="T104" s="1288"/>
      <c r="U104" s="1288"/>
      <c r="V104" s="1288"/>
      <c r="W104" s="1558"/>
      <c r="X104" s="1288"/>
      <c r="Y104" s="1288"/>
      <c r="Z104" s="478"/>
      <c r="AA104" s="1288"/>
      <c r="AB104" s="1288"/>
      <c r="AC104" s="1288"/>
      <c r="AD104" s="1288"/>
      <c r="AE104" s="1288"/>
      <c r="AF104" s="1554"/>
      <c r="AG104" s="556"/>
      <c r="AH104" s="556"/>
      <c r="AI104" s="556"/>
      <c r="AJ104" s="556"/>
      <c r="AK104" s="1563">
        <v>11</v>
      </c>
    </row>
    <row r="105" spans="1:37" s="1563" customFormat="1" ht="11.45" customHeight="1">
      <c r="A105" s="913"/>
      <c r="B105" s="913"/>
      <c r="C105" s="913"/>
      <c r="D105" s="913"/>
      <c r="E105" s="913"/>
      <c r="F105" s="1558"/>
      <c r="G105" s="1558"/>
      <c r="H105" s="285"/>
      <c r="N105" s="1288"/>
      <c r="P105" s="1288"/>
      <c r="Q105" s="1558"/>
      <c r="R105" s="1558"/>
      <c r="S105" s="1288"/>
      <c r="T105" s="1288"/>
      <c r="U105" s="1288"/>
      <c r="V105" s="1288"/>
      <c r="W105" s="1558"/>
      <c r="X105" s="1288"/>
      <c r="Y105" s="1288"/>
      <c r="Z105" s="478"/>
      <c r="AA105" s="1288"/>
      <c r="AB105" s="1288"/>
      <c r="AC105" s="1288"/>
      <c r="AD105" s="1288"/>
      <c r="AE105" s="1288"/>
      <c r="AF105" s="1554"/>
      <c r="AG105" s="556"/>
      <c r="AH105" s="556"/>
      <c r="AI105" s="556"/>
      <c r="AJ105" s="556"/>
      <c r="AK105" s="1563">
        <v>11</v>
      </c>
    </row>
    <row r="106" spans="1:37" s="1563" customFormat="1" ht="11.45" customHeight="1">
      <c r="A106" s="913"/>
      <c r="B106" s="913"/>
      <c r="C106" s="913"/>
      <c r="D106" s="913"/>
      <c r="E106" s="913"/>
      <c r="F106" s="1558"/>
      <c r="G106" s="1558"/>
      <c r="H106" s="285"/>
      <c r="N106" s="1288"/>
      <c r="P106" s="1288"/>
      <c r="Q106" s="1558"/>
      <c r="R106" s="1558"/>
      <c r="S106" s="1288"/>
      <c r="T106" s="1288"/>
      <c r="U106" s="1288"/>
      <c r="V106" s="1288"/>
      <c r="W106" s="1558"/>
      <c r="X106" s="1288"/>
      <c r="Y106" s="1288"/>
      <c r="Z106" s="478"/>
      <c r="AA106" s="1288"/>
      <c r="AB106" s="1288"/>
      <c r="AC106" s="1288"/>
      <c r="AD106" s="1288"/>
      <c r="AE106" s="1288"/>
      <c r="AF106" s="1554"/>
      <c r="AG106" s="556"/>
      <c r="AH106" s="556"/>
      <c r="AI106" s="556"/>
      <c r="AJ106" s="556"/>
      <c r="AK106" s="1563">
        <v>11</v>
      </c>
    </row>
    <row r="107" spans="1:37" s="1563" customFormat="1" ht="11.45" customHeight="1">
      <c r="A107" s="913"/>
      <c r="B107" s="913"/>
      <c r="C107" s="913"/>
      <c r="D107" s="913"/>
      <c r="E107" s="913"/>
      <c r="F107" s="1558"/>
      <c r="G107" s="1558"/>
      <c r="H107" s="285"/>
      <c r="N107" s="1288"/>
      <c r="P107" s="1288"/>
      <c r="Q107" s="1558"/>
      <c r="R107" s="1558"/>
      <c r="S107" s="1288"/>
      <c r="T107" s="1288"/>
      <c r="U107" s="1288"/>
      <c r="V107" s="1288"/>
      <c r="W107" s="1558"/>
      <c r="X107" s="1288"/>
      <c r="Y107" s="1288"/>
      <c r="Z107" s="478"/>
      <c r="AA107" s="1288"/>
      <c r="AB107" s="1288"/>
      <c r="AC107" s="1288"/>
      <c r="AD107" s="1288"/>
      <c r="AE107" s="1288"/>
      <c r="AF107" s="1554"/>
      <c r="AG107" s="556"/>
      <c r="AH107" s="556"/>
      <c r="AI107" s="556"/>
      <c r="AJ107" s="556"/>
      <c r="AK107" s="1563">
        <v>11</v>
      </c>
    </row>
    <row r="108" spans="1:37" s="1563" customFormat="1" ht="11.45" customHeight="1">
      <c r="A108" s="913"/>
      <c r="B108" s="913"/>
      <c r="C108" s="913"/>
      <c r="D108" s="913"/>
      <c r="E108" s="913"/>
      <c r="F108" s="1558"/>
      <c r="G108" s="1558"/>
      <c r="H108" s="285"/>
      <c r="N108" s="1288"/>
      <c r="P108" s="1288"/>
      <c r="Q108" s="1558"/>
      <c r="R108" s="1558"/>
      <c r="S108" s="1288"/>
      <c r="T108" s="1288"/>
      <c r="U108" s="1288"/>
      <c r="V108" s="1288"/>
      <c r="W108" s="1558"/>
      <c r="X108" s="1288"/>
      <c r="Y108" s="1288"/>
      <c r="Z108" s="478"/>
      <c r="AA108" s="1288"/>
      <c r="AB108" s="1288"/>
      <c r="AC108" s="1288"/>
      <c r="AD108" s="1288"/>
      <c r="AE108" s="1288"/>
      <c r="AF108" s="1554"/>
      <c r="AG108" s="556"/>
      <c r="AH108" s="556"/>
      <c r="AI108" s="556"/>
      <c r="AJ108" s="556"/>
      <c r="AK108" s="1563">
        <v>11</v>
      </c>
    </row>
    <row r="109" spans="1:37" s="1563" customFormat="1" ht="11.45" customHeight="1">
      <c r="A109" s="913"/>
      <c r="B109" s="913"/>
      <c r="C109" s="913"/>
      <c r="D109" s="913"/>
      <c r="E109" s="913"/>
      <c r="F109" s="1558"/>
      <c r="G109" s="1558"/>
      <c r="H109" s="285"/>
      <c r="N109" s="1288"/>
      <c r="P109" s="1288"/>
      <c r="Q109" s="1558"/>
      <c r="R109" s="1558"/>
      <c r="S109" s="1288"/>
      <c r="T109" s="1288"/>
      <c r="U109" s="1288"/>
      <c r="V109" s="1288"/>
      <c r="W109" s="1558"/>
      <c r="X109" s="1288"/>
      <c r="Y109" s="1288"/>
      <c r="Z109" s="478"/>
      <c r="AA109" s="1288"/>
      <c r="AB109" s="1288"/>
      <c r="AC109" s="1288"/>
      <c r="AD109" s="1288"/>
      <c r="AE109" s="1288"/>
      <c r="AF109" s="1554"/>
      <c r="AG109" s="556"/>
      <c r="AH109" s="556"/>
      <c r="AI109" s="556"/>
      <c r="AJ109" s="556"/>
      <c r="AK109" s="1563">
        <v>11</v>
      </c>
    </row>
    <row r="110" spans="1:37" s="1563" customFormat="1" ht="11.45" customHeight="1">
      <c r="A110" s="913"/>
      <c r="B110" s="913"/>
      <c r="C110" s="913"/>
      <c r="D110" s="913"/>
      <c r="E110" s="913"/>
      <c r="F110" s="1558"/>
      <c r="G110" s="1558"/>
      <c r="H110" s="285"/>
      <c r="N110" s="1288"/>
      <c r="P110" s="1288"/>
      <c r="Q110" s="1558"/>
      <c r="R110" s="1558"/>
      <c r="S110" s="1288"/>
      <c r="T110" s="1288"/>
      <c r="U110" s="1288"/>
      <c r="V110" s="1288"/>
      <c r="W110" s="1558"/>
      <c r="X110" s="1288"/>
      <c r="Y110" s="1288"/>
      <c r="Z110" s="478"/>
      <c r="AA110" s="1288"/>
      <c r="AB110" s="1288"/>
      <c r="AC110" s="1288"/>
      <c r="AD110" s="1288"/>
      <c r="AE110" s="1288"/>
      <c r="AF110" s="1554"/>
      <c r="AG110" s="556"/>
      <c r="AH110" s="556"/>
      <c r="AI110" s="556"/>
      <c r="AJ110" s="556"/>
      <c r="AK110" s="1563">
        <v>11</v>
      </c>
    </row>
    <row r="111" spans="1:37" s="1563" customFormat="1" ht="11.45" customHeight="1">
      <c r="A111" s="913"/>
      <c r="B111" s="913"/>
      <c r="C111" s="913"/>
      <c r="D111" s="913"/>
      <c r="E111" s="913"/>
      <c r="F111" s="1558"/>
      <c r="G111" s="1558"/>
      <c r="H111" s="285"/>
      <c r="N111" s="1288"/>
      <c r="P111" s="1288"/>
      <c r="Q111" s="1558"/>
      <c r="R111" s="1558"/>
      <c r="S111" s="1288"/>
      <c r="T111" s="1288"/>
      <c r="U111" s="1288"/>
      <c r="V111" s="1288"/>
      <c r="W111" s="1558"/>
      <c r="X111" s="1288"/>
      <c r="Y111" s="1288"/>
      <c r="Z111" s="478"/>
      <c r="AA111" s="1288"/>
      <c r="AB111" s="1288"/>
      <c r="AC111" s="1288"/>
      <c r="AD111" s="1288"/>
      <c r="AE111" s="1288"/>
      <c r="AF111" s="1554"/>
      <c r="AG111" s="556"/>
      <c r="AH111" s="556"/>
      <c r="AI111" s="556"/>
      <c r="AJ111" s="556"/>
      <c r="AK111" s="1563">
        <v>11</v>
      </c>
    </row>
    <row r="112" spans="1:37" s="1563" customFormat="1" ht="11.45" customHeight="1">
      <c r="A112" s="913"/>
      <c r="B112" s="913"/>
      <c r="C112" s="913"/>
      <c r="D112" s="913"/>
      <c r="E112" s="913"/>
      <c r="F112" s="1558"/>
      <c r="G112" s="1558"/>
      <c r="H112" s="285"/>
      <c r="N112" s="1288"/>
      <c r="P112" s="1288"/>
      <c r="Q112" s="1558"/>
      <c r="R112" s="1558"/>
      <c r="S112" s="1288"/>
      <c r="T112" s="1288"/>
      <c r="U112" s="1288"/>
      <c r="V112" s="1288"/>
      <c r="W112" s="1558"/>
      <c r="X112" s="1288"/>
      <c r="Y112" s="1288"/>
      <c r="Z112" s="478"/>
      <c r="AA112" s="1288"/>
      <c r="AB112" s="1288"/>
      <c r="AC112" s="1288"/>
      <c r="AD112" s="1288"/>
      <c r="AE112" s="1288"/>
      <c r="AF112" s="1554"/>
      <c r="AG112" s="556"/>
      <c r="AH112" s="556"/>
      <c r="AI112" s="556"/>
      <c r="AJ112" s="556"/>
      <c r="AK112" s="1563">
        <v>11</v>
      </c>
    </row>
    <row r="113" spans="1:37" s="1563" customFormat="1" ht="11.45" customHeight="1">
      <c r="A113" s="913"/>
      <c r="B113" s="913"/>
      <c r="C113" s="913"/>
      <c r="D113" s="913"/>
      <c r="E113" s="913"/>
      <c r="F113" s="1558"/>
      <c r="G113" s="1558"/>
      <c r="H113" s="285"/>
      <c r="N113" s="1288"/>
      <c r="P113" s="1288"/>
      <c r="Q113" s="1558"/>
      <c r="R113" s="1558"/>
      <c r="S113" s="1288"/>
      <c r="T113" s="1288"/>
      <c r="U113" s="1288"/>
      <c r="V113" s="1288"/>
      <c r="W113" s="1558"/>
      <c r="X113" s="1288"/>
      <c r="Y113" s="1288"/>
      <c r="Z113" s="478"/>
      <c r="AA113" s="1288"/>
      <c r="AB113" s="1288"/>
      <c r="AC113" s="1288"/>
      <c r="AD113" s="1288"/>
      <c r="AE113" s="1288"/>
      <c r="AF113" s="1554"/>
      <c r="AG113" s="556"/>
      <c r="AH113" s="556"/>
      <c r="AI113" s="556"/>
      <c r="AJ113" s="556"/>
      <c r="AK113" s="1563">
        <v>11</v>
      </c>
    </row>
    <row r="114" spans="1:37" s="1563" customFormat="1" ht="11.45" customHeight="1">
      <c r="A114" s="913"/>
      <c r="B114" s="913"/>
      <c r="C114" s="913"/>
      <c r="D114" s="913"/>
      <c r="E114" s="913"/>
      <c r="F114" s="1558"/>
      <c r="G114" s="1558"/>
      <c r="H114" s="285"/>
      <c r="N114" s="1288"/>
      <c r="P114" s="1288"/>
      <c r="Q114" s="1558"/>
      <c r="R114" s="1558"/>
      <c r="S114" s="1288"/>
      <c r="T114" s="1288"/>
      <c r="U114" s="1288"/>
      <c r="V114" s="1288"/>
      <c r="W114" s="1558"/>
      <c r="X114" s="1288"/>
      <c r="Y114" s="1288"/>
      <c r="Z114" s="478"/>
      <c r="AA114" s="1288"/>
      <c r="AB114" s="1288"/>
      <c r="AC114" s="1288"/>
      <c r="AD114" s="1288"/>
      <c r="AE114" s="1288"/>
      <c r="AF114" s="1554"/>
      <c r="AG114" s="556"/>
      <c r="AH114" s="556"/>
      <c r="AI114" s="556"/>
      <c r="AJ114" s="556"/>
      <c r="AK114" s="1563">
        <v>11</v>
      </c>
    </row>
    <row r="115" spans="1:37" s="1563" customFormat="1" ht="11.45" customHeight="1">
      <c r="A115" s="913"/>
      <c r="B115" s="913"/>
      <c r="C115" s="913"/>
      <c r="D115" s="913"/>
      <c r="E115" s="913"/>
      <c r="F115" s="1558"/>
      <c r="G115" s="1558"/>
      <c r="H115" s="285"/>
      <c r="N115" s="1288"/>
      <c r="P115" s="1288"/>
      <c r="Q115" s="1558"/>
      <c r="R115" s="1558"/>
      <c r="S115" s="1288"/>
      <c r="T115" s="1288"/>
      <c r="U115" s="1288"/>
      <c r="V115" s="1288"/>
      <c r="W115" s="1558"/>
      <c r="X115" s="1288"/>
      <c r="Y115" s="1288"/>
      <c r="Z115" s="478"/>
      <c r="AA115" s="1288"/>
      <c r="AB115" s="1288"/>
      <c r="AC115" s="1288"/>
      <c r="AD115" s="1288"/>
      <c r="AE115" s="1288"/>
      <c r="AF115" s="1554"/>
      <c r="AG115" s="556"/>
      <c r="AH115" s="556"/>
      <c r="AI115" s="556"/>
      <c r="AJ115" s="556"/>
      <c r="AK115" s="1563">
        <v>11</v>
      </c>
    </row>
    <row r="116" spans="1:37" s="1563" customFormat="1" ht="11.45" customHeight="1">
      <c r="A116" s="913"/>
      <c r="B116" s="913"/>
      <c r="C116" s="913"/>
      <c r="D116" s="913"/>
      <c r="E116" s="913"/>
      <c r="F116" s="1558"/>
      <c r="G116" s="1558"/>
      <c r="H116" s="285"/>
      <c r="N116" s="1288"/>
      <c r="P116" s="1288"/>
      <c r="Q116" s="1558"/>
      <c r="R116" s="1558"/>
      <c r="S116" s="1288"/>
      <c r="T116" s="1288"/>
      <c r="U116" s="1288"/>
      <c r="V116" s="1288"/>
      <c r="W116" s="1558"/>
      <c r="X116" s="1288"/>
      <c r="Y116" s="1288"/>
      <c r="Z116" s="478"/>
      <c r="AA116" s="1288"/>
      <c r="AB116" s="1288"/>
      <c r="AC116" s="1288"/>
      <c r="AD116" s="1288"/>
      <c r="AE116" s="1288"/>
      <c r="AF116" s="1554"/>
      <c r="AG116" s="556"/>
      <c r="AH116" s="556"/>
      <c r="AI116" s="556"/>
      <c r="AJ116" s="556"/>
      <c r="AK116" s="1563">
        <v>11</v>
      </c>
    </row>
    <row r="117" spans="1:37" s="1563" customFormat="1" ht="11.45" customHeight="1">
      <c r="A117" s="913"/>
      <c r="B117" s="913"/>
      <c r="C117" s="913"/>
      <c r="D117" s="913"/>
      <c r="E117" s="913"/>
      <c r="F117" s="1558"/>
      <c r="G117" s="1558"/>
      <c r="H117" s="285"/>
      <c r="N117" s="1288"/>
      <c r="P117" s="1288"/>
      <c r="Q117" s="1558"/>
      <c r="R117" s="1558"/>
      <c r="S117" s="1288"/>
      <c r="T117" s="1288"/>
      <c r="U117" s="1288"/>
      <c r="V117" s="1288"/>
      <c r="W117" s="1558"/>
      <c r="X117" s="1288"/>
      <c r="Y117" s="1288"/>
      <c r="Z117" s="478"/>
      <c r="AA117" s="1288"/>
      <c r="AB117" s="1288"/>
      <c r="AC117" s="1288"/>
      <c r="AD117" s="1288"/>
      <c r="AE117" s="1288"/>
      <c r="AF117" s="1554"/>
      <c r="AG117" s="556"/>
      <c r="AH117" s="556"/>
      <c r="AI117" s="556"/>
      <c r="AJ117" s="556"/>
      <c r="AK117" s="1563">
        <v>11</v>
      </c>
    </row>
    <row r="118" spans="1:37" s="1563" customFormat="1" ht="11.45" customHeight="1">
      <c r="A118" s="913"/>
      <c r="B118" s="913"/>
      <c r="C118" s="913"/>
      <c r="D118" s="913"/>
      <c r="E118" s="913"/>
      <c r="F118" s="1558"/>
      <c r="G118" s="1558"/>
      <c r="H118" s="285"/>
      <c r="N118" s="1288"/>
      <c r="P118" s="1288"/>
      <c r="Q118" s="1558"/>
      <c r="R118" s="1558"/>
      <c r="S118" s="1288"/>
      <c r="T118" s="1288"/>
      <c r="U118" s="1288"/>
      <c r="V118" s="1288"/>
      <c r="W118" s="1558"/>
      <c r="X118" s="1288"/>
      <c r="Y118" s="1288"/>
      <c r="Z118" s="478"/>
      <c r="AA118" s="1288"/>
      <c r="AB118" s="1288"/>
      <c r="AC118" s="1288"/>
      <c r="AD118" s="1288"/>
      <c r="AE118" s="1288"/>
      <c r="AF118" s="1554"/>
      <c r="AG118" s="556"/>
      <c r="AH118" s="556"/>
      <c r="AI118" s="556"/>
      <c r="AJ118" s="556"/>
      <c r="AK118" s="1563">
        <v>11</v>
      </c>
    </row>
    <row r="119" spans="1:37" s="1563" customFormat="1" ht="11.45" customHeight="1">
      <c r="A119" s="913"/>
      <c r="B119" s="913"/>
      <c r="C119" s="913"/>
      <c r="D119" s="913"/>
      <c r="E119" s="913"/>
      <c r="F119" s="1558"/>
      <c r="G119" s="1558"/>
      <c r="H119" s="285"/>
      <c r="N119" s="1288"/>
      <c r="P119" s="1288"/>
      <c r="Q119" s="1558"/>
      <c r="R119" s="1558"/>
      <c r="S119" s="1288"/>
      <c r="T119" s="1288"/>
      <c r="U119" s="1288"/>
      <c r="V119" s="1288"/>
      <c r="W119" s="1558"/>
      <c r="X119" s="1288"/>
      <c r="Y119" s="1288"/>
      <c r="Z119" s="478"/>
      <c r="AA119" s="1288"/>
      <c r="AB119" s="1288"/>
      <c r="AC119" s="1288"/>
      <c r="AD119" s="1288"/>
      <c r="AE119" s="1288"/>
      <c r="AF119" s="1554"/>
      <c r="AG119" s="556"/>
      <c r="AH119" s="556"/>
      <c r="AI119" s="556"/>
      <c r="AJ119" s="556"/>
      <c r="AK119" s="1563">
        <v>11</v>
      </c>
    </row>
    <row r="120" spans="1:37" s="1563" customFormat="1" ht="11.45" customHeight="1">
      <c r="A120" s="913"/>
      <c r="B120" s="913"/>
      <c r="C120" s="913"/>
      <c r="D120" s="913"/>
      <c r="E120" s="913"/>
      <c r="F120" s="1558"/>
      <c r="G120" s="1558"/>
      <c r="H120" s="285"/>
      <c r="N120" s="1288"/>
      <c r="P120" s="1288"/>
      <c r="Q120" s="1558"/>
      <c r="R120" s="1558"/>
      <c r="S120" s="1288"/>
      <c r="T120" s="1288"/>
      <c r="U120" s="1288"/>
      <c r="V120" s="1288"/>
      <c r="W120" s="1558"/>
      <c r="X120" s="1288"/>
      <c r="Y120" s="1288"/>
      <c r="Z120" s="478"/>
      <c r="AA120" s="1288"/>
      <c r="AB120" s="1288"/>
      <c r="AC120" s="1288"/>
      <c r="AD120" s="1288"/>
      <c r="AE120" s="1288"/>
      <c r="AF120" s="1554"/>
      <c r="AG120" s="556"/>
      <c r="AH120" s="556"/>
      <c r="AI120" s="556"/>
      <c r="AJ120" s="556"/>
      <c r="AK120" s="1563">
        <v>11</v>
      </c>
    </row>
    <row r="121" spans="1:37" s="1563" customFormat="1" ht="11.45" customHeight="1">
      <c r="A121" s="913"/>
      <c r="B121" s="913"/>
      <c r="C121" s="913"/>
      <c r="D121" s="913"/>
      <c r="E121" s="913"/>
      <c r="F121" s="1558"/>
      <c r="G121" s="1558"/>
      <c r="H121" s="285"/>
      <c r="N121" s="1288"/>
      <c r="P121" s="1288"/>
      <c r="Q121" s="1558"/>
      <c r="R121" s="1558"/>
      <c r="S121" s="1288"/>
      <c r="T121" s="1288"/>
      <c r="U121" s="1288"/>
      <c r="V121" s="1288"/>
      <c r="W121" s="1558"/>
      <c r="X121" s="1288"/>
      <c r="Y121" s="1288"/>
      <c r="Z121" s="478"/>
      <c r="AA121" s="1288"/>
      <c r="AB121" s="1288"/>
      <c r="AC121" s="1288"/>
      <c r="AD121" s="1288"/>
      <c r="AE121" s="1288"/>
      <c r="AF121" s="1554"/>
      <c r="AG121" s="556"/>
      <c r="AH121" s="556"/>
      <c r="AI121" s="556"/>
      <c r="AJ121" s="556"/>
      <c r="AK121" s="1563">
        <v>11</v>
      </c>
    </row>
    <row r="122" spans="1:37" s="1563" customFormat="1" ht="11.45" customHeight="1">
      <c r="A122" s="913"/>
      <c r="B122" s="913"/>
      <c r="C122" s="913"/>
      <c r="D122" s="913"/>
      <c r="E122" s="913"/>
      <c r="F122" s="1558"/>
      <c r="G122" s="1558"/>
      <c r="H122" s="285"/>
      <c r="N122" s="1288"/>
      <c r="P122" s="1288"/>
      <c r="Q122" s="1558"/>
      <c r="R122" s="1558"/>
      <c r="S122" s="1288"/>
      <c r="T122" s="1288"/>
      <c r="U122" s="1288"/>
      <c r="V122" s="1288"/>
      <c r="W122" s="1558"/>
      <c r="X122" s="1288"/>
      <c r="Y122" s="1288"/>
      <c r="Z122" s="478"/>
      <c r="AA122" s="1288"/>
      <c r="AB122" s="1288"/>
      <c r="AC122" s="1288"/>
      <c r="AD122" s="1288"/>
      <c r="AE122" s="1288"/>
      <c r="AF122" s="1554"/>
      <c r="AG122" s="556"/>
      <c r="AH122" s="556"/>
      <c r="AI122" s="556"/>
      <c r="AJ122" s="556"/>
      <c r="AK122" s="1563">
        <v>11</v>
      </c>
    </row>
    <row r="123" spans="1:37" s="1563" customFormat="1" ht="11.45" customHeight="1">
      <c r="A123" s="913"/>
      <c r="B123" s="913"/>
      <c r="C123" s="913"/>
      <c r="D123" s="913"/>
      <c r="E123" s="913"/>
      <c r="F123" s="1558"/>
      <c r="G123" s="1558"/>
      <c r="H123" s="285"/>
      <c r="N123" s="1288"/>
      <c r="P123" s="1288"/>
      <c r="Q123" s="1558"/>
      <c r="R123" s="1558"/>
      <c r="S123" s="1288"/>
      <c r="T123" s="1288"/>
      <c r="U123" s="1288"/>
      <c r="V123" s="1288"/>
      <c r="W123" s="1558"/>
      <c r="X123" s="1288"/>
      <c r="Y123" s="1288"/>
      <c r="Z123" s="478"/>
      <c r="AA123" s="1288"/>
      <c r="AB123" s="1288"/>
      <c r="AC123" s="1288"/>
      <c r="AD123" s="1288"/>
      <c r="AE123" s="1288"/>
      <c r="AF123" s="1554"/>
      <c r="AG123" s="556"/>
      <c r="AH123" s="556"/>
      <c r="AI123" s="556"/>
      <c r="AJ123" s="556"/>
      <c r="AK123" s="1563">
        <v>11</v>
      </c>
    </row>
    <row r="124" spans="1:37" s="1563" customFormat="1" ht="11.45" customHeight="1">
      <c r="A124" s="913"/>
      <c r="B124" s="913"/>
      <c r="C124" s="913"/>
      <c r="D124" s="913"/>
      <c r="E124" s="913"/>
      <c r="F124" s="1558"/>
      <c r="G124" s="1558"/>
      <c r="H124" s="285"/>
      <c r="N124" s="1288"/>
      <c r="P124" s="1288"/>
      <c r="Q124" s="1558"/>
      <c r="R124" s="1558"/>
      <c r="S124" s="1288"/>
      <c r="T124" s="1288"/>
      <c r="U124" s="1288"/>
      <c r="V124" s="1288"/>
      <c r="W124" s="1558"/>
      <c r="X124" s="1288"/>
      <c r="Y124" s="1288"/>
      <c r="Z124" s="478"/>
      <c r="AA124" s="1288"/>
      <c r="AB124" s="1288"/>
      <c r="AC124" s="1288"/>
      <c r="AD124" s="1288"/>
      <c r="AE124" s="1288"/>
      <c r="AF124" s="1554"/>
      <c r="AG124" s="556"/>
      <c r="AH124" s="556"/>
      <c r="AI124" s="556"/>
      <c r="AJ124" s="556"/>
      <c r="AK124" s="1563">
        <v>11</v>
      </c>
    </row>
    <row r="125" spans="1:37" s="1563" customFormat="1" ht="11.45" customHeight="1">
      <c r="A125" s="913"/>
      <c r="B125" s="913"/>
      <c r="C125" s="913"/>
      <c r="D125" s="913"/>
      <c r="E125" s="913"/>
      <c r="F125" s="1558"/>
      <c r="G125" s="1558"/>
      <c r="H125" s="285"/>
      <c r="N125" s="1288"/>
      <c r="P125" s="1288"/>
      <c r="Q125" s="1558"/>
      <c r="R125" s="1558"/>
      <c r="S125" s="1288"/>
      <c r="T125" s="1288"/>
      <c r="U125" s="1288"/>
      <c r="V125" s="1288"/>
      <c r="W125" s="1558"/>
      <c r="X125" s="1288"/>
      <c r="Y125" s="1288"/>
      <c r="Z125" s="478"/>
      <c r="AA125" s="1288"/>
      <c r="AB125" s="1288"/>
      <c r="AC125" s="1288"/>
      <c r="AD125" s="1288"/>
      <c r="AE125" s="1288"/>
      <c r="AF125" s="1554"/>
      <c r="AG125" s="556"/>
      <c r="AH125" s="556"/>
      <c r="AI125" s="556"/>
      <c r="AJ125" s="556"/>
      <c r="AK125" s="1563">
        <v>11</v>
      </c>
    </row>
    <row r="126" spans="1:37" s="1563" customFormat="1" ht="11.45" customHeight="1">
      <c r="A126" s="913"/>
      <c r="B126" s="913"/>
      <c r="C126" s="913"/>
      <c r="D126" s="913"/>
      <c r="E126" s="913"/>
      <c r="F126" s="1558"/>
      <c r="G126" s="1558"/>
      <c r="H126" s="285"/>
      <c r="N126" s="1288"/>
      <c r="P126" s="1288"/>
      <c r="Q126" s="1558"/>
      <c r="R126" s="1558"/>
      <c r="S126" s="1288"/>
      <c r="T126" s="1288"/>
      <c r="U126" s="1288"/>
      <c r="V126" s="1288"/>
      <c r="W126" s="1558"/>
      <c r="X126" s="1288"/>
      <c r="Y126" s="1288"/>
      <c r="Z126" s="478"/>
      <c r="AA126" s="1288"/>
      <c r="AB126" s="1288"/>
      <c r="AC126" s="1288"/>
      <c r="AD126" s="1288"/>
      <c r="AE126" s="1288"/>
      <c r="AF126" s="1554"/>
      <c r="AG126" s="556"/>
      <c r="AH126" s="556"/>
      <c r="AI126" s="556"/>
      <c r="AJ126" s="556"/>
      <c r="AK126" s="1563">
        <v>11</v>
      </c>
    </row>
    <row r="127" spans="1:37" s="1563" customFormat="1" ht="11.45" customHeight="1">
      <c r="A127" s="913"/>
      <c r="B127" s="913"/>
      <c r="C127" s="913"/>
      <c r="D127" s="913"/>
      <c r="E127" s="913"/>
      <c r="F127" s="1558"/>
      <c r="G127" s="1558"/>
      <c r="H127" s="285"/>
      <c r="N127" s="1288"/>
      <c r="P127" s="1288"/>
      <c r="Q127" s="1558"/>
      <c r="R127" s="1558"/>
      <c r="S127" s="1288"/>
      <c r="T127" s="1288"/>
      <c r="U127" s="1288"/>
      <c r="V127" s="1288"/>
      <c r="W127" s="1558"/>
      <c r="X127" s="1288"/>
      <c r="Y127" s="1288"/>
      <c r="Z127" s="478"/>
      <c r="AA127" s="1288"/>
      <c r="AB127" s="1288"/>
      <c r="AC127" s="1288"/>
      <c r="AD127" s="1288"/>
      <c r="AE127" s="1288"/>
      <c r="AF127" s="1554"/>
      <c r="AG127" s="556"/>
      <c r="AH127" s="556"/>
      <c r="AI127" s="556"/>
      <c r="AJ127" s="556"/>
      <c r="AK127" s="1563">
        <v>11</v>
      </c>
    </row>
    <row r="128" spans="1:37" s="1563" customFormat="1" ht="11.45" customHeight="1">
      <c r="A128" s="913"/>
      <c r="B128" s="913"/>
      <c r="C128" s="913"/>
      <c r="D128" s="913"/>
      <c r="E128" s="913"/>
      <c r="F128" s="1558"/>
      <c r="G128" s="1558"/>
      <c r="H128" s="285"/>
      <c r="N128" s="1288"/>
      <c r="P128" s="1288"/>
      <c r="Q128" s="1558"/>
      <c r="R128" s="1558"/>
      <c r="S128" s="1288"/>
      <c r="T128" s="1288"/>
      <c r="U128" s="1288"/>
      <c r="V128" s="1288"/>
      <c r="W128" s="1558"/>
      <c r="X128" s="1288"/>
      <c r="Y128" s="1288"/>
      <c r="Z128" s="478"/>
      <c r="AA128" s="1288"/>
      <c r="AB128" s="1288"/>
      <c r="AC128" s="1288"/>
      <c r="AD128" s="1288"/>
      <c r="AE128" s="1288"/>
      <c r="AF128" s="1554"/>
      <c r="AG128" s="556"/>
      <c r="AH128" s="556"/>
      <c r="AI128" s="556"/>
      <c r="AJ128" s="556"/>
      <c r="AK128" s="1563">
        <v>11</v>
      </c>
    </row>
    <row r="129" spans="1:37" s="1563" customFormat="1" ht="11.45" customHeight="1">
      <c r="A129" s="913"/>
      <c r="B129" s="913"/>
      <c r="C129" s="913"/>
      <c r="D129" s="913"/>
      <c r="E129" s="913"/>
      <c r="F129" s="1558"/>
      <c r="G129" s="1558"/>
      <c r="H129" s="285"/>
      <c r="N129" s="1288"/>
      <c r="P129" s="1288"/>
      <c r="Q129" s="1558"/>
      <c r="R129" s="1558"/>
      <c r="S129" s="1288"/>
      <c r="T129" s="1288"/>
      <c r="U129" s="1288"/>
      <c r="V129" s="1288"/>
      <c r="W129" s="1558"/>
      <c r="X129" s="1288"/>
      <c r="Y129" s="1288"/>
      <c r="Z129" s="478"/>
      <c r="AA129" s="1288"/>
      <c r="AB129" s="1288"/>
      <c r="AC129" s="1288"/>
      <c r="AD129" s="1288"/>
      <c r="AE129" s="1288"/>
      <c r="AF129" s="1554"/>
      <c r="AG129" s="556"/>
      <c r="AH129" s="556"/>
      <c r="AI129" s="556"/>
      <c r="AJ129" s="556"/>
      <c r="AK129" s="1563">
        <v>11</v>
      </c>
    </row>
    <row r="130" spans="1:37" s="1563" customFormat="1" ht="11.45" customHeight="1">
      <c r="A130" s="913"/>
      <c r="B130" s="913"/>
      <c r="C130" s="913"/>
      <c r="D130" s="913"/>
      <c r="E130" s="913"/>
      <c r="F130" s="1558"/>
      <c r="G130" s="1558"/>
      <c r="H130" s="285"/>
      <c r="N130" s="1288"/>
      <c r="P130" s="1288"/>
      <c r="Q130" s="1558"/>
      <c r="R130" s="1558"/>
      <c r="S130" s="1288"/>
      <c r="T130" s="1288"/>
      <c r="U130" s="1288"/>
      <c r="V130" s="1288"/>
      <c r="W130" s="1558"/>
      <c r="X130" s="1288"/>
      <c r="Y130" s="1288"/>
      <c r="Z130" s="478"/>
      <c r="AA130" s="1288"/>
      <c r="AB130" s="1288"/>
      <c r="AC130" s="1288"/>
      <c r="AD130" s="1288"/>
      <c r="AE130" s="1288"/>
      <c r="AF130" s="1554"/>
      <c r="AG130" s="556"/>
      <c r="AH130" s="556"/>
      <c r="AI130" s="556"/>
      <c r="AJ130" s="556"/>
      <c r="AK130" s="1563">
        <v>11</v>
      </c>
    </row>
    <row r="131" spans="1:37" s="1563" customFormat="1" ht="11.45" customHeight="1">
      <c r="A131" s="913"/>
      <c r="B131" s="913"/>
      <c r="C131" s="913"/>
      <c r="D131" s="913"/>
      <c r="E131" s="913"/>
      <c r="F131" s="1558"/>
      <c r="G131" s="1558"/>
      <c r="H131" s="285"/>
      <c r="N131" s="1288"/>
      <c r="P131" s="1288"/>
      <c r="Q131" s="1558"/>
      <c r="R131" s="1558"/>
      <c r="S131" s="1288"/>
      <c r="T131" s="1288"/>
      <c r="U131" s="1288"/>
      <c r="V131" s="1288"/>
      <c r="W131" s="1558"/>
      <c r="X131" s="1288"/>
      <c r="Y131" s="1288"/>
      <c r="Z131" s="478"/>
      <c r="AA131" s="1288"/>
      <c r="AB131" s="1288"/>
      <c r="AC131" s="1288"/>
      <c r="AD131" s="1288"/>
      <c r="AE131" s="1288"/>
      <c r="AF131" s="1554"/>
      <c r="AG131" s="556"/>
      <c r="AH131" s="556"/>
      <c r="AI131" s="556"/>
      <c r="AJ131" s="556"/>
      <c r="AK131" s="1563">
        <v>11</v>
      </c>
    </row>
    <row r="132" spans="1:37" s="1563" customFormat="1" ht="11.45" customHeight="1">
      <c r="A132" s="913"/>
      <c r="B132" s="913"/>
      <c r="C132" s="913"/>
      <c r="D132" s="913"/>
      <c r="E132" s="913"/>
      <c r="F132" s="1558"/>
      <c r="G132" s="1558"/>
      <c r="H132" s="285"/>
      <c r="N132" s="1288"/>
      <c r="P132" s="1288"/>
      <c r="Q132" s="1558"/>
      <c r="R132" s="1558"/>
      <c r="S132" s="1288"/>
      <c r="T132" s="1288"/>
      <c r="U132" s="1288"/>
      <c r="V132" s="1288"/>
      <c r="W132" s="1558"/>
      <c r="X132" s="1288"/>
      <c r="Y132" s="1288"/>
      <c r="Z132" s="478"/>
      <c r="AA132" s="1288"/>
      <c r="AB132" s="1288"/>
      <c r="AC132" s="1288"/>
      <c r="AD132" s="1288"/>
      <c r="AE132" s="1288"/>
      <c r="AF132" s="1554"/>
      <c r="AG132" s="556"/>
      <c r="AH132" s="556"/>
      <c r="AI132" s="556"/>
      <c r="AJ132" s="556"/>
      <c r="AK132" s="1563">
        <v>11</v>
      </c>
    </row>
    <row r="133" spans="1:37" s="1563" customFormat="1" ht="11.45" customHeight="1">
      <c r="A133" s="913"/>
      <c r="B133" s="913"/>
      <c r="C133" s="913"/>
      <c r="D133" s="913"/>
      <c r="E133" s="913"/>
      <c r="F133" s="1558"/>
      <c r="G133" s="1558"/>
      <c r="H133" s="285"/>
      <c r="N133" s="1288"/>
      <c r="P133" s="1288"/>
      <c r="Q133" s="1558"/>
      <c r="R133" s="1558"/>
      <c r="S133" s="1288"/>
      <c r="T133" s="1288"/>
      <c r="U133" s="1288"/>
      <c r="V133" s="1288"/>
      <c r="W133" s="1558"/>
      <c r="X133" s="1288"/>
      <c r="Y133" s="1288"/>
      <c r="Z133" s="478"/>
      <c r="AA133" s="1288"/>
      <c r="AB133" s="1288"/>
      <c r="AC133" s="1288"/>
      <c r="AD133" s="1288"/>
      <c r="AE133" s="1288"/>
      <c r="AF133" s="1554"/>
      <c r="AG133" s="556"/>
      <c r="AH133" s="556"/>
      <c r="AI133" s="556"/>
      <c r="AJ133" s="556"/>
      <c r="AK133" s="1563">
        <v>11</v>
      </c>
    </row>
    <row r="134" spans="1:37" s="1563" customFormat="1" ht="11.45" customHeight="1">
      <c r="A134" s="913"/>
      <c r="B134" s="913"/>
      <c r="C134" s="913"/>
      <c r="D134" s="913"/>
      <c r="E134" s="913"/>
      <c r="F134" s="1558"/>
      <c r="G134" s="1558"/>
      <c r="H134" s="285"/>
      <c r="N134" s="1288"/>
      <c r="P134" s="1288"/>
      <c r="Q134" s="1558"/>
      <c r="R134" s="1558"/>
      <c r="S134" s="1288"/>
      <c r="T134" s="1288"/>
      <c r="U134" s="1288"/>
      <c r="V134" s="1288"/>
      <c r="W134" s="1558"/>
      <c r="X134" s="1288"/>
      <c r="Y134" s="1288"/>
      <c r="Z134" s="478"/>
      <c r="AA134" s="1288"/>
      <c r="AB134" s="1288"/>
      <c r="AC134" s="1288"/>
      <c r="AD134" s="1288"/>
      <c r="AE134" s="1288"/>
      <c r="AF134" s="1554"/>
      <c r="AG134" s="556"/>
      <c r="AH134" s="556"/>
      <c r="AI134" s="556"/>
      <c r="AJ134" s="556"/>
      <c r="AK134" s="1563">
        <v>11</v>
      </c>
    </row>
    <row r="135" spans="1:37" s="1563" customFormat="1" ht="11.45" customHeight="1">
      <c r="A135" s="913"/>
      <c r="B135" s="913"/>
      <c r="C135" s="913"/>
      <c r="D135" s="913"/>
      <c r="E135" s="913"/>
      <c r="F135" s="1558"/>
      <c r="G135" s="1558"/>
      <c r="H135" s="285"/>
      <c r="N135" s="1288"/>
      <c r="P135" s="1288"/>
      <c r="Q135" s="1558"/>
      <c r="R135" s="1558"/>
      <c r="S135" s="1288"/>
      <c r="T135" s="1288"/>
      <c r="U135" s="1288"/>
      <c r="V135" s="1288"/>
      <c r="W135" s="1558"/>
      <c r="X135" s="1288"/>
      <c r="Y135" s="1288"/>
      <c r="Z135" s="478"/>
      <c r="AA135" s="1288"/>
      <c r="AB135" s="1288"/>
      <c r="AC135" s="1288"/>
      <c r="AD135" s="1288"/>
      <c r="AE135" s="1288"/>
      <c r="AF135" s="1554"/>
      <c r="AG135" s="556"/>
      <c r="AH135" s="556"/>
      <c r="AI135" s="556"/>
      <c r="AJ135" s="556"/>
      <c r="AK135" s="1563">
        <v>11</v>
      </c>
    </row>
    <row r="136" spans="1:37" s="1563" customFormat="1" ht="11.45" customHeight="1">
      <c r="A136" s="913"/>
      <c r="B136" s="913"/>
      <c r="C136" s="913"/>
      <c r="D136" s="913"/>
      <c r="E136" s="913"/>
      <c r="F136" s="1558"/>
      <c r="G136" s="1558"/>
      <c r="H136" s="285"/>
      <c r="N136" s="1288"/>
      <c r="P136" s="1288"/>
      <c r="Q136" s="1558"/>
      <c r="R136" s="1558"/>
      <c r="S136" s="1288"/>
      <c r="T136" s="1288"/>
      <c r="U136" s="1288"/>
      <c r="V136" s="1288"/>
      <c r="W136" s="1558"/>
      <c r="X136" s="1288"/>
      <c r="Y136" s="1288"/>
      <c r="Z136" s="478"/>
      <c r="AA136" s="1288"/>
      <c r="AB136" s="1288"/>
      <c r="AC136" s="1288"/>
      <c r="AD136" s="1288"/>
      <c r="AE136" s="1288"/>
      <c r="AF136" s="1554"/>
      <c r="AG136" s="556"/>
      <c r="AH136" s="556"/>
      <c r="AI136" s="556"/>
      <c r="AJ136" s="556"/>
      <c r="AK136" s="1563">
        <v>11</v>
      </c>
    </row>
    <row r="137" spans="1:37" s="1563" customFormat="1" ht="11.45" customHeight="1">
      <c r="A137" s="913"/>
      <c r="B137" s="913"/>
      <c r="C137" s="913"/>
      <c r="D137" s="913"/>
      <c r="E137" s="913"/>
      <c r="F137" s="1558"/>
      <c r="G137" s="1558"/>
      <c r="H137" s="285"/>
      <c r="N137" s="1288"/>
      <c r="P137" s="1288"/>
      <c r="Q137" s="1558"/>
      <c r="R137" s="1558"/>
      <c r="S137" s="1288"/>
      <c r="T137" s="1288"/>
      <c r="U137" s="1288"/>
      <c r="V137" s="1288"/>
      <c r="W137" s="1558"/>
      <c r="X137" s="1288"/>
      <c r="Y137" s="1288"/>
      <c r="Z137" s="478"/>
      <c r="AA137" s="1288"/>
      <c r="AB137" s="1288"/>
      <c r="AC137" s="1288"/>
      <c r="AD137" s="1288"/>
      <c r="AE137" s="1288"/>
      <c r="AF137" s="1554"/>
      <c r="AG137" s="556"/>
      <c r="AH137" s="556"/>
      <c r="AI137" s="556"/>
      <c r="AJ137" s="556"/>
      <c r="AK137" s="1563">
        <v>11</v>
      </c>
    </row>
    <row r="138" spans="1:37" s="1563" customFormat="1" ht="11.45" customHeight="1">
      <c r="A138" s="913"/>
      <c r="B138" s="913"/>
      <c r="C138" s="913"/>
      <c r="D138" s="913"/>
      <c r="E138" s="913"/>
      <c r="F138" s="1558"/>
      <c r="G138" s="1558"/>
      <c r="H138" s="285"/>
      <c r="N138" s="1288"/>
      <c r="P138" s="1288"/>
      <c r="Q138" s="1558"/>
      <c r="R138" s="1558"/>
      <c r="S138" s="1288"/>
      <c r="T138" s="1288"/>
      <c r="U138" s="1288"/>
      <c r="V138" s="1288"/>
      <c r="W138" s="1558"/>
      <c r="X138" s="1288"/>
      <c r="Y138" s="1288"/>
      <c r="Z138" s="478"/>
      <c r="AA138" s="1288"/>
      <c r="AB138" s="1288"/>
      <c r="AC138" s="1288"/>
      <c r="AD138" s="1288"/>
      <c r="AE138" s="1288"/>
      <c r="AF138" s="1554"/>
      <c r="AG138" s="556"/>
      <c r="AH138" s="556"/>
      <c r="AI138" s="556"/>
      <c r="AJ138" s="556"/>
      <c r="AK138" s="1563">
        <v>11</v>
      </c>
    </row>
    <row r="139" spans="1:37" s="1563" customFormat="1" ht="11.45" customHeight="1">
      <c r="A139" s="913"/>
      <c r="B139" s="913"/>
      <c r="C139" s="913"/>
      <c r="D139" s="913"/>
      <c r="E139" s="913"/>
      <c r="F139" s="1558"/>
      <c r="G139" s="1558"/>
      <c r="H139" s="285"/>
      <c r="N139" s="1288"/>
      <c r="P139" s="1288"/>
      <c r="Q139" s="1558"/>
      <c r="R139" s="1558"/>
      <c r="S139" s="1288"/>
      <c r="T139" s="1288"/>
      <c r="U139" s="1288"/>
      <c r="V139" s="1288"/>
      <c r="W139" s="1558"/>
      <c r="X139" s="1288"/>
      <c r="Y139" s="1288"/>
      <c r="Z139" s="478"/>
      <c r="AA139" s="1288"/>
      <c r="AB139" s="1288"/>
      <c r="AC139" s="1288"/>
      <c r="AD139" s="1288"/>
      <c r="AE139" s="1288"/>
      <c r="AF139" s="1554"/>
      <c r="AG139" s="556"/>
      <c r="AH139" s="556"/>
      <c r="AI139" s="556"/>
      <c r="AJ139" s="556"/>
      <c r="AK139" s="1563">
        <v>11</v>
      </c>
    </row>
    <row r="140" spans="1:37" s="1563" customFormat="1" ht="11.45" customHeight="1">
      <c r="A140" s="913"/>
      <c r="B140" s="913"/>
      <c r="C140" s="913"/>
      <c r="D140" s="913"/>
      <c r="E140" s="913"/>
      <c r="F140" s="1558"/>
      <c r="G140" s="1558"/>
      <c r="H140" s="285"/>
      <c r="N140" s="1288"/>
      <c r="P140" s="1288"/>
      <c r="Q140" s="1558"/>
      <c r="R140" s="1558"/>
      <c r="S140" s="1288"/>
      <c r="T140" s="1288"/>
      <c r="U140" s="1288"/>
      <c r="V140" s="1288"/>
      <c r="W140" s="1558"/>
      <c r="X140" s="1288"/>
      <c r="Y140" s="1288"/>
      <c r="Z140" s="478"/>
      <c r="AA140" s="1288"/>
      <c r="AB140" s="1288"/>
      <c r="AC140" s="1288"/>
      <c r="AD140" s="1288"/>
      <c r="AE140" s="1288"/>
      <c r="AF140" s="1554"/>
      <c r="AG140" s="556"/>
      <c r="AH140" s="556"/>
      <c r="AI140" s="556"/>
      <c r="AJ140" s="556"/>
      <c r="AK140" s="1563">
        <v>11</v>
      </c>
    </row>
    <row r="141" spans="1:37" s="1563" customFormat="1" ht="11.45" customHeight="1">
      <c r="A141" s="913"/>
      <c r="B141" s="913"/>
      <c r="C141" s="913"/>
      <c r="D141" s="913"/>
      <c r="E141" s="913"/>
      <c r="F141" s="1558"/>
      <c r="G141" s="1558"/>
      <c r="H141" s="285"/>
      <c r="N141" s="1288"/>
      <c r="P141" s="1288"/>
      <c r="Q141" s="1558"/>
      <c r="R141" s="1558"/>
      <c r="S141" s="1288"/>
      <c r="T141" s="1288"/>
      <c r="U141" s="1288"/>
      <c r="V141" s="1288"/>
      <c r="W141" s="1558"/>
      <c r="X141" s="1288"/>
      <c r="Y141" s="1288"/>
      <c r="Z141" s="478"/>
      <c r="AA141" s="1288"/>
      <c r="AB141" s="1288"/>
      <c r="AC141" s="1288"/>
      <c r="AD141" s="1288"/>
      <c r="AE141" s="1288"/>
      <c r="AF141" s="1554"/>
      <c r="AG141" s="556"/>
      <c r="AH141" s="556"/>
      <c r="AI141" s="556"/>
      <c r="AJ141" s="556"/>
      <c r="AK141" s="1563">
        <v>11</v>
      </c>
    </row>
    <row r="142" spans="1:37" s="1563" customFormat="1" ht="11.45" customHeight="1">
      <c r="A142" s="913"/>
      <c r="B142" s="913"/>
      <c r="C142" s="913"/>
      <c r="D142" s="913"/>
      <c r="E142" s="913"/>
      <c r="F142" s="1558"/>
      <c r="G142" s="1558"/>
      <c r="H142" s="285"/>
      <c r="N142" s="1288"/>
      <c r="P142" s="1288"/>
      <c r="Q142" s="1558"/>
      <c r="R142" s="1558"/>
      <c r="S142" s="1288"/>
      <c r="T142" s="1288"/>
      <c r="U142" s="1288"/>
      <c r="V142" s="1288"/>
      <c r="W142" s="1558"/>
      <c r="X142" s="1288"/>
      <c r="Y142" s="1288"/>
      <c r="Z142" s="478"/>
      <c r="AA142" s="1288"/>
      <c r="AB142" s="1288"/>
      <c r="AC142" s="1288"/>
      <c r="AD142" s="1288"/>
      <c r="AE142" s="1288"/>
      <c r="AF142" s="1554"/>
      <c r="AG142" s="556"/>
      <c r="AH142" s="556"/>
      <c r="AI142" s="556"/>
      <c r="AJ142" s="556"/>
      <c r="AK142" s="1563">
        <v>11</v>
      </c>
    </row>
    <row r="143" spans="1:37" s="1563" customFormat="1" ht="11.45" customHeight="1">
      <c r="A143" s="913"/>
      <c r="B143" s="913"/>
      <c r="C143" s="913"/>
      <c r="D143" s="913"/>
      <c r="E143" s="913"/>
      <c r="F143" s="1558"/>
      <c r="G143" s="1558"/>
      <c r="H143" s="285"/>
      <c r="N143" s="1288"/>
      <c r="P143" s="1288"/>
      <c r="Q143" s="1558"/>
      <c r="R143" s="1558"/>
      <c r="S143" s="1288"/>
      <c r="T143" s="1288"/>
      <c r="U143" s="1288"/>
      <c r="V143" s="1288"/>
      <c r="W143" s="1558"/>
      <c r="X143" s="1288"/>
      <c r="Y143" s="1288"/>
      <c r="Z143" s="478"/>
      <c r="AA143" s="1288"/>
      <c r="AB143" s="1288"/>
      <c r="AC143" s="1288"/>
      <c r="AD143" s="1288"/>
      <c r="AE143" s="1288"/>
      <c r="AF143" s="1554"/>
      <c r="AG143" s="556"/>
      <c r="AH143" s="556"/>
      <c r="AI143" s="556"/>
      <c r="AJ143" s="556"/>
      <c r="AK143" s="1563">
        <v>11</v>
      </c>
    </row>
    <row r="144" spans="1:37" s="1563" customFormat="1" ht="11.45" customHeight="1">
      <c r="A144" s="913"/>
      <c r="B144" s="913"/>
      <c r="C144" s="913"/>
      <c r="D144" s="913"/>
      <c r="E144" s="913"/>
      <c r="F144" s="1558"/>
      <c r="G144" s="1558"/>
      <c r="H144" s="285"/>
      <c r="N144" s="1288"/>
      <c r="P144" s="1288"/>
      <c r="Q144" s="1558"/>
      <c r="R144" s="1558"/>
      <c r="S144" s="1288"/>
      <c r="T144" s="1288"/>
      <c r="U144" s="1288"/>
      <c r="V144" s="1288"/>
      <c r="W144" s="1558"/>
      <c r="X144" s="1288"/>
      <c r="Y144" s="1288"/>
      <c r="Z144" s="478"/>
      <c r="AA144" s="1288"/>
      <c r="AB144" s="1288"/>
      <c r="AC144" s="1288"/>
      <c r="AD144" s="1288"/>
      <c r="AE144" s="1288"/>
      <c r="AF144" s="1554"/>
      <c r="AG144" s="556"/>
      <c r="AH144" s="556"/>
      <c r="AI144" s="556"/>
      <c r="AJ144" s="556"/>
      <c r="AK144" s="1563">
        <v>11</v>
      </c>
    </row>
    <row r="145" spans="1:37" s="1563" customFormat="1" ht="11.45" customHeight="1">
      <c r="A145" s="913"/>
      <c r="B145" s="913"/>
      <c r="C145" s="913"/>
      <c r="D145" s="913"/>
      <c r="E145" s="913"/>
      <c r="F145" s="1558"/>
      <c r="G145" s="1558"/>
      <c r="H145" s="285"/>
      <c r="N145" s="1288"/>
      <c r="P145" s="1288"/>
      <c r="Q145" s="1558"/>
      <c r="R145" s="1558"/>
      <c r="S145" s="1288"/>
      <c r="T145" s="1288"/>
      <c r="U145" s="1288"/>
      <c r="V145" s="1288"/>
      <c r="W145" s="1558"/>
      <c r="X145" s="1288"/>
      <c r="Y145" s="1288"/>
      <c r="Z145" s="478"/>
      <c r="AA145" s="1288"/>
      <c r="AB145" s="1288"/>
      <c r="AC145" s="1288"/>
      <c r="AD145" s="1288"/>
      <c r="AE145" s="1288"/>
      <c r="AF145" s="1554"/>
      <c r="AG145" s="556"/>
      <c r="AH145" s="556"/>
      <c r="AI145" s="556"/>
      <c r="AJ145" s="556"/>
      <c r="AK145" s="1563">
        <v>11</v>
      </c>
    </row>
    <row r="146" spans="1:37" s="1563" customFormat="1" ht="11.45" customHeight="1">
      <c r="A146" s="913"/>
      <c r="B146" s="913"/>
      <c r="C146" s="913"/>
      <c r="D146" s="913"/>
      <c r="E146" s="913"/>
      <c r="F146" s="1558"/>
      <c r="G146" s="1558"/>
      <c r="H146" s="285"/>
      <c r="N146" s="1288"/>
      <c r="P146" s="1288"/>
      <c r="Q146" s="1558"/>
      <c r="R146" s="1558"/>
      <c r="S146" s="1288"/>
      <c r="T146" s="1288"/>
      <c r="U146" s="1288"/>
      <c r="V146" s="1288"/>
      <c r="W146" s="1558"/>
      <c r="X146" s="1288"/>
      <c r="Y146" s="1288"/>
      <c r="Z146" s="478"/>
      <c r="AA146" s="1288"/>
      <c r="AB146" s="1288"/>
      <c r="AC146" s="1288"/>
      <c r="AD146" s="1288"/>
      <c r="AE146" s="1288"/>
      <c r="AF146" s="1554"/>
      <c r="AG146" s="556"/>
      <c r="AH146" s="556"/>
      <c r="AI146" s="556"/>
      <c r="AJ146" s="556"/>
      <c r="AK146" s="1563">
        <v>11</v>
      </c>
    </row>
    <row r="147" spans="1:37" s="1563" customFormat="1" ht="11.45" customHeight="1">
      <c r="A147" s="913"/>
      <c r="B147" s="913"/>
      <c r="C147" s="913"/>
      <c r="D147" s="913"/>
      <c r="E147" s="913"/>
      <c r="F147" s="1558"/>
      <c r="G147" s="1558"/>
      <c r="H147" s="285"/>
      <c r="N147" s="1288"/>
      <c r="P147" s="1288"/>
      <c r="Q147" s="1558"/>
      <c r="R147" s="1558"/>
      <c r="S147" s="1288"/>
      <c r="T147" s="1288"/>
      <c r="U147" s="1288"/>
      <c r="V147" s="1288"/>
      <c r="W147" s="1558"/>
      <c r="X147" s="1288"/>
      <c r="Y147" s="1288"/>
      <c r="Z147" s="478"/>
      <c r="AA147" s="1288"/>
      <c r="AB147" s="1288"/>
      <c r="AC147" s="1288"/>
      <c r="AD147" s="1288"/>
      <c r="AE147" s="1288"/>
      <c r="AF147" s="1554"/>
      <c r="AG147" s="556"/>
      <c r="AH147" s="556"/>
      <c r="AI147" s="556"/>
      <c r="AJ147" s="556"/>
      <c r="AK147" s="1563">
        <v>11</v>
      </c>
    </row>
    <row r="148" spans="1:37" s="1563" customFormat="1" ht="11.45" customHeight="1">
      <c r="A148" s="913"/>
      <c r="B148" s="913"/>
      <c r="C148" s="913"/>
      <c r="D148" s="913"/>
      <c r="E148" s="913"/>
      <c r="F148" s="1558"/>
      <c r="G148" s="1558"/>
      <c r="H148" s="285"/>
      <c r="N148" s="1288"/>
      <c r="P148" s="1288"/>
      <c r="Q148" s="1558"/>
      <c r="R148" s="1558"/>
      <c r="S148" s="1288"/>
      <c r="T148" s="1288"/>
      <c r="U148" s="1288"/>
      <c r="V148" s="1288"/>
      <c r="W148" s="1558"/>
      <c r="X148" s="1288"/>
      <c r="Y148" s="1288"/>
      <c r="Z148" s="478"/>
      <c r="AA148" s="1288"/>
      <c r="AB148" s="1288"/>
      <c r="AC148" s="1288"/>
      <c r="AD148" s="1288"/>
      <c r="AE148" s="1288"/>
      <c r="AF148" s="1554"/>
      <c r="AG148" s="556"/>
      <c r="AH148" s="556"/>
      <c r="AI148" s="556"/>
      <c r="AJ148" s="556"/>
      <c r="AK148" s="1563">
        <v>11</v>
      </c>
    </row>
    <row r="149" spans="1:37" s="1563" customFormat="1" ht="11.45" customHeight="1">
      <c r="A149" s="913"/>
      <c r="B149" s="913"/>
      <c r="C149" s="913"/>
      <c r="D149" s="913"/>
      <c r="E149" s="913"/>
      <c r="F149" s="1558"/>
      <c r="G149" s="1558"/>
      <c r="H149" s="285"/>
      <c r="N149" s="1288"/>
      <c r="P149" s="1288"/>
      <c r="Q149" s="1558"/>
      <c r="R149" s="1558"/>
      <c r="S149" s="1288"/>
      <c r="T149" s="1288"/>
      <c r="U149" s="1288"/>
      <c r="V149" s="1288"/>
      <c r="W149" s="1558"/>
      <c r="X149" s="1288"/>
      <c r="Y149" s="1288"/>
      <c r="Z149" s="478"/>
      <c r="AA149" s="1288"/>
      <c r="AB149" s="1288"/>
      <c r="AC149" s="1288"/>
      <c r="AD149" s="1288"/>
      <c r="AE149" s="1288"/>
      <c r="AF149" s="1554"/>
      <c r="AG149" s="556"/>
      <c r="AH149" s="556"/>
      <c r="AI149" s="556"/>
      <c r="AJ149" s="556"/>
      <c r="AK149" s="1563">
        <v>11</v>
      </c>
    </row>
    <row r="150" spans="1:37" s="1563" customFormat="1" ht="11.45" customHeight="1">
      <c r="A150" s="913"/>
      <c r="B150" s="913"/>
      <c r="C150" s="913"/>
      <c r="D150" s="913"/>
      <c r="E150" s="913"/>
      <c r="F150" s="1558"/>
      <c r="G150" s="1558"/>
      <c r="H150" s="285"/>
      <c r="N150" s="1288"/>
      <c r="P150" s="1288"/>
      <c r="Q150" s="1558"/>
      <c r="R150" s="1558"/>
      <c r="S150" s="1288"/>
      <c r="T150" s="1288"/>
      <c r="U150" s="1288"/>
      <c r="V150" s="1288"/>
      <c r="W150" s="1558"/>
      <c r="X150" s="1288"/>
      <c r="Y150" s="1288"/>
      <c r="Z150" s="478"/>
      <c r="AA150" s="1288"/>
      <c r="AB150" s="1288"/>
      <c r="AC150" s="1288"/>
      <c r="AD150" s="1288"/>
      <c r="AE150" s="1288"/>
      <c r="AF150" s="1554"/>
      <c r="AG150" s="556"/>
      <c r="AH150" s="556"/>
      <c r="AI150" s="556"/>
      <c r="AJ150" s="556"/>
      <c r="AK150" s="1563">
        <v>11</v>
      </c>
    </row>
    <row r="151" spans="1:37" s="1563" customFormat="1" ht="11.45" customHeight="1">
      <c r="A151" s="913"/>
      <c r="B151" s="913"/>
      <c r="C151" s="913"/>
      <c r="D151" s="913"/>
      <c r="E151" s="913"/>
      <c r="F151" s="1558"/>
      <c r="G151" s="1558"/>
      <c r="H151" s="285"/>
      <c r="N151" s="1288"/>
      <c r="P151" s="1288"/>
      <c r="Q151" s="1558"/>
      <c r="R151" s="1558"/>
      <c r="S151" s="1288"/>
      <c r="T151" s="1288"/>
      <c r="U151" s="1288"/>
      <c r="V151" s="1288"/>
      <c r="W151" s="1558"/>
      <c r="X151" s="1288"/>
      <c r="Y151" s="1288"/>
      <c r="Z151" s="478"/>
      <c r="AA151" s="1288"/>
      <c r="AB151" s="1288"/>
      <c r="AC151" s="1288"/>
      <c r="AD151" s="1288"/>
      <c r="AE151" s="1288"/>
      <c r="AF151" s="1554"/>
      <c r="AG151" s="556"/>
      <c r="AH151" s="556"/>
      <c r="AI151" s="556"/>
      <c r="AJ151" s="556"/>
      <c r="AK151" s="1563">
        <v>11</v>
      </c>
    </row>
    <row r="152" spans="1:37" s="1563" customFormat="1" ht="11.45" customHeight="1">
      <c r="A152" s="913"/>
      <c r="B152" s="913"/>
      <c r="C152" s="913"/>
      <c r="D152" s="913"/>
      <c r="E152" s="913"/>
      <c r="F152" s="1558"/>
      <c r="G152" s="1558"/>
      <c r="H152" s="285"/>
      <c r="N152" s="1288"/>
      <c r="P152" s="1288"/>
      <c r="Q152" s="1558"/>
      <c r="R152" s="1558"/>
      <c r="S152" s="1288"/>
      <c r="T152" s="1288"/>
      <c r="U152" s="1288"/>
      <c r="V152" s="1288"/>
      <c r="W152" s="1558"/>
      <c r="X152" s="1288"/>
      <c r="Y152" s="1288"/>
      <c r="Z152" s="478"/>
      <c r="AA152" s="1288"/>
      <c r="AB152" s="1288"/>
      <c r="AC152" s="1288"/>
      <c r="AD152" s="1288"/>
      <c r="AE152" s="1288"/>
      <c r="AF152" s="1554"/>
      <c r="AG152" s="556"/>
      <c r="AH152" s="556"/>
      <c r="AI152" s="556"/>
      <c r="AJ152" s="556"/>
      <c r="AK152" s="1563">
        <v>11</v>
      </c>
    </row>
    <row r="153" spans="1:37" s="1563" customFormat="1" ht="11.45" customHeight="1">
      <c r="A153" s="913"/>
      <c r="B153" s="913"/>
      <c r="C153" s="913"/>
      <c r="D153" s="913"/>
      <c r="E153" s="913"/>
      <c r="F153" s="1558"/>
      <c r="G153" s="1558"/>
      <c r="H153" s="285"/>
      <c r="N153" s="1288"/>
      <c r="P153" s="1288"/>
      <c r="Q153" s="1558"/>
      <c r="R153" s="1558"/>
      <c r="S153" s="1288"/>
      <c r="T153" s="1288"/>
      <c r="U153" s="1288"/>
      <c r="V153" s="1288"/>
      <c r="W153" s="1558"/>
      <c r="X153" s="1288"/>
      <c r="Y153" s="1288"/>
      <c r="Z153" s="478"/>
      <c r="AA153" s="1288"/>
      <c r="AB153" s="1288"/>
      <c r="AC153" s="1288"/>
      <c r="AD153" s="1288"/>
      <c r="AE153" s="1288"/>
      <c r="AF153" s="1554"/>
      <c r="AG153" s="556"/>
      <c r="AH153" s="556"/>
      <c r="AI153" s="556"/>
      <c r="AJ153" s="556"/>
      <c r="AK153" s="1563">
        <v>11</v>
      </c>
    </row>
    <row r="154" spans="1:37" s="1563" customFormat="1" ht="11.45" customHeight="1">
      <c r="A154" s="913"/>
      <c r="B154" s="913"/>
      <c r="C154" s="913"/>
      <c r="D154" s="913"/>
      <c r="E154" s="913"/>
      <c r="F154" s="1558"/>
      <c r="G154" s="1558"/>
      <c r="H154" s="285"/>
      <c r="N154" s="1288"/>
      <c r="P154" s="1288"/>
      <c r="Q154" s="1558"/>
      <c r="R154" s="1558"/>
      <c r="S154" s="1288"/>
      <c r="T154" s="1288"/>
      <c r="U154" s="1288"/>
      <c r="V154" s="1288"/>
      <c r="W154" s="1558"/>
      <c r="X154" s="1288"/>
      <c r="Y154" s="1288"/>
      <c r="Z154" s="478"/>
      <c r="AA154" s="1288"/>
      <c r="AB154" s="1288"/>
      <c r="AC154" s="1288"/>
      <c r="AD154" s="1288"/>
      <c r="AE154" s="1288"/>
      <c r="AF154" s="1554"/>
      <c r="AG154" s="556"/>
      <c r="AH154" s="556"/>
      <c r="AI154" s="556"/>
      <c r="AJ154" s="556"/>
      <c r="AK154" s="1563">
        <v>11</v>
      </c>
    </row>
    <row r="155" spans="1:37" s="1563" customFormat="1" ht="11.45" customHeight="1">
      <c r="A155" s="913"/>
      <c r="B155" s="913"/>
      <c r="C155" s="913"/>
      <c r="D155" s="913"/>
      <c r="E155" s="913"/>
      <c r="F155" s="1558"/>
      <c r="G155" s="1558"/>
      <c r="H155" s="285"/>
      <c r="N155" s="1288"/>
      <c r="P155" s="1288"/>
      <c r="Q155" s="1558"/>
      <c r="R155" s="1558"/>
      <c r="S155" s="1288"/>
      <c r="T155" s="1288"/>
      <c r="U155" s="1288"/>
      <c r="V155" s="1288"/>
      <c r="W155" s="1558"/>
      <c r="X155" s="1288"/>
      <c r="Y155" s="1288"/>
      <c r="Z155" s="478"/>
      <c r="AA155" s="1288"/>
      <c r="AB155" s="1288"/>
      <c r="AC155" s="1288"/>
      <c r="AD155" s="1288"/>
      <c r="AE155" s="1288"/>
      <c r="AF155" s="1554"/>
      <c r="AG155" s="556"/>
      <c r="AH155" s="556"/>
      <c r="AI155" s="556"/>
      <c r="AJ155" s="556"/>
      <c r="AK155" s="1563">
        <v>11</v>
      </c>
    </row>
    <row r="156" spans="1:37" s="1563" customFormat="1" ht="11.45" customHeight="1">
      <c r="A156" s="913"/>
      <c r="B156" s="913"/>
      <c r="C156" s="913"/>
      <c r="D156" s="913"/>
      <c r="E156" s="913"/>
      <c r="F156" s="1558"/>
      <c r="G156" s="1558"/>
      <c r="H156" s="285"/>
      <c r="N156" s="1288"/>
      <c r="P156" s="1288"/>
      <c r="Q156" s="1558"/>
      <c r="R156" s="1558"/>
      <c r="S156" s="1288"/>
      <c r="T156" s="1288"/>
      <c r="U156" s="1288"/>
      <c r="V156" s="1288"/>
      <c r="W156" s="1558"/>
      <c r="X156" s="1288"/>
      <c r="Y156" s="1288"/>
      <c r="Z156" s="478"/>
      <c r="AA156" s="1288"/>
      <c r="AB156" s="1288"/>
      <c r="AC156" s="1288"/>
      <c r="AD156" s="1288"/>
      <c r="AE156" s="1288"/>
      <c r="AF156" s="1554"/>
      <c r="AG156" s="556"/>
      <c r="AH156" s="556"/>
      <c r="AI156" s="556"/>
      <c r="AJ156" s="556"/>
      <c r="AK156" s="1563">
        <v>11</v>
      </c>
    </row>
    <row r="157" spans="1:37" s="1563" customFormat="1" ht="11.45" customHeight="1">
      <c r="A157" s="913"/>
      <c r="B157" s="913"/>
      <c r="C157" s="913"/>
      <c r="D157" s="913"/>
      <c r="E157" s="913"/>
      <c r="F157" s="1558"/>
      <c r="G157" s="1558"/>
      <c r="H157" s="285"/>
      <c r="N157" s="1288"/>
      <c r="P157" s="1288"/>
      <c r="Q157" s="1558"/>
      <c r="R157" s="1558"/>
      <c r="S157" s="1288"/>
      <c r="T157" s="1288"/>
      <c r="U157" s="1288"/>
      <c r="V157" s="1288"/>
      <c r="W157" s="1558"/>
      <c r="X157" s="1288"/>
      <c r="Y157" s="1288"/>
      <c r="Z157" s="478"/>
      <c r="AA157" s="1288"/>
      <c r="AB157" s="1288"/>
      <c r="AC157" s="1288"/>
      <c r="AD157" s="1288"/>
      <c r="AE157" s="1288"/>
      <c r="AF157" s="1554"/>
      <c r="AG157" s="556"/>
      <c r="AH157" s="556"/>
      <c r="AI157" s="556"/>
      <c r="AJ157" s="556"/>
      <c r="AK157" s="1563">
        <v>11</v>
      </c>
    </row>
    <row r="158" spans="1:37" s="1563" customFormat="1" ht="11.45" customHeight="1">
      <c r="A158" s="913"/>
      <c r="B158" s="913"/>
      <c r="C158" s="913"/>
      <c r="D158" s="913"/>
      <c r="E158" s="913"/>
      <c r="F158" s="1558"/>
      <c r="G158" s="1558"/>
      <c r="H158" s="285"/>
      <c r="N158" s="1288"/>
      <c r="P158" s="1288"/>
      <c r="Q158" s="1558"/>
      <c r="R158" s="1558"/>
      <c r="S158" s="1288"/>
      <c r="T158" s="1288"/>
      <c r="U158" s="1288"/>
      <c r="V158" s="1288"/>
      <c r="W158" s="1558"/>
      <c r="X158" s="1288"/>
      <c r="Y158" s="1288"/>
      <c r="Z158" s="478"/>
      <c r="AA158" s="1288"/>
      <c r="AB158" s="1288"/>
      <c r="AC158" s="1288"/>
      <c r="AD158" s="1288"/>
      <c r="AE158" s="1288"/>
      <c r="AF158" s="1554"/>
      <c r="AG158" s="556"/>
      <c r="AH158" s="556"/>
      <c r="AI158" s="556"/>
      <c r="AJ158" s="556"/>
      <c r="AK158" s="1563">
        <v>11</v>
      </c>
    </row>
    <row r="159" spans="1:37" s="1563" customFormat="1" ht="11.45" customHeight="1">
      <c r="A159" s="913"/>
      <c r="B159" s="913"/>
      <c r="C159" s="913"/>
      <c r="D159" s="913"/>
      <c r="E159" s="913"/>
      <c r="F159" s="1558"/>
      <c r="G159" s="1558"/>
      <c r="H159" s="285"/>
      <c r="N159" s="1288"/>
      <c r="P159" s="1288"/>
      <c r="Q159" s="1558"/>
      <c r="R159" s="1558"/>
      <c r="S159" s="1288"/>
      <c r="T159" s="1288"/>
      <c r="U159" s="1288"/>
      <c r="V159" s="1288"/>
      <c r="W159" s="1558"/>
      <c r="X159" s="1288"/>
      <c r="Y159" s="1288"/>
      <c r="Z159" s="478"/>
      <c r="AA159" s="1288"/>
      <c r="AB159" s="1288"/>
      <c r="AC159" s="1288"/>
      <c r="AD159" s="1288"/>
      <c r="AE159" s="1288"/>
      <c r="AF159" s="1554"/>
      <c r="AG159" s="556"/>
      <c r="AH159" s="556"/>
      <c r="AI159" s="556"/>
      <c r="AJ159" s="556"/>
      <c r="AK159" s="1563">
        <v>11</v>
      </c>
    </row>
    <row r="160" spans="1:37" s="1563" customFormat="1" ht="11.45" customHeight="1">
      <c r="A160" s="913"/>
      <c r="B160" s="913"/>
      <c r="C160" s="913"/>
      <c r="D160" s="913"/>
      <c r="E160" s="913"/>
      <c r="F160" s="1558"/>
      <c r="G160" s="1558"/>
      <c r="H160" s="285"/>
      <c r="N160" s="1288"/>
      <c r="P160" s="1288"/>
      <c r="Q160" s="1558"/>
      <c r="R160" s="1558"/>
      <c r="S160" s="1288"/>
      <c r="T160" s="1288"/>
      <c r="U160" s="1288"/>
      <c r="V160" s="1288"/>
      <c r="W160" s="1558"/>
      <c r="X160" s="1288"/>
      <c r="Y160" s="1288"/>
      <c r="Z160" s="478"/>
      <c r="AA160" s="1288"/>
      <c r="AB160" s="1288"/>
      <c r="AC160" s="1288"/>
      <c r="AD160" s="1288"/>
      <c r="AE160" s="1288"/>
      <c r="AF160" s="1554"/>
      <c r="AG160" s="556"/>
      <c r="AH160" s="556"/>
      <c r="AI160" s="556"/>
      <c r="AJ160" s="556"/>
      <c r="AK160" s="1563">
        <v>11</v>
      </c>
    </row>
    <row r="161" spans="1:37" s="1563" customFormat="1" ht="11.45" customHeight="1">
      <c r="A161" s="913"/>
      <c r="B161" s="913"/>
      <c r="C161" s="913"/>
      <c r="D161" s="913"/>
      <c r="E161" s="913"/>
      <c r="F161" s="1558"/>
      <c r="G161" s="1558"/>
      <c r="H161" s="285"/>
      <c r="N161" s="1288"/>
      <c r="P161" s="1288"/>
      <c r="Q161" s="1558"/>
      <c r="R161" s="1558"/>
      <c r="S161" s="1288"/>
      <c r="T161" s="1288"/>
      <c r="U161" s="1288"/>
      <c r="V161" s="1288"/>
      <c r="W161" s="1558"/>
      <c r="X161" s="1288"/>
      <c r="Y161" s="1288"/>
      <c r="Z161" s="478"/>
      <c r="AA161" s="1288"/>
      <c r="AB161" s="1288"/>
      <c r="AC161" s="1288"/>
      <c r="AD161" s="1288"/>
      <c r="AE161" s="1288"/>
      <c r="AF161" s="1554"/>
      <c r="AG161" s="556"/>
      <c r="AH161" s="556"/>
      <c r="AI161" s="556"/>
      <c r="AJ161" s="556"/>
      <c r="AK161" s="1563">
        <v>11</v>
      </c>
    </row>
    <row r="162" spans="1:37" s="1563" customFormat="1" ht="11.45" customHeight="1">
      <c r="A162" s="913"/>
      <c r="B162" s="913"/>
      <c r="C162" s="913"/>
      <c r="D162" s="913"/>
      <c r="E162" s="913"/>
      <c r="F162" s="1558"/>
      <c r="G162" s="1558"/>
      <c r="H162" s="285"/>
      <c r="N162" s="1288"/>
      <c r="P162" s="1288"/>
      <c r="Q162" s="1558"/>
      <c r="R162" s="1558"/>
      <c r="S162" s="1288"/>
      <c r="T162" s="1288"/>
      <c r="U162" s="1288"/>
      <c r="V162" s="1288"/>
      <c r="W162" s="1558"/>
      <c r="X162" s="1288"/>
      <c r="Y162" s="1288"/>
      <c r="Z162" s="478"/>
      <c r="AA162" s="1288"/>
      <c r="AB162" s="1288"/>
      <c r="AC162" s="1288"/>
      <c r="AD162" s="1288"/>
      <c r="AE162" s="1288"/>
      <c r="AF162" s="1554"/>
      <c r="AG162" s="556"/>
      <c r="AH162" s="556"/>
      <c r="AI162" s="556"/>
      <c r="AJ162" s="556"/>
      <c r="AK162" s="1563">
        <v>11</v>
      </c>
    </row>
    <row r="163" spans="1:37" s="1563" customFormat="1" ht="11.45" customHeight="1">
      <c r="A163" s="913"/>
      <c r="B163" s="913"/>
      <c r="C163" s="913"/>
      <c r="D163" s="913"/>
      <c r="E163" s="913"/>
      <c r="F163" s="1558"/>
      <c r="G163" s="1558"/>
      <c r="H163" s="285"/>
      <c r="N163" s="1288"/>
      <c r="P163" s="1288"/>
      <c r="Q163" s="1558"/>
      <c r="R163" s="1558"/>
      <c r="S163" s="1288"/>
      <c r="T163" s="1288"/>
      <c r="U163" s="1288"/>
      <c r="V163" s="1288"/>
      <c r="W163" s="1558"/>
      <c r="X163" s="1288"/>
      <c r="Y163" s="1288"/>
      <c r="Z163" s="478"/>
      <c r="AA163" s="1288"/>
      <c r="AB163" s="1288"/>
      <c r="AC163" s="1288"/>
      <c r="AD163" s="1288"/>
      <c r="AE163" s="1288"/>
      <c r="AF163" s="1554"/>
      <c r="AG163" s="556"/>
      <c r="AH163" s="556"/>
      <c r="AI163" s="556"/>
      <c r="AJ163" s="556"/>
      <c r="AK163" s="1563">
        <v>11</v>
      </c>
    </row>
    <row r="164" spans="1:37" s="1563" customFormat="1" ht="11.45" customHeight="1">
      <c r="A164" s="913"/>
      <c r="B164" s="913"/>
      <c r="C164" s="913"/>
      <c r="D164" s="913"/>
      <c r="E164" s="913"/>
      <c r="F164" s="1558"/>
      <c r="G164" s="1558"/>
      <c r="H164" s="285"/>
      <c r="N164" s="1288"/>
      <c r="P164" s="1288"/>
      <c r="Q164" s="1558"/>
      <c r="R164" s="1558"/>
      <c r="S164" s="1288"/>
      <c r="T164" s="1288"/>
      <c r="U164" s="1288"/>
      <c r="V164" s="1288"/>
      <c r="W164" s="1558"/>
      <c r="X164" s="1288"/>
      <c r="Y164" s="1288"/>
      <c r="Z164" s="478"/>
      <c r="AA164" s="1288"/>
      <c r="AB164" s="1288"/>
      <c r="AC164" s="1288"/>
      <c r="AD164" s="1288"/>
      <c r="AE164" s="1288"/>
      <c r="AF164" s="1554"/>
      <c r="AG164" s="556"/>
      <c r="AH164" s="556"/>
      <c r="AI164" s="556"/>
      <c r="AJ164" s="556"/>
      <c r="AK164" s="1563">
        <v>11</v>
      </c>
    </row>
    <row r="165" spans="1:37" s="1563" customFormat="1" ht="11.45" customHeight="1">
      <c r="A165" s="913"/>
      <c r="B165" s="913"/>
      <c r="C165" s="913"/>
      <c r="D165" s="913"/>
      <c r="E165" s="913"/>
      <c r="F165" s="1558"/>
      <c r="G165" s="1558"/>
      <c r="H165" s="285"/>
      <c r="N165" s="1288"/>
      <c r="P165" s="1288"/>
      <c r="Q165" s="1558"/>
      <c r="R165" s="1558"/>
      <c r="S165" s="1288"/>
      <c r="T165" s="1288"/>
      <c r="U165" s="1288"/>
      <c r="V165" s="1288"/>
      <c r="W165" s="1558"/>
      <c r="X165" s="1288"/>
      <c r="Y165" s="1288"/>
      <c r="Z165" s="478"/>
      <c r="AA165" s="1288"/>
      <c r="AB165" s="1288"/>
      <c r="AC165" s="1288"/>
      <c r="AD165" s="1288"/>
      <c r="AE165" s="1288"/>
      <c r="AF165" s="1554"/>
      <c r="AG165" s="556"/>
      <c r="AH165" s="556"/>
      <c r="AI165" s="556"/>
      <c r="AJ165" s="556"/>
      <c r="AK165" s="1563">
        <v>11</v>
      </c>
    </row>
    <row r="166" spans="1:37" s="1563" customFormat="1" ht="11.45" customHeight="1">
      <c r="A166" s="913"/>
      <c r="B166" s="913"/>
      <c r="C166" s="913"/>
      <c r="D166" s="913"/>
      <c r="E166" s="913"/>
      <c r="F166" s="1558"/>
      <c r="G166" s="1558"/>
      <c r="H166" s="285"/>
      <c r="N166" s="1288"/>
      <c r="P166" s="1288"/>
      <c r="Q166" s="1558"/>
      <c r="R166" s="1558"/>
      <c r="S166" s="1288"/>
      <c r="T166" s="1288"/>
      <c r="U166" s="1288"/>
      <c r="V166" s="1288"/>
      <c r="W166" s="1558"/>
      <c r="X166" s="1288"/>
      <c r="Y166" s="1288"/>
      <c r="Z166" s="478"/>
      <c r="AA166" s="1288"/>
      <c r="AB166" s="1288"/>
      <c r="AC166" s="1288"/>
      <c r="AD166" s="1288"/>
      <c r="AE166" s="1288"/>
      <c r="AF166" s="1554"/>
      <c r="AG166" s="556"/>
      <c r="AH166" s="556"/>
      <c r="AI166" s="556"/>
      <c r="AJ166" s="556"/>
      <c r="AK166" s="1563">
        <v>11</v>
      </c>
    </row>
    <row r="167" spans="1:37" s="1563" customFormat="1" ht="11.45" customHeight="1">
      <c r="A167" s="913"/>
      <c r="B167" s="913"/>
      <c r="C167" s="913"/>
      <c r="D167" s="913"/>
      <c r="E167" s="913"/>
      <c r="F167" s="1558"/>
      <c r="G167" s="1558"/>
      <c r="H167" s="285"/>
      <c r="N167" s="1288"/>
      <c r="P167" s="1288"/>
      <c r="Q167" s="1558"/>
      <c r="R167" s="1558"/>
      <c r="S167" s="1288"/>
      <c r="T167" s="1288"/>
      <c r="U167" s="1288"/>
      <c r="V167" s="1288"/>
      <c r="W167" s="1558"/>
      <c r="X167" s="1288"/>
      <c r="Y167" s="1288"/>
      <c r="Z167" s="478"/>
      <c r="AA167" s="1288"/>
      <c r="AB167" s="1288"/>
      <c r="AC167" s="1288"/>
      <c r="AD167" s="1288"/>
      <c r="AE167" s="1288"/>
      <c r="AF167" s="1554"/>
      <c r="AG167" s="556"/>
      <c r="AH167" s="556"/>
      <c r="AI167" s="556"/>
      <c r="AJ167" s="556"/>
      <c r="AK167" s="1563">
        <v>11</v>
      </c>
    </row>
    <row r="168" spans="1:37" s="1563" customFormat="1" ht="11.45" customHeight="1">
      <c r="A168" s="913"/>
      <c r="B168" s="913"/>
      <c r="C168" s="913"/>
      <c r="D168" s="913"/>
      <c r="E168" s="913"/>
      <c r="F168" s="1558"/>
      <c r="G168" s="1558"/>
      <c r="H168" s="285"/>
      <c r="N168" s="1288"/>
      <c r="P168" s="1288"/>
      <c r="Q168" s="1558"/>
      <c r="R168" s="1558"/>
      <c r="S168" s="1288"/>
      <c r="T168" s="1288"/>
      <c r="U168" s="1288"/>
      <c r="V168" s="1288"/>
      <c r="W168" s="1558"/>
      <c r="X168" s="1288"/>
      <c r="Y168" s="1288"/>
      <c r="Z168" s="478"/>
      <c r="AA168" s="1288"/>
      <c r="AB168" s="1288"/>
      <c r="AC168" s="1288"/>
      <c r="AD168" s="1288"/>
      <c r="AE168" s="1288"/>
      <c r="AF168" s="1554"/>
      <c r="AG168" s="556"/>
      <c r="AH168" s="556"/>
      <c r="AI168" s="556"/>
      <c r="AJ168" s="556"/>
      <c r="AK168" s="1563">
        <v>11</v>
      </c>
    </row>
    <row r="169" spans="1:37" s="1563" customFormat="1" ht="11.45" customHeight="1">
      <c r="A169" s="913"/>
      <c r="B169" s="913"/>
      <c r="C169" s="913"/>
      <c r="D169" s="913"/>
      <c r="E169" s="913"/>
      <c r="F169" s="1558"/>
      <c r="G169" s="1558"/>
      <c r="H169" s="285"/>
      <c r="N169" s="1288"/>
      <c r="P169" s="1288"/>
      <c r="Q169" s="1558"/>
      <c r="R169" s="1558"/>
      <c r="S169" s="1288"/>
      <c r="T169" s="1288"/>
      <c r="U169" s="1288"/>
      <c r="V169" s="1288"/>
      <c r="W169" s="1558"/>
      <c r="X169" s="1288"/>
      <c r="Y169" s="1288"/>
      <c r="Z169" s="478"/>
      <c r="AA169" s="1288"/>
      <c r="AB169" s="1288"/>
      <c r="AC169" s="1288"/>
      <c r="AD169" s="1288"/>
      <c r="AE169" s="1288"/>
      <c r="AF169" s="1554"/>
      <c r="AG169" s="556"/>
      <c r="AH169" s="556"/>
      <c r="AI169" s="556"/>
      <c r="AJ169" s="556"/>
      <c r="AK169" s="1563">
        <v>11</v>
      </c>
    </row>
    <row r="170" spans="1:37" s="1563" customFormat="1" ht="11.45" customHeight="1">
      <c r="A170" s="913"/>
      <c r="B170" s="913"/>
      <c r="C170" s="913"/>
      <c r="D170" s="913"/>
      <c r="E170" s="913"/>
      <c r="F170" s="1558"/>
      <c r="G170" s="1558"/>
      <c r="H170" s="285"/>
      <c r="N170" s="1288"/>
      <c r="P170" s="1288"/>
      <c r="Q170" s="1558"/>
      <c r="R170" s="1558"/>
      <c r="S170" s="1288"/>
      <c r="T170" s="1288"/>
      <c r="U170" s="1288"/>
      <c r="V170" s="1288"/>
      <c r="W170" s="1558"/>
      <c r="X170" s="1288"/>
      <c r="Y170" s="1288"/>
      <c r="Z170" s="478"/>
      <c r="AA170" s="1288"/>
      <c r="AB170" s="1288"/>
      <c r="AC170" s="1288"/>
      <c r="AD170" s="1288"/>
      <c r="AE170" s="1288"/>
      <c r="AF170" s="1554"/>
      <c r="AG170" s="556"/>
      <c r="AH170" s="556"/>
      <c r="AI170" s="556"/>
      <c r="AJ170" s="556"/>
      <c r="AK170" s="1563">
        <v>11</v>
      </c>
    </row>
    <row r="171" spans="1:37" s="1563" customFormat="1" ht="11.45" customHeight="1">
      <c r="A171" s="913"/>
      <c r="B171" s="913"/>
      <c r="C171" s="913"/>
      <c r="D171" s="913"/>
      <c r="E171" s="913"/>
      <c r="F171" s="1558"/>
      <c r="G171" s="1558"/>
      <c r="H171" s="285"/>
      <c r="N171" s="1288"/>
      <c r="P171" s="1288"/>
      <c r="Q171" s="1558"/>
      <c r="R171" s="1558"/>
      <c r="S171" s="1288"/>
      <c r="T171" s="1288"/>
      <c r="U171" s="1288"/>
      <c r="V171" s="1288"/>
      <c r="W171" s="1558"/>
      <c r="X171" s="1288"/>
      <c r="Y171" s="1288"/>
      <c r="Z171" s="478"/>
      <c r="AA171" s="1288"/>
      <c r="AB171" s="1288"/>
      <c r="AC171" s="1288"/>
      <c r="AD171" s="1288"/>
      <c r="AE171" s="1288"/>
      <c r="AF171" s="1554"/>
      <c r="AG171" s="556"/>
      <c r="AH171" s="556"/>
      <c r="AI171" s="556"/>
      <c r="AJ171" s="556"/>
      <c r="AK171" s="1563">
        <v>11</v>
      </c>
    </row>
    <row r="172" spans="1:37" s="1563" customFormat="1" ht="11.45" customHeight="1">
      <c r="A172" s="913"/>
      <c r="B172" s="913"/>
      <c r="C172" s="913"/>
      <c r="D172" s="913"/>
      <c r="E172" s="913"/>
      <c r="F172" s="1558"/>
      <c r="G172" s="1558"/>
      <c r="H172" s="285"/>
      <c r="N172" s="1288"/>
      <c r="P172" s="1288"/>
      <c r="Q172" s="1558"/>
      <c r="R172" s="1558"/>
      <c r="S172" s="1288"/>
      <c r="T172" s="1288"/>
      <c r="U172" s="1288"/>
      <c r="V172" s="1288"/>
      <c r="W172" s="1558"/>
      <c r="X172" s="1288"/>
      <c r="Y172" s="1288"/>
      <c r="Z172" s="478"/>
      <c r="AA172" s="1288"/>
      <c r="AB172" s="1288"/>
      <c r="AC172" s="1288"/>
      <c r="AD172" s="1288"/>
      <c r="AE172" s="1288"/>
      <c r="AF172" s="1554"/>
      <c r="AG172" s="556"/>
      <c r="AH172" s="556"/>
      <c r="AI172" s="556"/>
      <c r="AJ172" s="556"/>
      <c r="AK172" s="1563">
        <v>11</v>
      </c>
    </row>
    <row r="173" spans="1:37" s="1563" customFormat="1" ht="11.45" customHeight="1">
      <c r="A173" s="913"/>
      <c r="B173" s="913"/>
      <c r="C173" s="913"/>
      <c r="D173" s="913"/>
      <c r="E173" s="913"/>
      <c r="F173" s="1558"/>
      <c r="G173" s="1558"/>
      <c r="H173" s="285"/>
      <c r="N173" s="1288"/>
      <c r="P173" s="1288"/>
      <c r="Q173" s="1558"/>
      <c r="R173" s="1558"/>
      <c r="S173" s="1288"/>
      <c r="T173" s="1288"/>
      <c r="U173" s="1288"/>
      <c r="V173" s="1288"/>
      <c r="W173" s="1558"/>
      <c r="X173" s="1288"/>
      <c r="Y173" s="1288"/>
      <c r="Z173" s="478"/>
      <c r="AA173" s="1288"/>
      <c r="AB173" s="1288"/>
      <c r="AC173" s="1288"/>
      <c r="AD173" s="1288"/>
      <c r="AE173" s="1288"/>
      <c r="AF173" s="1554"/>
      <c r="AG173" s="556"/>
      <c r="AH173" s="556"/>
      <c r="AI173" s="556"/>
      <c r="AJ173" s="556"/>
      <c r="AK173" s="1563">
        <v>11</v>
      </c>
    </row>
    <row r="174" spans="1:37" s="1563" customFormat="1" ht="11.45" customHeight="1">
      <c r="A174" s="913"/>
      <c r="B174" s="913"/>
      <c r="C174" s="913"/>
      <c r="D174" s="913"/>
      <c r="E174" s="913"/>
      <c r="F174" s="1558"/>
      <c r="G174" s="1558"/>
      <c r="H174" s="285"/>
      <c r="N174" s="1288"/>
      <c r="P174" s="1288"/>
      <c r="Q174" s="1558"/>
      <c r="R174" s="1558"/>
      <c r="S174" s="1288"/>
      <c r="T174" s="1288"/>
      <c r="U174" s="1288"/>
      <c r="V174" s="1288"/>
      <c r="W174" s="1558"/>
      <c r="X174" s="1288"/>
      <c r="Y174" s="1288"/>
      <c r="Z174" s="478"/>
      <c r="AA174" s="1288"/>
      <c r="AB174" s="1288"/>
      <c r="AC174" s="1288"/>
      <c r="AD174" s="1288"/>
      <c r="AE174" s="1288"/>
      <c r="AF174" s="1554"/>
      <c r="AG174" s="556"/>
      <c r="AH174" s="556"/>
      <c r="AI174" s="556"/>
      <c r="AJ174" s="556"/>
      <c r="AK174" s="1563">
        <v>11</v>
      </c>
    </row>
    <row r="175" spans="1:37" s="1563" customFormat="1" ht="11.45" customHeight="1">
      <c r="A175" s="913"/>
      <c r="B175" s="913"/>
      <c r="C175" s="913"/>
      <c r="D175" s="913"/>
      <c r="E175" s="913"/>
      <c r="F175" s="1558"/>
      <c r="G175" s="1558"/>
      <c r="H175" s="285"/>
      <c r="N175" s="1288"/>
      <c r="P175" s="1288"/>
      <c r="Q175" s="1558"/>
      <c r="R175" s="1558"/>
      <c r="S175" s="1288"/>
      <c r="T175" s="1288"/>
      <c r="U175" s="1288"/>
      <c r="V175" s="1288"/>
      <c r="W175" s="1558"/>
      <c r="X175" s="1288"/>
      <c r="Y175" s="1288"/>
      <c r="Z175" s="478"/>
      <c r="AA175" s="1288"/>
      <c r="AB175" s="1288"/>
      <c r="AC175" s="1288"/>
      <c r="AD175" s="1288"/>
      <c r="AE175" s="1288"/>
      <c r="AF175" s="1554"/>
      <c r="AG175" s="556"/>
      <c r="AH175" s="556"/>
      <c r="AI175" s="556"/>
      <c r="AJ175" s="556"/>
      <c r="AK175" s="1563">
        <v>11</v>
      </c>
    </row>
    <row r="176" spans="1:37" s="1563" customFormat="1" ht="11.45" customHeight="1">
      <c r="A176" s="913"/>
      <c r="B176" s="913"/>
      <c r="C176" s="913"/>
      <c r="D176" s="913"/>
      <c r="E176" s="913"/>
      <c r="F176" s="1558"/>
      <c r="G176" s="1558"/>
      <c r="H176" s="285"/>
      <c r="N176" s="1288"/>
      <c r="P176" s="1288"/>
      <c r="Q176" s="1558"/>
      <c r="R176" s="1558"/>
      <c r="S176" s="1288"/>
      <c r="T176" s="1288"/>
      <c r="U176" s="1288"/>
      <c r="V176" s="1288"/>
      <c r="W176" s="1558"/>
      <c r="X176" s="1288"/>
      <c r="Y176" s="1288"/>
      <c r="Z176" s="478"/>
      <c r="AA176" s="1288"/>
      <c r="AB176" s="1288"/>
      <c r="AC176" s="1288"/>
      <c r="AD176" s="1288"/>
      <c r="AE176" s="1288"/>
      <c r="AF176" s="1554"/>
      <c r="AG176" s="556"/>
      <c r="AH176" s="556"/>
      <c r="AI176" s="556"/>
      <c r="AJ176" s="556"/>
      <c r="AK176" s="1563">
        <v>11</v>
      </c>
    </row>
    <row r="177" spans="1:37" s="1563" customFormat="1" ht="11.45" customHeight="1">
      <c r="A177" s="913"/>
      <c r="B177" s="913"/>
      <c r="C177" s="913"/>
      <c r="D177" s="913"/>
      <c r="E177" s="913"/>
      <c r="F177" s="1558"/>
      <c r="G177" s="1558"/>
      <c r="H177" s="285"/>
      <c r="N177" s="1288"/>
      <c r="P177" s="1288"/>
      <c r="Q177" s="1558"/>
      <c r="R177" s="1558"/>
      <c r="S177" s="1288"/>
      <c r="T177" s="1288"/>
      <c r="U177" s="1288"/>
      <c r="V177" s="1288"/>
      <c r="W177" s="1558"/>
      <c r="X177" s="1288"/>
      <c r="Y177" s="1288"/>
      <c r="Z177" s="478"/>
      <c r="AA177" s="1288"/>
      <c r="AB177" s="1288"/>
      <c r="AC177" s="1288"/>
      <c r="AD177" s="1288"/>
      <c r="AE177" s="1288"/>
      <c r="AF177" s="1554"/>
      <c r="AG177" s="556"/>
      <c r="AH177" s="556"/>
      <c r="AI177" s="556"/>
      <c r="AJ177" s="556"/>
      <c r="AK177" s="1563">
        <v>11</v>
      </c>
    </row>
    <row r="178" spans="1:37" s="1563" customFormat="1" ht="11.45" customHeight="1">
      <c r="A178" s="913"/>
      <c r="B178" s="913"/>
      <c r="C178" s="913"/>
      <c r="D178" s="913"/>
      <c r="E178" s="913"/>
      <c r="F178" s="1558"/>
      <c r="G178" s="1558"/>
      <c r="H178" s="285"/>
      <c r="N178" s="1288"/>
      <c r="P178" s="1288"/>
      <c r="Q178" s="1558"/>
      <c r="R178" s="1558"/>
      <c r="S178" s="1288"/>
      <c r="T178" s="1288"/>
      <c r="U178" s="1288"/>
      <c r="V178" s="1288"/>
      <c r="W178" s="1558"/>
      <c r="X178" s="1288"/>
      <c r="Y178" s="1288"/>
      <c r="Z178" s="478"/>
      <c r="AA178" s="1288"/>
      <c r="AB178" s="1288"/>
      <c r="AC178" s="1288"/>
      <c r="AD178" s="1288"/>
      <c r="AE178" s="1288"/>
      <c r="AF178" s="1554"/>
      <c r="AG178" s="556"/>
      <c r="AH178" s="556"/>
      <c r="AI178" s="556"/>
      <c r="AJ178" s="556"/>
      <c r="AK178" s="1563">
        <v>11</v>
      </c>
    </row>
    <row r="179" spans="1:37" s="1563" customFormat="1" ht="11.45" customHeight="1">
      <c r="A179" s="913"/>
      <c r="B179" s="913"/>
      <c r="C179" s="913"/>
      <c r="D179" s="913"/>
      <c r="E179" s="913"/>
      <c r="F179" s="1558"/>
      <c r="G179" s="1558"/>
      <c r="H179" s="285"/>
      <c r="N179" s="1288"/>
      <c r="P179" s="1288"/>
      <c r="Q179" s="1558"/>
      <c r="R179" s="1558"/>
      <c r="S179" s="1288"/>
      <c r="T179" s="1288"/>
      <c r="U179" s="1288"/>
      <c r="V179" s="1288"/>
      <c r="W179" s="1558"/>
      <c r="X179" s="1288"/>
      <c r="Y179" s="1288"/>
      <c r="Z179" s="478"/>
      <c r="AA179" s="1288"/>
      <c r="AB179" s="1288"/>
      <c r="AC179" s="1288"/>
      <c r="AD179" s="1288"/>
      <c r="AE179" s="1288"/>
      <c r="AF179" s="1554"/>
      <c r="AG179" s="556"/>
      <c r="AH179" s="556"/>
      <c r="AI179" s="556"/>
      <c r="AJ179" s="556"/>
      <c r="AK179" s="1563">
        <v>11</v>
      </c>
    </row>
    <row r="180" spans="1:37" s="1563" customFormat="1" ht="11.45" customHeight="1">
      <c r="A180" s="913"/>
      <c r="B180" s="913"/>
      <c r="C180" s="913"/>
      <c r="D180" s="913"/>
      <c r="E180" s="913"/>
      <c r="F180" s="1558"/>
      <c r="G180" s="1558"/>
      <c r="H180" s="285"/>
      <c r="N180" s="1288"/>
      <c r="P180" s="1288"/>
      <c r="Q180" s="1558"/>
      <c r="R180" s="1558"/>
      <c r="S180" s="1288"/>
      <c r="T180" s="1288"/>
      <c r="U180" s="1288"/>
      <c r="V180" s="1288"/>
      <c r="W180" s="1558"/>
      <c r="X180" s="1288"/>
      <c r="Y180" s="1288"/>
      <c r="Z180" s="478"/>
      <c r="AA180" s="1288"/>
      <c r="AB180" s="1288"/>
      <c r="AC180" s="1288"/>
      <c r="AD180" s="1288"/>
      <c r="AE180" s="1288"/>
      <c r="AF180" s="1554"/>
      <c r="AG180" s="556"/>
      <c r="AH180" s="556"/>
      <c r="AI180" s="556"/>
      <c r="AJ180" s="556"/>
      <c r="AK180" s="1563">
        <v>11</v>
      </c>
    </row>
    <row r="181" spans="1:37" s="1563" customFormat="1" ht="11.45" customHeight="1">
      <c r="A181" s="913"/>
      <c r="B181" s="913"/>
      <c r="C181" s="913"/>
      <c r="D181" s="913"/>
      <c r="E181" s="913"/>
      <c r="F181" s="1558"/>
      <c r="G181" s="1558"/>
      <c r="H181" s="285"/>
      <c r="N181" s="1288"/>
      <c r="P181" s="1288"/>
      <c r="Q181" s="1558"/>
      <c r="R181" s="1558"/>
      <c r="S181" s="1288"/>
      <c r="T181" s="1288"/>
      <c r="U181" s="1288"/>
      <c r="V181" s="1288"/>
      <c r="W181" s="1558"/>
      <c r="X181" s="1288"/>
      <c r="Y181" s="1288"/>
      <c r="Z181" s="478"/>
      <c r="AA181" s="1288"/>
      <c r="AB181" s="1288"/>
      <c r="AC181" s="1288"/>
      <c r="AD181" s="1288"/>
      <c r="AE181" s="1288"/>
      <c r="AF181" s="1554"/>
      <c r="AG181" s="556"/>
      <c r="AH181" s="556"/>
      <c r="AI181" s="556"/>
      <c r="AJ181" s="556"/>
      <c r="AK181" s="1563">
        <v>11</v>
      </c>
    </row>
    <row r="182" spans="1:37" s="1563" customFormat="1" ht="11.45" customHeight="1">
      <c r="A182" s="913"/>
      <c r="B182" s="913"/>
      <c r="C182" s="913"/>
      <c r="D182" s="913"/>
      <c r="E182" s="913"/>
      <c r="F182" s="1558"/>
      <c r="G182" s="1558"/>
      <c r="H182" s="285"/>
      <c r="N182" s="1288"/>
      <c r="P182" s="1288"/>
      <c r="Q182" s="1558"/>
      <c r="R182" s="1558"/>
      <c r="S182" s="1288"/>
      <c r="T182" s="1288"/>
      <c r="U182" s="1288"/>
      <c r="V182" s="1288"/>
      <c r="W182" s="1558"/>
      <c r="X182" s="1288"/>
      <c r="Y182" s="1288"/>
      <c r="Z182" s="478"/>
      <c r="AA182" s="1288"/>
      <c r="AB182" s="1288"/>
      <c r="AC182" s="1288"/>
      <c r="AD182" s="1288"/>
      <c r="AE182" s="1288"/>
      <c r="AF182" s="1554"/>
      <c r="AG182" s="556"/>
      <c r="AH182" s="556"/>
      <c r="AI182" s="556"/>
      <c r="AJ182" s="556"/>
      <c r="AK182" s="1563">
        <v>11</v>
      </c>
    </row>
    <row r="183" spans="1:37" s="1563" customFormat="1" ht="11.45" customHeight="1">
      <c r="A183" s="913"/>
      <c r="B183" s="913"/>
      <c r="C183" s="913"/>
      <c r="D183" s="913"/>
      <c r="E183" s="913"/>
      <c r="F183" s="1558"/>
      <c r="G183" s="1558"/>
      <c r="H183" s="285"/>
      <c r="N183" s="1288"/>
      <c r="P183" s="1288"/>
      <c r="Q183" s="1558"/>
      <c r="R183" s="1558"/>
      <c r="S183" s="1288"/>
      <c r="T183" s="1288"/>
      <c r="U183" s="1288"/>
      <c r="V183" s="1288"/>
      <c r="W183" s="1558"/>
      <c r="X183" s="1288"/>
      <c r="Y183" s="1288"/>
      <c r="Z183" s="478"/>
      <c r="AA183" s="1288"/>
      <c r="AB183" s="1288"/>
      <c r="AC183" s="1288"/>
      <c r="AD183" s="1288"/>
      <c r="AE183" s="1288"/>
      <c r="AF183" s="1554"/>
      <c r="AG183" s="556"/>
      <c r="AH183" s="556"/>
      <c r="AI183" s="556"/>
      <c r="AJ183" s="556"/>
      <c r="AK183" s="1563">
        <v>11</v>
      </c>
    </row>
    <row r="184" spans="1:37" s="1563" customFormat="1" ht="11.45" customHeight="1">
      <c r="A184" s="913"/>
      <c r="B184" s="913"/>
      <c r="C184" s="913"/>
      <c r="D184" s="913"/>
      <c r="E184" s="913"/>
      <c r="F184" s="1558"/>
      <c r="G184" s="1558"/>
      <c r="H184" s="285"/>
      <c r="N184" s="1288"/>
      <c r="P184" s="1288"/>
      <c r="Q184" s="1558"/>
      <c r="R184" s="1558"/>
      <c r="S184" s="1288"/>
      <c r="T184" s="1288"/>
      <c r="U184" s="1288"/>
      <c r="V184" s="1288"/>
      <c r="W184" s="1558"/>
      <c r="X184" s="1288"/>
      <c r="Y184" s="1288"/>
      <c r="Z184" s="478"/>
      <c r="AA184" s="1288"/>
      <c r="AB184" s="1288"/>
      <c r="AC184" s="1288"/>
      <c r="AD184" s="1288"/>
      <c r="AE184" s="1288"/>
      <c r="AF184" s="1554"/>
      <c r="AG184" s="556"/>
      <c r="AH184" s="556"/>
      <c r="AI184" s="556"/>
      <c r="AJ184" s="556"/>
      <c r="AK184" s="1563">
        <v>11</v>
      </c>
    </row>
    <row r="185" spans="1:37" s="1563" customFormat="1" ht="11.45" customHeight="1">
      <c r="A185" s="913"/>
      <c r="B185" s="913"/>
      <c r="C185" s="913"/>
      <c r="D185" s="913"/>
      <c r="E185" s="913"/>
      <c r="F185" s="1558"/>
      <c r="G185" s="1558"/>
      <c r="H185" s="285"/>
      <c r="N185" s="1288"/>
      <c r="P185" s="1288"/>
      <c r="Q185" s="1558"/>
      <c r="R185" s="1558"/>
      <c r="S185" s="1288"/>
      <c r="T185" s="1288"/>
      <c r="U185" s="1288"/>
      <c r="V185" s="1288"/>
      <c r="W185" s="1558"/>
      <c r="X185" s="1288"/>
      <c r="Y185" s="1288"/>
      <c r="Z185" s="478"/>
      <c r="AA185" s="1288"/>
      <c r="AB185" s="1288"/>
      <c r="AC185" s="1288"/>
      <c r="AD185" s="1288"/>
      <c r="AE185" s="1288"/>
      <c r="AF185" s="1554"/>
      <c r="AG185" s="556"/>
      <c r="AH185" s="556"/>
      <c r="AI185" s="556"/>
      <c r="AJ185" s="556"/>
      <c r="AK185" s="1563">
        <v>11</v>
      </c>
    </row>
    <row r="186" spans="1:37" s="1563" customFormat="1" ht="11.45" customHeight="1">
      <c r="A186" s="913"/>
      <c r="B186" s="913"/>
      <c r="C186" s="913"/>
      <c r="D186" s="913"/>
      <c r="E186" s="913"/>
      <c r="F186" s="1558"/>
      <c r="G186" s="1558"/>
      <c r="H186" s="285"/>
      <c r="N186" s="1288"/>
      <c r="P186" s="1288"/>
      <c r="Q186" s="1558"/>
      <c r="R186" s="1558"/>
      <c r="S186" s="1288"/>
      <c r="T186" s="1288"/>
      <c r="U186" s="1288"/>
      <c r="V186" s="1288"/>
      <c r="W186" s="1558"/>
      <c r="X186" s="1288"/>
      <c r="Y186" s="1288"/>
      <c r="Z186" s="478"/>
      <c r="AA186" s="1288"/>
      <c r="AB186" s="1288"/>
      <c r="AC186" s="1288"/>
      <c r="AD186" s="1288"/>
      <c r="AE186" s="1288"/>
      <c r="AF186" s="1554"/>
      <c r="AG186" s="556"/>
      <c r="AH186" s="556"/>
      <c r="AI186" s="556"/>
      <c r="AJ186" s="556"/>
      <c r="AK186" s="1563">
        <v>11</v>
      </c>
    </row>
    <row r="187" spans="1:37" s="1563" customFormat="1" ht="11.45" customHeight="1">
      <c r="A187" s="913"/>
      <c r="B187" s="913"/>
      <c r="C187" s="913"/>
      <c r="D187" s="913"/>
      <c r="E187" s="913"/>
      <c r="F187" s="1558"/>
      <c r="G187" s="1558"/>
      <c r="H187" s="285"/>
      <c r="N187" s="1288"/>
      <c r="P187" s="1288"/>
      <c r="Q187" s="1558"/>
      <c r="R187" s="1558"/>
      <c r="S187" s="1288"/>
      <c r="T187" s="1288"/>
      <c r="U187" s="1288"/>
      <c r="V187" s="1288"/>
      <c r="W187" s="1558"/>
      <c r="X187" s="1288"/>
      <c r="Y187" s="1288"/>
      <c r="Z187" s="478"/>
      <c r="AA187" s="1288"/>
      <c r="AB187" s="1288"/>
      <c r="AC187" s="1288"/>
      <c r="AD187" s="1288"/>
      <c r="AE187" s="1288"/>
      <c r="AF187" s="1554"/>
      <c r="AG187" s="556"/>
      <c r="AH187" s="556"/>
      <c r="AI187" s="556"/>
      <c r="AJ187" s="556"/>
      <c r="AK187" s="1563">
        <v>11</v>
      </c>
    </row>
    <row r="188" spans="1:37" s="1563" customFormat="1" ht="11.45" customHeight="1">
      <c r="A188" s="913"/>
      <c r="B188" s="913"/>
      <c r="C188" s="913"/>
      <c r="D188" s="913"/>
      <c r="E188" s="913"/>
      <c r="F188" s="1558"/>
      <c r="G188" s="1558"/>
      <c r="H188" s="285"/>
      <c r="N188" s="1288"/>
      <c r="P188" s="1288"/>
      <c r="Q188" s="1558"/>
      <c r="R188" s="1558"/>
      <c r="S188" s="1288"/>
      <c r="T188" s="1288"/>
      <c r="U188" s="1288"/>
      <c r="V188" s="1288"/>
      <c r="W188" s="1558"/>
      <c r="X188" s="1288"/>
      <c r="Y188" s="1288"/>
      <c r="Z188" s="478"/>
      <c r="AA188" s="1288"/>
      <c r="AB188" s="1288"/>
      <c r="AC188" s="1288"/>
      <c r="AD188" s="1288"/>
      <c r="AE188" s="1288"/>
      <c r="AF188" s="1554"/>
      <c r="AG188" s="556"/>
      <c r="AH188" s="556"/>
      <c r="AI188" s="556"/>
      <c r="AJ188" s="556"/>
      <c r="AK188" s="1563">
        <v>11</v>
      </c>
    </row>
    <row r="189" spans="1:37" s="1563" customFormat="1" ht="11.45" customHeight="1">
      <c r="A189" s="913"/>
      <c r="B189" s="913"/>
      <c r="C189" s="913"/>
      <c r="D189" s="913"/>
      <c r="E189" s="913"/>
      <c r="F189" s="1558"/>
      <c r="G189" s="1558"/>
      <c r="H189" s="285"/>
      <c r="N189" s="1288"/>
      <c r="P189" s="1288"/>
      <c r="Q189" s="1558"/>
      <c r="R189" s="1558"/>
      <c r="S189" s="1288"/>
      <c r="T189" s="1288"/>
      <c r="U189" s="1288"/>
      <c r="V189" s="1288"/>
      <c r="W189" s="1558"/>
      <c r="X189" s="1288"/>
      <c r="Y189" s="1288"/>
      <c r="Z189" s="478"/>
      <c r="AA189" s="1288"/>
      <c r="AB189" s="1288"/>
      <c r="AC189" s="1288"/>
      <c r="AD189" s="1288"/>
      <c r="AE189" s="1288"/>
      <c r="AF189" s="1554"/>
      <c r="AG189" s="556"/>
      <c r="AH189" s="556"/>
      <c r="AI189" s="556"/>
      <c r="AJ189" s="556"/>
      <c r="AK189" s="1563">
        <v>11</v>
      </c>
    </row>
    <row r="190" spans="1:37" ht="11.45" customHeight="1">
      <c r="AK190" s="1553">
        <v>11</v>
      </c>
    </row>
    <row r="191" spans="1:37" ht="11.45" customHeight="1">
      <c r="AK191" s="1553">
        <v>11</v>
      </c>
    </row>
    <row r="192" spans="1:37" ht="11.45" customHeight="1">
      <c r="AK192" s="1553">
        <v>11</v>
      </c>
    </row>
    <row r="193" spans="1:37" ht="11.45" customHeight="1">
      <c r="A193" s="916"/>
      <c r="B193" s="916"/>
      <c r="C193" s="916"/>
      <c r="D193" s="916"/>
      <c r="E193" s="916"/>
      <c r="F193" s="1553"/>
      <c r="H193" s="1553"/>
      <c r="N193" s="1553"/>
      <c r="P193" s="1553"/>
      <c r="S193" s="1553"/>
      <c r="T193" s="1553"/>
      <c r="U193" s="1553"/>
      <c r="V193" s="1553"/>
      <c r="X193" s="1553"/>
      <c r="Y193" s="1553"/>
      <c r="Z193" s="1553"/>
      <c r="AA193" s="1553"/>
      <c r="AB193" s="1553"/>
      <c r="AC193" s="1553"/>
      <c r="AD193" s="1553"/>
      <c r="AE193" s="1553"/>
      <c r="AF193" s="1553"/>
      <c r="AG193" s="1553"/>
      <c r="AH193" s="1553"/>
      <c r="AI193" s="1553"/>
      <c r="AJ193" s="1553"/>
      <c r="AK193" s="1553">
        <v>11</v>
      </c>
    </row>
    <row r="194" spans="1:37" ht="11.45" customHeight="1">
      <c r="A194" s="916"/>
      <c r="B194" s="916"/>
      <c r="C194" s="916"/>
      <c r="D194" s="916"/>
      <c r="E194" s="916"/>
      <c r="F194" s="1553"/>
      <c r="H194" s="1553"/>
      <c r="N194" s="1553"/>
      <c r="P194" s="1553"/>
      <c r="S194" s="1553"/>
      <c r="T194" s="1553"/>
      <c r="U194" s="1553"/>
      <c r="V194" s="1553"/>
      <c r="X194" s="1553"/>
      <c r="Y194" s="1553"/>
      <c r="Z194" s="1553"/>
      <c r="AA194" s="1553"/>
      <c r="AB194" s="1553"/>
      <c r="AC194" s="1553"/>
      <c r="AD194" s="1553"/>
      <c r="AE194" s="1553"/>
      <c r="AF194" s="1553"/>
      <c r="AG194" s="1553"/>
      <c r="AH194" s="1553"/>
      <c r="AI194" s="1553"/>
      <c r="AJ194" s="1553"/>
      <c r="AK194" s="1553">
        <v>11</v>
      </c>
    </row>
    <row r="195" spans="1:37" ht="11.45" customHeight="1">
      <c r="A195" s="916"/>
      <c r="B195" s="916"/>
      <c r="C195" s="916"/>
      <c r="D195" s="916"/>
      <c r="E195" s="916"/>
      <c r="F195" s="1553"/>
      <c r="H195" s="1553"/>
      <c r="N195" s="1553"/>
      <c r="P195" s="1553"/>
      <c r="S195" s="1553"/>
      <c r="T195" s="1553"/>
      <c r="U195" s="1553"/>
      <c r="V195" s="1553"/>
      <c r="X195" s="1553"/>
      <c r="Y195" s="1553"/>
      <c r="Z195" s="1553"/>
      <c r="AA195" s="1553"/>
      <c r="AB195" s="1553"/>
      <c r="AC195" s="1553"/>
      <c r="AD195" s="1553"/>
      <c r="AE195" s="1553"/>
      <c r="AF195" s="1553"/>
      <c r="AG195" s="1553"/>
      <c r="AH195" s="1553"/>
      <c r="AI195" s="1553"/>
      <c r="AJ195" s="1553"/>
      <c r="AK195" s="1553">
        <v>11</v>
      </c>
    </row>
    <row r="196" spans="1:37" ht="11.45" customHeight="1">
      <c r="A196" s="916"/>
      <c r="B196" s="916"/>
      <c r="C196" s="916"/>
      <c r="D196" s="916"/>
      <c r="E196" s="916"/>
      <c r="F196" s="1553"/>
      <c r="H196" s="1553"/>
      <c r="N196" s="1553"/>
      <c r="P196" s="1553"/>
      <c r="S196" s="1553"/>
      <c r="T196" s="1553"/>
      <c r="U196" s="1553"/>
      <c r="V196" s="1553"/>
      <c r="X196" s="1553"/>
      <c r="Y196" s="1553"/>
      <c r="Z196" s="1553"/>
      <c r="AA196" s="1553"/>
      <c r="AB196" s="1553"/>
      <c r="AC196" s="1553"/>
      <c r="AD196" s="1553"/>
      <c r="AE196" s="1553"/>
      <c r="AF196" s="1553"/>
      <c r="AG196" s="1553"/>
      <c r="AH196" s="1553"/>
      <c r="AI196" s="1553"/>
      <c r="AJ196" s="1553"/>
      <c r="AK196" s="1553">
        <v>11</v>
      </c>
    </row>
    <row r="197" spans="1:37" ht="11.45" customHeight="1">
      <c r="A197" s="916"/>
      <c r="B197" s="916"/>
      <c r="C197" s="916"/>
      <c r="D197" s="916"/>
      <c r="E197" s="916"/>
      <c r="F197" s="1553"/>
      <c r="H197" s="1553"/>
      <c r="N197" s="1553"/>
      <c r="P197" s="1553"/>
      <c r="S197" s="1553"/>
      <c r="T197" s="1553"/>
      <c r="U197" s="1553"/>
      <c r="V197" s="1553"/>
      <c r="X197" s="1553"/>
      <c r="Y197" s="1553"/>
      <c r="Z197" s="1553"/>
      <c r="AA197" s="1553"/>
      <c r="AB197" s="1553"/>
      <c r="AC197" s="1553"/>
      <c r="AD197" s="1553"/>
      <c r="AE197" s="1553"/>
      <c r="AF197" s="1553"/>
      <c r="AG197" s="1553"/>
      <c r="AH197" s="1553"/>
      <c r="AI197" s="1553"/>
      <c r="AJ197" s="1553"/>
      <c r="AK197" s="1553">
        <v>11</v>
      </c>
    </row>
    <row r="198" spans="1:37" ht="11.45" customHeight="1">
      <c r="A198" s="916"/>
      <c r="B198" s="916"/>
      <c r="C198" s="916"/>
      <c r="D198" s="916"/>
      <c r="E198" s="916"/>
      <c r="F198" s="1553"/>
      <c r="H198" s="1553"/>
      <c r="N198" s="1553"/>
      <c r="P198" s="1553"/>
      <c r="S198" s="1553"/>
      <c r="T198" s="1553"/>
      <c r="U198" s="1553"/>
      <c r="V198" s="1553"/>
      <c r="X198" s="1553"/>
      <c r="Y198" s="1553"/>
      <c r="Z198" s="1553"/>
      <c r="AA198" s="1553"/>
      <c r="AB198" s="1553"/>
      <c r="AC198" s="1553"/>
      <c r="AD198" s="1553"/>
      <c r="AE198" s="1553"/>
      <c r="AF198" s="1553"/>
      <c r="AG198" s="1553"/>
      <c r="AH198" s="1553"/>
      <c r="AI198" s="1553"/>
      <c r="AJ198" s="1553"/>
      <c r="AK198" s="1553">
        <v>11</v>
      </c>
    </row>
    <row r="199" spans="1:37" ht="11.45" customHeight="1">
      <c r="A199" s="916"/>
      <c r="B199" s="916"/>
      <c r="C199" s="916"/>
      <c r="D199" s="916"/>
      <c r="E199" s="916"/>
      <c r="F199" s="1553"/>
      <c r="H199" s="1553"/>
      <c r="N199" s="1553"/>
      <c r="P199" s="1553"/>
      <c r="S199" s="1553"/>
      <c r="T199" s="1553"/>
      <c r="U199" s="1553"/>
      <c r="V199" s="1553"/>
      <c r="X199" s="1553"/>
      <c r="Y199" s="1553"/>
      <c r="Z199" s="1553"/>
      <c r="AA199" s="1553"/>
      <c r="AB199" s="1553"/>
      <c r="AC199" s="1553"/>
      <c r="AD199" s="1553"/>
      <c r="AE199" s="1553"/>
      <c r="AF199" s="1553"/>
      <c r="AG199" s="1553"/>
      <c r="AH199" s="1553"/>
      <c r="AI199" s="1553"/>
      <c r="AJ199" s="1553"/>
      <c r="AK199" s="1553">
        <v>11</v>
      </c>
    </row>
    <row r="200" spans="1:37" ht="11.45" customHeight="1">
      <c r="A200" s="916"/>
      <c r="B200" s="916"/>
      <c r="C200" s="916"/>
      <c r="D200" s="916"/>
      <c r="E200" s="916"/>
      <c r="F200" s="1553"/>
      <c r="H200" s="1553"/>
      <c r="N200" s="1553"/>
      <c r="P200" s="1553"/>
      <c r="S200" s="1553"/>
      <c r="T200" s="1553"/>
      <c r="U200" s="1553"/>
      <c r="V200" s="1553"/>
      <c r="X200" s="1553"/>
      <c r="Y200" s="1553"/>
      <c r="Z200" s="1553"/>
      <c r="AA200" s="1553"/>
      <c r="AB200" s="1553"/>
      <c r="AC200" s="1553"/>
      <c r="AD200" s="1553"/>
      <c r="AE200" s="1553"/>
      <c r="AF200" s="1553"/>
      <c r="AG200" s="1553"/>
      <c r="AH200" s="1553"/>
      <c r="AI200" s="1553"/>
      <c r="AJ200" s="1553"/>
      <c r="AK200" s="1553">
        <v>11</v>
      </c>
    </row>
    <row r="201" spans="1:37" ht="11.45" customHeight="1">
      <c r="A201" s="916"/>
      <c r="B201" s="916"/>
      <c r="C201" s="916"/>
      <c r="D201" s="916"/>
      <c r="E201" s="916"/>
      <c r="F201" s="1553"/>
      <c r="H201" s="1553"/>
      <c r="N201" s="1553"/>
      <c r="P201" s="1553"/>
      <c r="S201" s="1553"/>
      <c r="T201" s="1553"/>
      <c r="U201" s="1553"/>
      <c r="V201" s="1553"/>
      <c r="X201" s="1553"/>
      <c r="Y201" s="1553"/>
      <c r="Z201" s="1553"/>
      <c r="AA201" s="1553"/>
      <c r="AB201" s="1553"/>
      <c r="AC201" s="1553"/>
      <c r="AD201" s="1553"/>
      <c r="AE201" s="1553"/>
      <c r="AF201" s="1553"/>
      <c r="AG201" s="1553"/>
      <c r="AH201" s="1553"/>
      <c r="AI201" s="1553"/>
      <c r="AJ201" s="1553"/>
      <c r="AK201" s="1553">
        <v>11</v>
      </c>
    </row>
    <row r="202" spans="1:37" ht="11.45" customHeight="1">
      <c r="A202" s="916"/>
      <c r="B202" s="916"/>
      <c r="C202" s="916"/>
      <c r="D202" s="916"/>
      <c r="E202" s="916"/>
      <c r="F202" s="1553"/>
      <c r="H202" s="1553"/>
      <c r="N202" s="1553"/>
      <c r="P202" s="1553"/>
      <c r="S202" s="1553"/>
      <c r="T202" s="1553"/>
      <c r="U202" s="1553"/>
      <c r="V202" s="1553"/>
      <c r="X202" s="1553"/>
      <c r="Y202" s="1553"/>
      <c r="Z202" s="1553"/>
      <c r="AA202" s="1553"/>
      <c r="AB202" s="1553"/>
      <c r="AC202" s="1553"/>
      <c r="AD202" s="1553"/>
      <c r="AE202" s="1553"/>
      <c r="AF202" s="1553"/>
      <c r="AG202" s="1553"/>
      <c r="AH202" s="1553"/>
      <c r="AI202" s="1553"/>
      <c r="AJ202" s="1553"/>
      <c r="AK202" s="1553">
        <v>11</v>
      </c>
    </row>
    <row r="203" spans="1:37" ht="11.45" customHeight="1">
      <c r="A203" s="916"/>
      <c r="B203" s="916"/>
      <c r="C203" s="916"/>
      <c r="D203" s="916"/>
      <c r="E203" s="916"/>
      <c r="F203" s="1553"/>
      <c r="H203" s="1553"/>
      <c r="N203" s="1553"/>
      <c r="P203" s="1553"/>
      <c r="S203" s="1553"/>
      <c r="T203" s="1553"/>
      <c r="U203" s="1553"/>
      <c r="V203" s="1553"/>
      <c r="X203" s="1553"/>
      <c r="Y203" s="1553"/>
      <c r="Z203" s="1553"/>
      <c r="AA203" s="1553"/>
      <c r="AB203" s="1553"/>
      <c r="AC203" s="1553"/>
      <c r="AD203" s="1553"/>
      <c r="AE203" s="1553"/>
      <c r="AF203" s="1553"/>
      <c r="AG203" s="1553"/>
      <c r="AH203" s="1553"/>
      <c r="AI203" s="1553"/>
      <c r="AJ203" s="1553"/>
      <c r="AK203" s="1553">
        <v>11</v>
      </c>
    </row>
    <row r="204" spans="1:37" ht="12.75" hidden="1" customHeight="1">
      <c r="A204" s="913" t="s">
        <v>70</v>
      </c>
      <c r="B204" s="913" t="s">
        <v>118</v>
      </c>
      <c r="C204" s="913" t="s">
        <v>118</v>
      </c>
      <c r="D204" s="913" t="s">
        <v>118</v>
      </c>
      <c r="E204" s="913" t="s">
        <v>118</v>
      </c>
      <c r="F204" s="1557">
        <v>16</v>
      </c>
      <c r="G204" s="1558">
        <v>0</v>
      </c>
      <c r="H204" s="1557">
        <v>3</v>
      </c>
      <c r="I204" s="1553">
        <v>7</v>
      </c>
      <c r="J204" s="1553">
        <v>56</v>
      </c>
      <c r="K204" s="1553">
        <v>10</v>
      </c>
      <c r="L204" s="1553">
        <v>40</v>
      </c>
      <c r="M204" s="1553">
        <v>40</v>
      </c>
      <c r="N204" s="1288">
        <v>9</v>
      </c>
      <c r="O204" s="1553">
        <v>102</v>
      </c>
      <c r="P204" s="1288">
        <v>9</v>
      </c>
      <c r="Q204" s="1558">
        <v>5</v>
      </c>
      <c r="R204" s="1558">
        <v>3</v>
      </c>
      <c r="S204" s="1288">
        <v>3</v>
      </c>
      <c r="T204" s="1288">
        <v>3</v>
      </c>
      <c r="U204" s="1288">
        <v>3</v>
      </c>
      <c r="V204" s="1288">
        <v>3</v>
      </c>
      <c r="W204" s="1558">
        <v>10</v>
      </c>
      <c r="X204" s="1288">
        <v>34</v>
      </c>
      <c r="Y204" s="1288">
        <v>9</v>
      </c>
      <c r="Z204" s="478">
        <v>8</v>
      </c>
      <c r="AA204" s="1288">
        <v>8</v>
      </c>
      <c r="AB204" s="1288">
        <v>8</v>
      </c>
      <c r="AC204" s="1288">
        <v>8</v>
      </c>
      <c r="AD204" s="1288">
        <v>8</v>
      </c>
      <c r="AE204" s="1288">
        <v>8</v>
      </c>
      <c r="AF204" s="1554">
        <v>8</v>
      </c>
      <c r="AG204" s="1554">
        <v>8</v>
      </c>
      <c r="AH204" s="1554">
        <v>8</v>
      </c>
      <c r="AI204" s="1554">
        <v>8</v>
      </c>
      <c r="AJ204" s="1554">
        <v>8</v>
      </c>
      <c r="AK204" s="1553">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7" hidden="1"/>
    <col min="5" max="5" width="9.140625" style="1991" hidden="1" customWidth="1"/>
    <col min="6" max="7" width="9.140625" style="1288" hidden="1" customWidth="1"/>
    <col min="8" max="8" width="3" style="279" customWidth="1"/>
    <col min="9" max="9" width="6" style="1557" customWidth="1"/>
    <col min="10" max="10" width="63" style="1557" customWidth="1"/>
    <col min="11" max="11" width="9" style="1557" customWidth="1"/>
    <col min="12" max="12" width="39" style="1557" customWidth="1"/>
    <col min="13" max="13" width="89" style="1557" customWidth="1"/>
    <col min="14" max="14" width="10" style="1557" customWidth="1"/>
    <col min="15" max="16" width="10" style="1546" customWidth="1"/>
    <col min="17" max="22" width="10" style="1557" customWidth="1"/>
    <col min="23" max="23" width="10.5703125" style="1557" hidden="1"/>
  </cols>
  <sheetData>
    <row r="1" spans="1:23" ht="22.5" hidden="1" customHeight="1">
      <c r="S1" s="190"/>
      <c r="T1" s="190"/>
      <c r="V1" s="190"/>
      <c r="W1" s="1553" t="s">
        <v>1</v>
      </c>
    </row>
    <row r="2" spans="1:23" ht="22.5" hidden="1" customHeight="1">
      <c r="B2" s="1939" t="s">
        <v>1008</v>
      </c>
      <c r="C2" s="1939" t="s">
        <v>1009</v>
      </c>
      <c r="D2" s="1938" t="s">
        <v>948</v>
      </c>
      <c r="E2" s="1944">
        <f>I2-3</f>
        <v>-3</v>
      </c>
      <c r="F2" s="1944">
        <f>J2</f>
        <v>0</v>
      </c>
      <c r="H2" s="1623" t="s">
        <v>90</v>
      </c>
      <c r="I2" s="1910"/>
      <c r="J2" s="1603"/>
      <c r="K2" s="1904" t="s">
        <v>351</v>
      </c>
      <c r="L2" s="1086"/>
      <c r="M2" s="232"/>
      <c r="N2" s="1546"/>
      <c r="P2" s="1553"/>
      <c r="W2" s="1553">
        <v>0</v>
      </c>
    </row>
    <row r="3" spans="1:23" ht="14.25" hidden="1" customHeight="1">
      <c r="W3" s="1553">
        <v>0</v>
      </c>
    </row>
    <row r="4" spans="1:23" ht="6.4" customHeight="1">
      <c r="H4" s="310"/>
      <c r="I4" s="391"/>
      <c r="J4" s="391"/>
      <c r="K4" s="391"/>
      <c r="L4" s="24"/>
      <c r="M4" s="24"/>
      <c r="W4" s="1553">
        <v>6</v>
      </c>
    </row>
    <row r="5" spans="1:23" ht="50.25" customHeight="1">
      <c r="H5" s="310"/>
      <c r="I5" s="3721" t="s">
        <v>1010</v>
      </c>
      <c r="J5" s="3721"/>
      <c r="K5" s="3721"/>
      <c r="L5" s="3721"/>
      <c r="M5" s="201"/>
      <c r="W5" s="1553">
        <v>48</v>
      </c>
    </row>
    <row r="6" spans="1:23" ht="18" customHeight="1">
      <c r="H6" s="310"/>
      <c r="I6" s="3667" t="str">
        <f>IF(org=0,"Не определено",org)</f>
        <v>ООО "Смоленскрегионтеплоэнерго"</v>
      </c>
      <c r="J6" s="3667"/>
      <c r="K6" s="3667"/>
      <c r="L6" s="3667"/>
      <c r="M6" s="201"/>
      <c r="W6" s="1553">
        <v>17</v>
      </c>
    </row>
    <row r="7" spans="1:23" ht="14.65" customHeight="1">
      <c r="H7" s="310"/>
      <c r="I7" s="391"/>
      <c r="J7" s="397"/>
      <c r="K7" s="397"/>
      <c r="L7" s="686"/>
      <c r="M7" s="128"/>
      <c r="W7" s="1553">
        <v>14</v>
      </c>
    </row>
    <row r="8" spans="1:23" ht="14.65" customHeight="1">
      <c r="H8" s="310"/>
      <c r="I8" s="3840" t="s">
        <v>345</v>
      </c>
      <c r="J8" s="3841"/>
      <c r="K8" s="3841"/>
      <c r="L8" s="3842"/>
      <c r="M8" s="3843" t="s">
        <v>346</v>
      </c>
      <c r="W8" s="1553">
        <v>14</v>
      </c>
    </row>
    <row r="9" spans="1:23" ht="35.65" customHeight="1">
      <c r="E9" s="1937" t="s">
        <v>939</v>
      </c>
      <c r="F9" s="1937" t="s">
        <v>945</v>
      </c>
      <c r="H9" s="310"/>
      <c r="I9" s="1911" t="s">
        <v>76</v>
      </c>
      <c r="J9" s="1912" t="s">
        <v>347</v>
      </c>
      <c r="K9" s="1950" t="s">
        <v>609</v>
      </c>
      <c r="L9" s="1951" t="s">
        <v>348</v>
      </c>
      <c r="M9" s="3843"/>
      <c r="W9" s="1553">
        <v>34</v>
      </c>
    </row>
    <row r="10" spans="1:23" ht="35.65" customHeight="1">
      <c r="B10" s="1939" t="s">
        <v>1011</v>
      </c>
      <c r="C10" s="1939" t="s">
        <v>1012</v>
      </c>
      <c r="D10" s="1938" t="s">
        <v>948</v>
      </c>
      <c r="E10" s="1942" t="s">
        <v>949</v>
      </c>
      <c r="F10" s="1942" t="s">
        <v>949</v>
      </c>
      <c r="H10" s="310"/>
      <c r="I10" s="1910" t="s">
        <v>164</v>
      </c>
      <c r="J10" s="1775" t="s">
        <v>1013</v>
      </c>
      <c r="K10" s="1904" t="s">
        <v>351</v>
      </c>
      <c r="L10" s="746"/>
      <c r="M10" s="232" t="s">
        <v>1014</v>
      </c>
      <c r="W10" s="1553">
        <v>34</v>
      </c>
    </row>
    <row r="11" spans="1:23" ht="50.25" customHeight="1">
      <c r="B11" s="1939" t="s">
        <v>1015</v>
      </c>
      <c r="C11" s="1939" t="s">
        <v>1016</v>
      </c>
      <c r="D11" s="1938" t="s">
        <v>948</v>
      </c>
      <c r="E11" s="1942" t="s">
        <v>949</v>
      </c>
      <c r="F11" s="1942" t="s">
        <v>949</v>
      </c>
      <c r="H11" s="310"/>
      <c r="I11" s="1910" t="s">
        <v>89</v>
      </c>
      <c r="J11" s="1775" t="s">
        <v>1017</v>
      </c>
      <c r="K11" s="1904" t="s">
        <v>351</v>
      </c>
      <c r="L11" s="746"/>
      <c r="M11" s="232" t="s">
        <v>1014</v>
      </c>
      <c r="W11" s="1553">
        <v>48</v>
      </c>
    </row>
    <row r="12" spans="1:23" ht="48.2" customHeight="1">
      <c r="B12" s="1939" t="s">
        <v>1018</v>
      </c>
      <c r="C12" s="1939" t="s">
        <v>1019</v>
      </c>
      <c r="D12" s="1938" t="s">
        <v>948</v>
      </c>
      <c r="E12" s="1942" t="s">
        <v>949</v>
      </c>
      <c r="F12" s="1942" t="s">
        <v>949</v>
      </c>
      <c r="H12" s="1609"/>
      <c r="I12" s="1910" t="s">
        <v>78</v>
      </c>
      <c r="J12" s="1917" t="s">
        <v>1020</v>
      </c>
      <c r="K12" s="1904" t="s">
        <v>351</v>
      </c>
      <c r="L12" s="746"/>
      <c r="M12" s="232" t="s">
        <v>1021</v>
      </c>
      <c r="N12" s="1546"/>
      <c r="P12" s="1553"/>
      <c r="W12" s="1553">
        <v>46</v>
      </c>
    </row>
    <row r="13" spans="1:23" ht="14.65" customHeight="1">
      <c r="E13" s="278"/>
      <c r="H13" s="310"/>
      <c r="I13" s="282"/>
      <c r="J13" s="585" t="s">
        <v>1022</v>
      </c>
      <c r="K13" s="505"/>
      <c r="L13" s="149"/>
      <c r="M13" s="232"/>
      <c r="W13" s="1553">
        <v>14</v>
      </c>
    </row>
    <row r="14" spans="1:23" ht="14.65" customHeight="1">
      <c r="E14" s="278"/>
      <c r="H14" s="310"/>
      <c r="I14" s="983"/>
      <c r="J14" s="1598"/>
      <c r="K14" s="1599"/>
      <c r="L14" s="1600"/>
      <c r="M14" s="1914"/>
      <c r="W14" s="1553">
        <v>14</v>
      </c>
    </row>
    <row r="15" spans="1:23" ht="14.65" customHeight="1">
      <c r="I15" s="1602"/>
      <c r="J15" s="3757"/>
      <c r="K15" s="3757"/>
      <c r="L15" s="3757"/>
      <c r="M15" s="3757"/>
      <c r="W15" s="1553">
        <v>14</v>
      </c>
    </row>
    <row r="16" spans="1:23" ht="21" hidden="1" customHeight="1">
      <c r="A16" s="1916" t="s">
        <v>70</v>
      </c>
      <c r="B16" s="1553">
        <v>9</v>
      </c>
      <c r="C16" s="1553">
        <v>9</v>
      </c>
      <c r="D16" s="1553">
        <v>9</v>
      </c>
      <c r="E16" s="1916" t="s">
        <v>114</v>
      </c>
      <c r="F16" s="1941" t="s">
        <v>114</v>
      </c>
      <c r="G16" s="1943"/>
      <c r="H16" s="279">
        <v>3</v>
      </c>
      <c r="I16" s="1553">
        <v>6</v>
      </c>
      <c r="J16" s="1553">
        <v>63</v>
      </c>
      <c r="K16" s="1553">
        <v>9</v>
      </c>
      <c r="L16" s="1553">
        <v>39</v>
      </c>
      <c r="M16" s="1553">
        <v>89</v>
      </c>
      <c r="N16" s="1553">
        <v>10</v>
      </c>
      <c r="O16" s="1546">
        <v>10</v>
      </c>
      <c r="P16" s="1546">
        <v>10</v>
      </c>
      <c r="Q16" s="1553">
        <v>10</v>
      </c>
      <c r="R16" s="1553">
        <v>10</v>
      </c>
      <c r="S16" s="1553">
        <v>10</v>
      </c>
      <c r="T16" s="1553">
        <v>10</v>
      </c>
      <c r="U16" s="1553">
        <v>10</v>
      </c>
      <c r="V16" s="1553">
        <v>10</v>
      </c>
      <c r="W16" s="1553">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6" style="1557" customWidth="1"/>
    <col min="7" max="7" width="10" style="1557" customWidth="1"/>
    <col min="8" max="8" width="40.7109375" style="1557" hidden="1" customWidth="1"/>
    <col min="9" max="9" width="40" style="1557" customWidth="1"/>
    <col min="10" max="10" width="102" style="1557" customWidth="1"/>
    <col min="11" max="11" width="9" style="1288" customWidth="1"/>
    <col min="12" max="12" width="5" style="1564" customWidth="1"/>
    <col min="13" max="13" width="3" style="1564" customWidth="1"/>
    <col min="14" max="17" width="3" style="1288" customWidth="1"/>
    <col min="18" max="18" width="10" style="1564" customWidth="1"/>
    <col min="19" max="19" width="34" style="1288" customWidth="1"/>
    <col min="20" max="20" width="9" style="1288" customWidth="1"/>
    <col min="21" max="21" width="8" style="670" customWidth="1"/>
    <col min="22" max="26" width="8" style="1288" customWidth="1"/>
    <col min="27" max="31" width="8" style="1554" customWidth="1"/>
    <col min="32" max="32" width="10.42578125" style="1557" hidden="1" customWidth="1"/>
  </cols>
  <sheetData>
    <row r="1" spans="1:32" s="1288" customFormat="1" ht="22.5" hidden="1" customHeight="1">
      <c r="A1" s="913"/>
      <c r="C1" s="1558"/>
      <c r="D1" s="471"/>
      <c r="H1" s="1082">
        <v>4</v>
      </c>
      <c r="I1" s="1082">
        <v>4</v>
      </c>
      <c r="L1" s="1558"/>
      <c r="M1" s="1558"/>
      <c r="R1" s="1558"/>
      <c r="AF1" s="1082" t="s">
        <v>1</v>
      </c>
    </row>
    <row r="2" spans="1:32" s="1288" customFormat="1" ht="22.5" hidden="1" customHeight="1">
      <c r="A2" s="913"/>
      <c r="C2" s="1558"/>
      <c r="D2" s="472"/>
      <c r="E2" s="1559"/>
      <c r="F2" s="474"/>
      <c r="G2" s="1561" t="s">
        <v>595</v>
      </c>
      <c r="H2" s="475"/>
      <c r="I2" s="475"/>
      <c r="J2" s="476" t="s">
        <v>1023</v>
      </c>
      <c r="K2" s="477"/>
      <c r="L2" s="1558"/>
      <c r="M2" s="1558"/>
      <c r="R2" s="1558"/>
      <c r="U2" s="478"/>
      <c r="AA2" s="1554"/>
      <c r="AB2" s="1554"/>
      <c r="AC2" s="1554"/>
      <c r="AD2" s="1554"/>
      <c r="AE2" s="1554"/>
      <c r="AF2" s="1082">
        <v>0</v>
      </c>
    </row>
    <row r="3" spans="1:32" ht="11.25" hidden="1" customHeight="1">
      <c r="AF3" s="1553">
        <v>0</v>
      </c>
    </row>
    <row r="4" spans="1:32" s="1554" customFormat="1" ht="11.25" hidden="1" customHeight="1">
      <c r="A4" s="913"/>
      <c r="B4" s="1082"/>
      <c r="C4" s="1558"/>
      <c r="D4" s="296"/>
      <c r="J4" s="1554">
        <v>4</v>
      </c>
      <c r="K4" s="1082"/>
      <c r="L4" s="1558"/>
      <c r="M4" s="1558"/>
      <c r="N4" s="1082"/>
      <c r="O4" s="1082"/>
      <c r="P4" s="1082"/>
      <c r="Q4" s="1082"/>
      <c r="R4" s="1558"/>
      <c r="S4" s="1082"/>
      <c r="T4" s="1082"/>
      <c r="U4" s="478"/>
      <c r="V4" s="1082"/>
      <c r="W4" s="1082"/>
      <c r="X4" s="1082"/>
      <c r="Y4" s="1082"/>
      <c r="Z4" s="1082"/>
      <c r="AF4" s="1554">
        <v>0</v>
      </c>
    </row>
    <row r="5" spans="1:32" ht="11.45" customHeight="1">
      <c r="AF5" s="1553">
        <v>11</v>
      </c>
    </row>
    <row r="6" spans="1:32" ht="31.5" customHeight="1">
      <c r="E6" s="3682" t="s">
        <v>1024</v>
      </c>
      <c r="F6" s="3682"/>
      <c r="G6" s="3682"/>
      <c r="H6" s="3682"/>
      <c r="I6" s="3682"/>
      <c r="J6" s="490"/>
      <c r="AF6" s="1553">
        <v>30</v>
      </c>
    </row>
    <row r="7" spans="1:32" ht="11.45" customHeight="1">
      <c r="E7" s="3667" t="str">
        <f>IF(org=0,"Не определено",org)</f>
        <v>ООО "Смоленскрегионтеплоэнерго"</v>
      </c>
      <c r="F7" s="3667"/>
      <c r="G7" s="3667"/>
      <c r="H7" s="3667"/>
      <c r="I7" s="3667"/>
      <c r="AF7" s="1553">
        <v>11</v>
      </c>
    </row>
    <row r="8" spans="1:32" ht="11.45" customHeight="1">
      <c r="E8" s="1058"/>
      <c r="F8" s="1058"/>
      <c r="G8" s="1058"/>
      <c r="H8" s="1058"/>
      <c r="I8" s="1058"/>
      <c r="AF8" s="1553">
        <v>11</v>
      </c>
    </row>
    <row r="9" spans="1:32" s="1564" customFormat="1" ht="4.1500000000000004" customHeight="1">
      <c r="A9" s="1089"/>
      <c r="H9" s="816"/>
      <c r="I9" s="816" t="s">
        <v>169</v>
      </c>
      <c r="AF9" s="1558">
        <v>4</v>
      </c>
    </row>
    <row r="10" spans="1:32" ht="11.45" customHeight="1">
      <c r="E10" s="645"/>
      <c r="F10" s="3822" t="s">
        <v>160</v>
      </c>
      <c r="G10" s="3823"/>
      <c r="H10" s="1474" t="str">
        <f>IF(H9="","",INDEX(DIFFERENTIATION_UNMERGE_VD,MATCH(H9,DIFFERENTIATION_ID_DIFF,0)))</f>
        <v/>
      </c>
      <c r="I10" s="1474"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3618" t="s">
        <v>346</v>
      </c>
      <c r="AF10" s="1553">
        <v>11</v>
      </c>
    </row>
    <row r="11" spans="1:32" ht="11.45" customHeight="1">
      <c r="E11" s="645"/>
      <c r="F11" s="3822" t="s">
        <v>607</v>
      </c>
      <c r="G11" s="3823"/>
      <c r="H11" s="1474" t="str">
        <f>IF(H9="","",INDEX(DIFFERENTIATION_UNMERGE_AREA,MATCH(H9,DIFFERENTIATION_ID_DIFF,0)))</f>
        <v/>
      </c>
      <c r="I11" s="1474" t="str">
        <f>IF(I9="","",INDEX(DIFFERENTIATION_UNMERGE_AREA,MATCH(I9,DIFFERENTIATION_ID_DIFF,0)))</f>
        <v>без дифференциации</v>
      </c>
      <c r="J11" s="3618"/>
      <c r="AF11" s="1553">
        <v>11</v>
      </c>
    </row>
    <row r="12" spans="1:32" ht="1.1499999999999999" customHeight="1">
      <c r="E12" s="1584"/>
      <c r="F12" s="3844" t="s">
        <v>608</v>
      </c>
      <c r="G12" s="3845"/>
      <c r="H12" s="1585" t="str">
        <f>IF(H9="","",INDEX(DIFFERENTIATION_UNMERGE_SYSTEM,MATCH(H9,DIFFERENTIATION_ID_DIFF,0)))</f>
        <v/>
      </c>
      <c r="I12" s="1585" t="str">
        <f>IF(I9="","",INDEX(DIFFERENTIATION_UNMERGE_SYSTEM,MATCH(I9,DIFFERENTIATION_ID_DIFF,0)))</f>
        <v>без дифференциации</v>
      </c>
      <c r="J12" s="3618"/>
      <c r="AF12" s="1553">
        <v>1</v>
      </c>
    </row>
    <row r="13" spans="1:32" ht="11.45" customHeight="1">
      <c r="E13" s="3824" t="s">
        <v>345</v>
      </c>
      <c r="F13" s="3825"/>
      <c r="G13" s="3825"/>
      <c r="H13" s="1473"/>
      <c r="I13" s="1473"/>
      <c r="J13" s="3618"/>
      <c r="AF13" s="1553">
        <v>11</v>
      </c>
    </row>
    <row r="14" spans="1:32" ht="24" customHeight="1">
      <c r="E14" s="1561" t="s">
        <v>76</v>
      </c>
      <c r="F14" s="1556" t="s">
        <v>347</v>
      </c>
      <c r="G14" s="1556" t="s">
        <v>609</v>
      </c>
      <c r="H14" s="1556" t="s">
        <v>348</v>
      </c>
      <c r="I14" s="1556" t="s">
        <v>348</v>
      </c>
      <c r="J14" s="3618"/>
      <c r="AF14" s="1553">
        <v>23</v>
      </c>
    </row>
    <row r="15" spans="1:32" ht="19.899999999999999" customHeight="1">
      <c r="D15" s="1560"/>
      <c r="E15" s="1552" t="s">
        <v>164</v>
      </c>
      <c r="F15" s="641" t="s">
        <v>1025</v>
      </c>
      <c r="G15" s="1568" t="s">
        <v>595</v>
      </c>
      <c r="H15" s="491"/>
      <c r="I15" s="491"/>
      <c r="J15" s="224" t="s">
        <v>1026</v>
      </c>
      <c r="K15" s="477" t="s">
        <v>951</v>
      </c>
      <c r="AF15" s="1553">
        <v>19</v>
      </c>
    </row>
    <row r="16" spans="1:32" ht="35.65" customHeight="1">
      <c r="D16" s="1560"/>
      <c r="E16" s="1552" t="s">
        <v>89</v>
      </c>
      <c r="F16" s="641" t="s">
        <v>1027</v>
      </c>
      <c r="G16" s="1568" t="s">
        <v>595</v>
      </c>
      <c r="H16" s="492">
        <f>SUM(H17,H20,H23,H26,H29:H32,H35)</f>
        <v>0</v>
      </c>
      <c r="I16" s="492">
        <f>SUM(I17,I20,I23,I26,I29:I32,I35)</f>
        <v>0</v>
      </c>
      <c r="J16" s="224" t="s">
        <v>1028</v>
      </c>
      <c r="K16" s="477" t="s">
        <v>951</v>
      </c>
      <c r="AF16" s="1553">
        <v>34</v>
      </c>
    </row>
    <row r="17" spans="1:32" ht="19.899999999999999" customHeight="1">
      <c r="D17" s="1560"/>
      <c r="E17" s="1586" t="s">
        <v>1029</v>
      </c>
      <c r="F17" s="881" t="s">
        <v>1030</v>
      </c>
      <c r="G17" s="1565" t="s">
        <v>595</v>
      </c>
      <c r="H17" s="491"/>
      <c r="I17" s="491"/>
      <c r="J17" s="224" t="s">
        <v>1031</v>
      </c>
      <c r="K17" s="477"/>
      <c r="AF17" s="1553">
        <v>19</v>
      </c>
    </row>
    <row r="18" spans="1:32" ht="24" customHeight="1">
      <c r="D18" s="1560"/>
      <c r="E18" s="1586" t="s">
        <v>1032</v>
      </c>
      <c r="F18" s="1572" t="s">
        <v>1033</v>
      </c>
      <c r="G18" s="1565" t="s">
        <v>595</v>
      </c>
      <c r="H18" s="491"/>
      <c r="I18" s="491"/>
      <c r="J18" s="224" t="s">
        <v>1034</v>
      </c>
      <c r="K18" s="477"/>
      <c r="AF18" s="1553">
        <v>23</v>
      </c>
    </row>
    <row r="19" spans="1:32" ht="35.65" customHeight="1">
      <c r="D19" s="1560"/>
      <c r="E19" s="1586" t="s">
        <v>1035</v>
      </c>
      <c r="F19" s="1572" t="s">
        <v>1036</v>
      </c>
      <c r="G19" s="1565" t="s">
        <v>595</v>
      </c>
      <c r="H19" s="491"/>
      <c r="I19" s="491"/>
      <c r="J19" s="224"/>
      <c r="K19" s="477"/>
      <c r="AF19" s="1553">
        <v>34</v>
      </c>
    </row>
    <row r="20" spans="1:32" ht="19.899999999999999" customHeight="1">
      <c r="D20" s="1560"/>
      <c r="E20" s="1586" t="s">
        <v>352</v>
      </c>
      <c r="F20" s="881" t="s">
        <v>1037</v>
      </c>
      <c r="G20" s="1565" t="s">
        <v>595</v>
      </c>
      <c r="H20" s="491"/>
      <c r="I20" s="491"/>
      <c r="J20" s="224" t="s">
        <v>1038</v>
      </c>
      <c r="K20" s="477"/>
      <c r="AF20" s="1553">
        <v>19</v>
      </c>
    </row>
    <row r="21" spans="1:32" ht="19.899999999999999" customHeight="1">
      <c r="D21" s="1560"/>
      <c r="E21" s="1586" t="s">
        <v>1039</v>
      </c>
      <c r="F21" s="1572" t="s">
        <v>1040</v>
      </c>
      <c r="G21" s="1565" t="s">
        <v>595</v>
      </c>
      <c r="H21" s="491"/>
      <c r="I21" s="491"/>
      <c r="J21" s="224"/>
      <c r="K21" s="477"/>
      <c r="AF21" s="1553">
        <v>19</v>
      </c>
    </row>
    <row r="22" spans="1:32" ht="19.899999999999999" customHeight="1">
      <c r="D22" s="1560"/>
      <c r="E22" s="1586" t="s">
        <v>1041</v>
      </c>
      <c r="F22" s="1572" t="s">
        <v>1042</v>
      </c>
      <c r="G22" s="1565" t="s">
        <v>595</v>
      </c>
      <c r="H22" s="491"/>
      <c r="I22" s="491"/>
      <c r="J22" s="224"/>
      <c r="K22" s="477"/>
      <c r="AF22" s="1553">
        <v>19</v>
      </c>
    </row>
    <row r="23" spans="1:32" ht="24" customHeight="1">
      <c r="D23" s="1560"/>
      <c r="E23" s="1586" t="s">
        <v>355</v>
      </c>
      <c r="F23" s="881" t="s">
        <v>1043</v>
      </c>
      <c r="G23" s="1565" t="s">
        <v>595</v>
      </c>
      <c r="H23" s="491"/>
      <c r="I23" s="491"/>
      <c r="J23" s="224" t="s">
        <v>1044</v>
      </c>
      <c r="K23" s="477"/>
      <c r="AF23" s="1553">
        <v>23</v>
      </c>
    </row>
    <row r="24" spans="1:32" ht="19.899999999999999" customHeight="1">
      <c r="D24" s="1560"/>
      <c r="E24" s="1586" t="s">
        <v>1045</v>
      </c>
      <c r="F24" s="1572" t="s">
        <v>1046</v>
      </c>
      <c r="G24" s="1565" t="s">
        <v>595</v>
      </c>
      <c r="H24" s="491"/>
      <c r="I24" s="491"/>
      <c r="J24" s="224"/>
      <c r="K24" s="477"/>
      <c r="AF24" s="1553">
        <v>19</v>
      </c>
    </row>
    <row r="25" spans="1:32" ht="35.65" customHeight="1">
      <c r="D25" s="1560"/>
      <c r="E25" s="1586" t="s">
        <v>1047</v>
      </c>
      <c r="F25" s="1572" t="s">
        <v>1048</v>
      </c>
      <c r="G25" s="1565" t="s">
        <v>595</v>
      </c>
      <c r="H25" s="491"/>
      <c r="I25" s="491"/>
      <c r="J25" s="224"/>
      <c r="K25" s="477"/>
      <c r="AF25" s="1553">
        <v>34</v>
      </c>
    </row>
    <row r="26" spans="1:32" ht="24" customHeight="1">
      <c r="D26" s="1560"/>
      <c r="E26" s="1586" t="s">
        <v>1049</v>
      </c>
      <c r="F26" s="881" t="s">
        <v>1050</v>
      </c>
      <c r="G26" s="1565" t="s">
        <v>595</v>
      </c>
      <c r="H26" s="491"/>
      <c r="I26" s="491"/>
      <c r="J26" s="224" t="s">
        <v>1051</v>
      </c>
      <c r="K26" s="477"/>
      <c r="AF26" s="1553">
        <v>23</v>
      </c>
    </row>
    <row r="27" spans="1:32" ht="19.899999999999999" customHeight="1">
      <c r="D27" s="1560"/>
      <c r="E27" s="1596" t="s">
        <v>1052</v>
      </c>
      <c r="F27" s="1572" t="s">
        <v>1053</v>
      </c>
      <c r="G27" s="1576" t="s">
        <v>595</v>
      </c>
      <c r="H27" s="1597"/>
      <c r="I27" s="1597"/>
      <c r="J27" s="224"/>
      <c r="K27" s="477"/>
      <c r="AF27" s="1553">
        <v>19</v>
      </c>
    </row>
    <row r="28" spans="1:32" ht="19.899999999999999" customHeight="1">
      <c r="D28" s="1560"/>
      <c r="E28" s="1596" t="s">
        <v>1054</v>
      </c>
      <c r="F28" s="1572" t="s">
        <v>1055</v>
      </c>
      <c r="G28" s="1576" t="s">
        <v>595</v>
      </c>
      <c r="H28" s="1597"/>
      <c r="I28" s="1597"/>
      <c r="J28" s="224"/>
      <c r="K28" s="477"/>
      <c r="AF28" s="1553">
        <v>19</v>
      </c>
    </row>
    <row r="29" spans="1:32" ht="19.899999999999999" customHeight="1">
      <c r="D29" s="1560"/>
      <c r="E29" s="1596" t="s">
        <v>1056</v>
      </c>
      <c r="F29" s="881" t="s">
        <v>1057</v>
      </c>
      <c r="G29" s="1576" t="s">
        <v>595</v>
      </c>
      <c r="H29" s="1597"/>
      <c r="I29" s="1597"/>
      <c r="J29" s="224"/>
      <c r="K29" s="477"/>
      <c r="AF29" s="1553">
        <v>19</v>
      </c>
    </row>
    <row r="30" spans="1:32" ht="19.899999999999999" customHeight="1">
      <c r="D30" s="1560"/>
      <c r="E30" s="1596" t="s">
        <v>1058</v>
      </c>
      <c r="F30" s="881" t="s">
        <v>1059</v>
      </c>
      <c r="G30" s="1576" t="s">
        <v>595</v>
      </c>
      <c r="H30" s="1597"/>
      <c r="I30" s="1597"/>
      <c r="J30" s="224"/>
      <c r="K30" s="477"/>
      <c r="AF30" s="1553">
        <v>19</v>
      </c>
    </row>
    <row r="31" spans="1:32" ht="19.899999999999999" customHeight="1">
      <c r="D31" s="1560"/>
      <c r="E31" s="1596" t="s">
        <v>1060</v>
      </c>
      <c r="F31" s="881" t="s">
        <v>1061</v>
      </c>
      <c r="G31" s="1576" t="s">
        <v>595</v>
      </c>
      <c r="H31" s="1597"/>
      <c r="I31" s="1597"/>
      <c r="J31" s="224"/>
      <c r="K31" s="477"/>
      <c r="AF31" s="1553">
        <v>19</v>
      </c>
    </row>
    <row r="32" spans="1:32" s="1288" customFormat="1" ht="35.65" customHeight="1">
      <c r="A32" s="913"/>
      <c r="C32" s="1558"/>
      <c r="D32" s="1560"/>
      <c r="E32" s="1596" t="s">
        <v>1062</v>
      </c>
      <c r="F32" s="881" t="s">
        <v>1063</v>
      </c>
      <c r="G32" s="1566" t="s">
        <v>595</v>
      </c>
      <c r="H32" s="513">
        <f>SUM(H33:H34)</f>
        <v>0</v>
      </c>
      <c r="I32" s="513">
        <f>SUM(I33:I34)</f>
        <v>0</v>
      </c>
      <c r="J32" s="224" t="s">
        <v>1064</v>
      </c>
      <c r="K32" s="477"/>
      <c r="L32" s="1558"/>
      <c r="M32" s="1558"/>
      <c r="R32" s="1558"/>
      <c r="U32" s="478"/>
      <c r="AA32" s="1554"/>
      <c r="AB32" s="1554"/>
      <c r="AC32" s="1554"/>
      <c r="AD32" s="1554"/>
      <c r="AE32" s="1554"/>
      <c r="AF32" s="1082">
        <v>34</v>
      </c>
    </row>
    <row r="33" spans="1:32" s="1564" customFormat="1" ht="1.1499999999999999" customHeight="1">
      <c r="A33" s="1089"/>
      <c r="D33" s="482"/>
      <c r="E33" s="730" t="str">
        <f>E32&amp;".0"</f>
        <v>2.8.0</v>
      </c>
      <c r="F33" s="917"/>
      <c r="G33" s="485"/>
      <c r="H33" s="918"/>
      <c r="I33" s="918"/>
      <c r="J33" s="919"/>
      <c r="AF33" s="1558">
        <v>1</v>
      </c>
    </row>
    <row r="34" spans="1:32" s="1288" customFormat="1" ht="19.899999999999999" customHeight="1">
      <c r="A34" s="913"/>
      <c r="C34" s="1558"/>
      <c r="D34" s="1555"/>
      <c r="E34" s="504"/>
      <c r="F34" s="1587" t="s">
        <v>631</v>
      </c>
      <c r="G34" s="506"/>
      <c r="H34" s="507"/>
      <c r="I34" s="507"/>
      <c r="J34" s="236" t="s">
        <v>1065</v>
      </c>
      <c r="K34" s="477"/>
      <c r="L34" s="1558"/>
      <c r="M34" s="1558"/>
      <c r="R34" s="1558"/>
      <c r="U34" s="478"/>
      <c r="AA34" s="1554"/>
      <c r="AB34" s="1554"/>
      <c r="AC34" s="1554"/>
      <c r="AD34" s="1554"/>
      <c r="AE34" s="1554"/>
      <c r="AF34" s="1082">
        <v>19</v>
      </c>
    </row>
    <row r="35" spans="1:32" ht="60" customHeight="1">
      <c r="D35" s="1560"/>
      <c r="E35" s="1596" t="s">
        <v>1066</v>
      </c>
      <c r="F35" s="881" t="s">
        <v>1067</v>
      </c>
      <c r="G35" s="1576" t="s">
        <v>595</v>
      </c>
      <c r="H35" s="1597"/>
      <c r="I35" s="1597"/>
      <c r="J35" s="224" t="s">
        <v>1068</v>
      </c>
      <c r="K35" s="477"/>
      <c r="AF35" s="1553">
        <v>57</v>
      </c>
    </row>
    <row r="36" spans="1:32" ht="19.899999999999999" customHeight="1">
      <c r="D36" s="1964"/>
      <c r="E36" s="1596" t="s">
        <v>1069</v>
      </c>
      <c r="F36" s="1968" t="s">
        <v>1070</v>
      </c>
      <c r="G36" s="1963" t="s">
        <v>595</v>
      </c>
      <c r="H36" s="1969"/>
      <c r="I36" s="1969"/>
      <c r="J36" s="1970" t="s">
        <v>1071</v>
      </c>
      <c r="K36" s="477"/>
      <c r="AF36" s="1553">
        <v>19</v>
      </c>
    </row>
    <row r="37" spans="1:32" ht="19.899999999999999" customHeight="1">
      <c r="D37" s="1964"/>
      <c r="E37" s="1596" t="s">
        <v>1072</v>
      </c>
      <c r="F37" s="1968" t="s">
        <v>1073</v>
      </c>
      <c r="G37" s="1963" t="s">
        <v>595</v>
      </c>
      <c r="H37" s="1969"/>
      <c r="I37" s="1969"/>
      <c r="J37" s="1970" t="s">
        <v>1074</v>
      </c>
      <c r="K37" s="477"/>
      <c r="AF37" s="1553">
        <v>19</v>
      </c>
    </row>
    <row r="38" spans="1:32" s="1288" customFormat="1" ht="24" customHeight="1">
      <c r="A38" s="915" t="s">
        <v>632</v>
      </c>
      <c r="C38" s="1558"/>
      <c r="D38" s="1560"/>
      <c r="E38" s="1586" t="s">
        <v>78</v>
      </c>
      <c r="F38" s="641" t="s">
        <v>1075</v>
      </c>
      <c r="G38" s="1565" t="s">
        <v>595</v>
      </c>
      <c r="H38" s="491"/>
      <c r="I38" s="491"/>
      <c r="J38" s="224" t="s">
        <v>1076</v>
      </c>
      <c r="K38" s="477"/>
      <c r="L38" s="1558"/>
      <c r="M38" s="1558"/>
      <c r="R38" s="1558"/>
      <c r="U38" s="478"/>
      <c r="AA38" s="1554"/>
      <c r="AB38" s="1554"/>
      <c r="AC38" s="1554"/>
      <c r="AD38" s="1554"/>
      <c r="AE38" s="1554"/>
      <c r="AF38" s="1082">
        <v>23</v>
      </c>
    </row>
    <row r="39" spans="1:32" s="1288" customFormat="1" ht="35.65" customHeight="1">
      <c r="A39" s="915"/>
      <c r="C39" s="1558"/>
      <c r="D39" s="1560"/>
      <c r="E39" s="1586" t="s">
        <v>369</v>
      </c>
      <c r="F39" s="881" t="s">
        <v>1077</v>
      </c>
      <c r="G39" s="1576"/>
      <c r="H39" s="491"/>
      <c r="I39" s="491"/>
      <c r="J39" s="224"/>
      <c r="K39" s="477"/>
      <c r="L39" s="1558"/>
      <c r="M39" s="1558"/>
      <c r="R39" s="1558"/>
      <c r="U39" s="478"/>
      <c r="AA39" s="1554"/>
      <c r="AB39" s="1554"/>
      <c r="AC39" s="1554"/>
      <c r="AD39" s="1554"/>
      <c r="AE39" s="1554"/>
      <c r="AF39" s="1082">
        <v>34</v>
      </c>
    </row>
    <row r="40" spans="1:32" s="1288" customFormat="1" ht="19.899999999999999" customHeight="1">
      <c r="A40" s="913"/>
      <c r="C40" s="1558"/>
      <c r="D40" s="509"/>
      <c r="E40" s="1586" t="s">
        <v>79</v>
      </c>
      <c r="F40" s="641" t="s">
        <v>1078</v>
      </c>
      <c r="G40" s="1565" t="s">
        <v>595</v>
      </c>
      <c r="H40" s="491"/>
      <c r="I40" s="491"/>
      <c r="J40" s="224" t="s">
        <v>1079</v>
      </c>
      <c r="K40" s="477"/>
      <c r="L40" s="1558"/>
      <c r="M40" s="1558"/>
      <c r="R40" s="1558"/>
      <c r="U40" s="478"/>
      <c r="AA40" s="1554"/>
      <c r="AB40" s="1554"/>
      <c r="AC40" s="1554"/>
      <c r="AD40" s="1554"/>
      <c r="AE40" s="1554"/>
      <c r="AF40" s="1082">
        <v>19</v>
      </c>
    </row>
    <row r="41" spans="1:32" s="1288" customFormat="1" ht="24" customHeight="1">
      <c r="A41" s="913"/>
      <c r="C41" s="1558"/>
      <c r="D41" s="509"/>
      <c r="E41" s="1586" t="s">
        <v>1080</v>
      </c>
      <c r="F41" s="881" t="s">
        <v>1081</v>
      </c>
      <c r="G41" s="1576" t="s">
        <v>595</v>
      </c>
      <c r="H41" s="491"/>
      <c r="I41" s="491"/>
      <c r="J41" s="224" t="s">
        <v>1082</v>
      </c>
      <c r="K41" s="477"/>
      <c r="L41" s="1558"/>
      <c r="M41" s="1558"/>
      <c r="R41" s="1558"/>
      <c r="U41" s="478"/>
      <c r="AA41" s="1554"/>
      <c r="AB41" s="1554"/>
      <c r="AC41" s="1554"/>
      <c r="AD41" s="1554"/>
      <c r="AE41" s="1554"/>
      <c r="AF41" s="1082">
        <v>23</v>
      </c>
    </row>
    <row r="42" spans="1:32" s="1288" customFormat="1" ht="24" customHeight="1">
      <c r="A42" s="913"/>
      <c r="C42" s="1558"/>
      <c r="D42" s="1560"/>
      <c r="E42" s="1586" t="s">
        <v>1083</v>
      </c>
      <c r="F42" s="1572" t="s">
        <v>1084</v>
      </c>
      <c r="G42" s="1565" t="s">
        <v>595</v>
      </c>
      <c r="H42" s="491"/>
      <c r="I42" s="491"/>
      <c r="J42" s="224" t="s">
        <v>1085</v>
      </c>
      <c r="K42" s="477"/>
      <c r="L42" s="1558"/>
      <c r="M42" s="1558"/>
      <c r="R42" s="1558"/>
      <c r="U42" s="478"/>
      <c r="AA42" s="1554"/>
      <c r="AB42" s="1554"/>
      <c r="AC42" s="1554"/>
      <c r="AD42" s="1554"/>
      <c r="AE42" s="1554"/>
      <c r="AF42" s="1082">
        <v>23</v>
      </c>
    </row>
    <row r="43" spans="1:32" s="1288" customFormat="1" ht="24" customHeight="1">
      <c r="A43" s="913"/>
      <c r="C43" s="1558"/>
      <c r="D43" s="1560"/>
      <c r="E43" s="1586" t="s">
        <v>1086</v>
      </c>
      <c r="F43" s="1572" t="s">
        <v>1087</v>
      </c>
      <c r="G43" s="1565" t="s">
        <v>595</v>
      </c>
      <c r="H43" s="491"/>
      <c r="I43" s="491"/>
      <c r="J43" s="224" t="s">
        <v>1088</v>
      </c>
      <c r="K43" s="477"/>
      <c r="L43" s="1558"/>
      <c r="M43" s="1558"/>
      <c r="R43" s="1558"/>
      <c r="U43" s="478"/>
      <c r="AA43" s="1554"/>
      <c r="AB43" s="1554"/>
      <c r="AC43" s="1554"/>
      <c r="AD43" s="1554"/>
      <c r="AE43" s="1554"/>
      <c r="AF43" s="1082">
        <v>23</v>
      </c>
    </row>
    <row r="44" spans="1:32" s="1288" customFormat="1" ht="24" customHeight="1">
      <c r="A44" s="913"/>
      <c r="C44" s="1558"/>
      <c r="D44" s="1560"/>
      <c r="E44" s="1586" t="s">
        <v>1089</v>
      </c>
      <c r="F44" s="1572" t="s">
        <v>1090</v>
      </c>
      <c r="G44" s="1565" t="s">
        <v>595</v>
      </c>
      <c r="H44" s="491"/>
      <c r="I44" s="491"/>
      <c r="J44" s="224" t="s">
        <v>1091</v>
      </c>
      <c r="K44" s="477"/>
      <c r="L44" s="1558"/>
      <c r="M44" s="1558"/>
      <c r="R44" s="1558"/>
      <c r="U44" s="478"/>
      <c r="AA44" s="1554"/>
      <c r="AB44" s="1554"/>
      <c r="AC44" s="1554"/>
      <c r="AD44" s="1554"/>
      <c r="AE44" s="1554"/>
      <c r="AF44" s="1082">
        <v>23</v>
      </c>
    </row>
    <row r="45" spans="1:32" s="1288" customFormat="1" ht="35.65" customHeight="1">
      <c r="A45" s="913"/>
      <c r="C45" s="1558" t="s">
        <v>634</v>
      </c>
      <c r="D45" s="1560"/>
      <c r="E45" s="1586" t="s">
        <v>100</v>
      </c>
      <c r="F45" s="641" t="s">
        <v>950</v>
      </c>
      <c r="G45" s="1568" t="s">
        <v>1092</v>
      </c>
      <c r="H45" s="335"/>
      <c r="I45" s="335"/>
      <c r="J45" s="224" t="s">
        <v>1093</v>
      </c>
      <c r="K45" s="477"/>
      <c r="L45" s="1558"/>
      <c r="M45" s="1558"/>
      <c r="R45" s="1558"/>
      <c r="U45" s="478"/>
      <c r="AA45" s="1554"/>
      <c r="AB45" s="1554"/>
      <c r="AC45" s="1554"/>
      <c r="AD45" s="1554"/>
      <c r="AE45" s="1554"/>
      <c r="AF45" s="1082">
        <v>34</v>
      </c>
    </row>
    <row r="46" spans="1:32" s="1288" customFormat="1" ht="35.65" customHeight="1">
      <c r="A46" s="913"/>
      <c r="C46" s="1558"/>
      <c r="D46" s="1560"/>
      <c r="E46" s="1586" t="s">
        <v>80</v>
      </c>
      <c r="F46" s="641" t="s">
        <v>1094</v>
      </c>
      <c r="G46" s="1565" t="s">
        <v>1095</v>
      </c>
      <c r="H46" s="479"/>
      <c r="I46" s="479"/>
      <c r="J46" s="224" t="s">
        <v>1096</v>
      </c>
      <c r="K46" s="477"/>
      <c r="L46" s="1558"/>
      <c r="M46" s="1558"/>
      <c r="R46" s="1558"/>
      <c r="U46" s="478"/>
      <c r="AA46" s="1554"/>
      <c r="AB46" s="1554"/>
      <c r="AC46" s="1554"/>
      <c r="AD46" s="1554"/>
      <c r="AE46" s="1554"/>
      <c r="AF46" s="1082">
        <v>34</v>
      </c>
    </row>
    <row r="47" spans="1:32" s="1288" customFormat="1" ht="24" customHeight="1">
      <c r="A47" s="913"/>
      <c r="C47" s="1558"/>
      <c r="D47" s="1560"/>
      <c r="E47" s="1586" t="s">
        <v>81</v>
      </c>
      <c r="F47" s="641" t="s">
        <v>1097</v>
      </c>
      <c r="G47" s="1576" t="s">
        <v>1098</v>
      </c>
      <c r="H47" s="479"/>
      <c r="I47" s="479"/>
      <c r="J47" s="224" t="s">
        <v>1099</v>
      </c>
      <c r="K47" s="477"/>
      <c r="L47" s="1558"/>
      <c r="M47" s="1558"/>
      <c r="R47" s="1558"/>
      <c r="U47" s="478"/>
      <c r="AA47" s="1554"/>
      <c r="AB47" s="1554"/>
      <c r="AC47" s="1554"/>
      <c r="AD47" s="1554"/>
      <c r="AE47" s="1554"/>
      <c r="AF47" s="1082">
        <v>23</v>
      </c>
    </row>
    <row r="48" spans="1:32" s="1288" customFormat="1" ht="19.899999999999999" customHeight="1">
      <c r="A48" s="913"/>
      <c r="C48" s="1558"/>
      <c r="D48" s="1560"/>
      <c r="E48" s="1586" t="s">
        <v>110</v>
      </c>
      <c r="F48" s="641" t="s">
        <v>1100</v>
      </c>
      <c r="G48" s="1565" t="s">
        <v>911</v>
      </c>
      <c r="H48" s="511"/>
      <c r="I48" s="511"/>
      <c r="J48" s="224"/>
      <c r="K48" s="477"/>
      <c r="L48" s="1558"/>
      <c r="M48" s="1558"/>
      <c r="R48" s="1558"/>
      <c r="U48" s="478"/>
      <c r="AA48" s="1554"/>
      <c r="AB48" s="1554"/>
      <c r="AC48" s="1554"/>
      <c r="AD48" s="1554"/>
      <c r="AE48" s="1554"/>
      <c r="AF48" s="1082">
        <v>19</v>
      </c>
    </row>
    <row r="49" spans="1:32" ht="11.45" customHeight="1">
      <c r="D49" s="1560"/>
      <c r="AF49" s="1553">
        <v>11</v>
      </c>
    </row>
    <row r="50" spans="1:32" s="1563" customFormat="1" ht="11.45" customHeight="1">
      <c r="A50" s="913"/>
      <c r="B50" s="1558"/>
      <c r="C50" s="1558"/>
      <c r="D50" s="285"/>
      <c r="K50" s="1082"/>
      <c r="L50" s="1558"/>
      <c r="M50" s="1558"/>
      <c r="N50" s="1082"/>
      <c r="O50" s="1082"/>
      <c r="P50" s="1082"/>
      <c r="Q50" s="1082"/>
      <c r="R50" s="1558"/>
      <c r="S50" s="1082"/>
      <c r="T50" s="1082"/>
      <c r="U50" s="478"/>
      <c r="V50" s="1082"/>
      <c r="W50" s="1082"/>
      <c r="X50" s="1082"/>
      <c r="Y50" s="1082"/>
      <c r="Z50" s="1082"/>
      <c r="AA50" s="1554"/>
      <c r="AB50" s="500"/>
      <c r="AC50" s="500"/>
      <c r="AD50" s="500"/>
      <c r="AE50" s="500"/>
      <c r="AF50" s="1563">
        <v>11</v>
      </c>
    </row>
    <row r="51" spans="1:32" s="1563" customFormat="1" ht="11.45" customHeight="1">
      <c r="A51" s="913"/>
      <c r="B51" s="1558"/>
      <c r="C51" s="1558"/>
      <c r="D51" s="285"/>
      <c r="K51" s="1082"/>
      <c r="L51" s="1558"/>
      <c r="M51" s="1558"/>
      <c r="N51" s="1082"/>
      <c r="O51" s="1082"/>
      <c r="P51" s="1082"/>
      <c r="Q51" s="1082"/>
      <c r="R51" s="1558"/>
      <c r="S51" s="1082"/>
      <c r="T51" s="1082"/>
      <c r="U51" s="478"/>
      <c r="V51" s="1082"/>
      <c r="W51" s="1082"/>
      <c r="X51" s="1082"/>
      <c r="Y51" s="1082"/>
      <c r="Z51" s="1082"/>
      <c r="AA51" s="1554"/>
      <c r="AB51" s="500"/>
      <c r="AC51" s="500"/>
      <c r="AD51" s="500"/>
      <c r="AE51" s="500"/>
      <c r="AF51" s="1563">
        <v>11</v>
      </c>
    </row>
    <row r="52" spans="1:32" s="1563" customFormat="1" ht="11.45" customHeight="1">
      <c r="A52" s="913"/>
      <c r="B52" s="1558"/>
      <c r="C52" s="1558"/>
      <c r="D52" s="285"/>
      <c r="H52" s="500"/>
      <c r="I52" s="500"/>
      <c r="K52" s="1082"/>
      <c r="L52" s="1558"/>
      <c r="M52" s="1558"/>
      <c r="N52" s="1082"/>
      <c r="O52" s="1082"/>
      <c r="P52" s="1082"/>
      <c r="Q52" s="1082"/>
      <c r="R52" s="1558"/>
      <c r="S52" s="1082"/>
      <c r="T52" s="1082"/>
      <c r="U52" s="478"/>
      <c r="V52" s="1082"/>
      <c r="W52" s="1082"/>
      <c r="X52" s="1082"/>
      <c r="Y52" s="1082"/>
      <c r="Z52" s="1082"/>
      <c r="AA52" s="1554"/>
      <c r="AB52" s="500"/>
      <c r="AC52" s="500"/>
      <c r="AD52" s="500"/>
      <c r="AE52" s="500"/>
      <c r="AF52" s="1563">
        <v>11</v>
      </c>
    </row>
    <row r="53" spans="1:32" s="1563" customFormat="1" ht="11.45" customHeight="1">
      <c r="A53" s="913"/>
      <c r="B53" s="1558"/>
      <c r="C53" s="1558"/>
      <c r="D53" s="285"/>
      <c r="K53" s="1082"/>
      <c r="L53" s="1558"/>
      <c r="M53" s="1558"/>
      <c r="N53" s="1082"/>
      <c r="O53" s="1082"/>
      <c r="P53" s="1082"/>
      <c r="Q53" s="1082"/>
      <c r="R53" s="1558"/>
      <c r="S53" s="1082"/>
      <c r="T53" s="1082"/>
      <c r="U53" s="478"/>
      <c r="V53" s="1082"/>
      <c r="W53" s="1082"/>
      <c r="X53" s="1082"/>
      <c r="Y53" s="1082"/>
      <c r="Z53" s="1082"/>
      <c r="AA53" s="1554"/>
      <c r="AB53" s="500"/>
      <c r="AC53" s="500"/>
      <c r="AD53" s="500"/>
      <c r="AE53" s="500"/>
      <c r="AF53" s="1563">
        <v>11</v>
      </c>
    </row>
    <row r="54" spans="1:32" s="1563" customFormat="1" ht="11.45" customHeight="1">
      <c r="A54" s="913"/>
      <c r="B54" s="1558"/>
      <c r="C54" s="1558"/>
      <c r="D54" s="285"/>
      <c r="K54" s="1082"/>
      <c r="L54" s="1558"/>
      <c r="M54" s="1558"/>
      <c r="N54" s="1082"/>
      <c r="O54" s="1082"/>
      <c r="P54" s="1082"/>
      <c r="Q54" s="1082"/>
      <c r="R54" s="1558"/>
      <c r="S54" s="1082"/>
      <c r="T54" s="1082"/>
      <c r="U54" s="478"/>
      <c r="V54" s="1082"/>
      <c r="W54" s="1082"/>
      <c r="X54" s="1082"/>
      <c r="Y54" s="1082"/>
      <c r="Z54" s="1082"/>
      <c r="AA54" s="1554"/>
      <c r="AB54" s="500"/>
      <c r="AC54" s="500"/>
      <c r="AD54" s="500"/>
      <c r="AE54" s="500"/>
      <c r="AF54" s="1563">
        <v>11</v>
      </c>
    </row>
    <row r="55" spans="1:32" s="1563" customFormat="1" ht="11.45" customHeight="1">
      <c r="A55" s="913"/>
      <c r="B55" s="1558"/>
      <c r="C55" s="1558"/>
      <c r="D55" s="285"/>
      <c r="K55" s="1082"/>
      <c r="L55" s="1558"/>
      <c r="M55" s="1558"/>
      <c r="N55" s="1082"/>
      <c r="O55" s="1082"/>
      <c r="P55" s="1082"/>
      <c r="Q55" s="1082"/>
      <c r="R55" s="1558"/>
      <c r="S55" s="1082"/>
      <c r="T55" s="1082"/>
      <c r="U55" s="478"/>
      <c r="V55" s="1082"/>
      <c r="W55" s="1082"/>
      <c r="X55" s="1082"/>
      <c r="Y55" s="1082"/>
      <c r="Z55" s="1082"/>
      <c r="AA55" s="1554"/>
      <c r="AB55" s="500"/>
      <c r="AC55" s="500"/>
      <c r="AD55" s="500"/>
      <c r="AE55" s="500"/>
      <c r="AF55" s="1563">
        <v>11</v>
      </c>
    </row>
    <row r="56" spans="1:32" s="1563" customFormat="1" ht="11.45" customHeight="1">
      <c r="A56" s="913"/>
      <c r="B56" s="1558"/>
      <c r="C56" s="1558"/>
      <c r="D56" s="285"/>
      <c r="K56" s="1082"/>
      <c r="L56" s="1558"/>
      <c r="M56" s="1558"/>
      <c r="N56" s="1082"/>
      <c r="O56" s="1082"/>
      <c r="P56" s="1082"/>
      <c r="Q56" s="1082"/>
      <c r="R56" s="1558"/>
      <c r="S56" s="1082"/>
      <c r="T56" s="1082"/>
      <c r="U56" s="478"/>
      <c r="V56" s="1082"/>
      <c r="W56" s="1082"/>
      <c r="X56" s="1082"/>
      <c r="Y56" s="1082"/>
      <c r="Z56" s="1082"/>
      <c r="AA56" s="1554"/>
      <c r="AB56" s="500"/>
      <c r="AC56" s="500"/>
      <c r="AD56" s="500"/>
      <c r="AE56" s="500"/>
      <c r="AF56" s="1563">
        <v>11</v>
      </c>
    </row>
    <row r="57" spans="1:32" s="1563" customFormat="1" ht="11.45" customHeight="1">
      <c r="A57" s="913"/>
      <c r="B57" s="1558"/>
      <c r="C57" s="1558"/>
      <c r="D57" s="285"/>
      <c r="K57" s="1082"/>
      <c r="L57" s="1558"/>
      <c r="M57" s="1558"/>
      <c r="N57" s="1082"/>
      <c r="O57" s="1082"/>
      <c r="P57" s="1082"/>
      <c r="Q57" s="1082"/>
      <c r="R57" s="1558"/>
      <c r="S57" s="1082"/>
      <c r="T57" s="1082"/>
      <c r="U57" s="478"/>
      <c r="V57" s="1082"/>
      <c r="W57" s="1082"/>
      <c r="X57" s="1082"/>
      <c r="Y57" s="1082"/>
      <c r="Z57" s="1082"/>
      <c r="AA57" s="1554"/>
      <c r="AB57" s="500"/>
      <c r="AC57" s="500"/>
      <c r="AD57" s="500"/>
      <c r="AE57" s="500"/>
      <c r="AF57" s="1563">
        <v>11</v>
      </c>
    </row>
    <row r="58" spans="1:32" s="1563" customFormat="1" ht="11.45" customHeight="1">
      <c r="A58" s="913"/>
      <c r="B58" s="1558"/>
      <c r="C58" s="1558"/>
      <c r="D58" s="285"/>
      <c r="K58" s="1082"/>
      <c r="L58" s="1558"/>
      <c r="M58" s="1558"/>
      <c r="N58" s="1082"/>
      <c r="O58" s="1082"/>
      <c r="P58" s="1082"/>
      <c r="Q58" s="1082"/>
      <c r="R58" s="1558"/>
      <c r="S58" s="1082"/>
      <c r="T58" s="1082"/>
      <c r="U58" s="478"/>
      <c r="V58" s="1082"/>
      <c r="W58" s="1082"/>
      <c r="X58" s="1082"/>
      <c r="Y58" s="1082"/>
      <c r="Z58" s="1082"/>
      <c r="AA58" s="1554"/>
      <c r="AB58" s="500"/>
      <c r="AC58" s="500"/>
      <c r="AD58" s="500"/>
      <c r="AE58" s="500"/>
      <c r="AF58" s="1563">
        <v>11</v>
      </c>
    </row>
    <row r="59" spans="1:32" s="1563" customFormat="1" ht="11.45" customHeight="1">
      <c r="A59" s="913"/>
      <c r="B59" s="1558"/>
      <c r="C59" s="1558"/>
      <c r="D59" s="285"/>
      <c r="K59" s="1082"/>
      <c r="L59" s="1558"/>
      <c r="M59" s="1558"/>
      <c r="N59" s="1082"/>
      <c r="O59" s="1082"/>
      <c r="P59" s="1082"/>
      <c r="Q59" s="1082"/>
      <c r="R59" s="1558"/>
      <c r="S59" s="1082"/>
      <c r="T59" s="1082"/>
      <c r="U59" s="478"/>
      <c r="V59" s="1082"/>
      <c r="W59" s="1082"/>
      <c r="X59" s="1082"/>
      <c r="Y59" s="1082"/>
      <c r="Z59" s="1082"/>
      <c r="AA59" s="1554"/>
      <c r="AB59" s="500"/>
      <c r="AC59" s="500"/>
      <c r="AD59" s="500"/>
      <c r="AE59" s="500"/>
      <c r="AF59" s="1563">
        <v>11</v>
      </c>
    </row>
    <row r="60" spans="1:32" s="1563" customFormat="1" ht="11.45" customHeight="1">
      <c r="A60" s="913"/>
      <c r="B60" s="1558"/>
      <c r="C60" s="1558"/>
      <c r="D60" s="285"/>
      <c r="K60" s="1082"/>
      <c r="L60" s="1558"/>
      <c r="M60" s="1558"/>
      <c r="N60" s="1082"/>
      <c r="O60" s="1082"/>
      <c r="P60" s="1082"/>
      <c r="Q60" s="1082"/>
      <c r="R60" s="1558"/>
      <c r="S60" s="1082"/>
      <c r="T60" s="1082"/>
      <c r="U60" s="478"/>
      <c r="V60" s="1082"/>
      <c r="W60" s="1082"/>
      <c r="X60" s="1082"/>
      <c r="Y60" s="1082"/>
      <c r="Z60" s="1082"/>
      <c r="AA60" s="1554"/>
      <c r="AB60" s="500"/>
      <c r="AC60" s="500"/>
      <c r="AD60" s="500"/>
      <c r="AE60" s="500"/>
      <c r="AF60" s="1563">
        <v>11</v>
      </c>
    </row>
    <row r="61" spans="1:32" s="1563" customFormat="1" ht="11.45" customHeight="1">
      <c r="A61" s="913"/>
      <c r="B61" s="1558"/>
      <c r="C61" s="1558"/>
      <c r="D61" s="285"/>
      <c r="K61" s="1082"/>
      <c r="L61" s="1558"/>
      <c r="M61" s="1558"/>
      <c r="N61" s="1082"/>
      <c r="O61" s="1082"/>
      <c r="P61" s="1082"/>
      <c r="Q61" s="1082"/>
      <c r="R61" s="1558"/>
      <c r="S61" s="1082"/>
      <c r="T61" s="1082"/>
      <c r="U61" s="478"/>
      <c r="V61" s="1082"/>
      <c r="W61" s="1082"/>
      <c r="X61" s="1082"/>
      <c r="Y61" s="1082"/>
      <c r="Z61" s="1082"/>
      <c r="AA61" s="1554"/>
      <c r="AB61" s="500"/>
      <c r="AC61" s="500"/>
      <c r="AD61" s="500"/>
      <c r="AE61" s="500"/>
      <c r="AF61" s="1563">
        <v>11</v>
      </c>
    </row>
    <row r="62" spans="1:32" s="1563" customFormat="1" ht="11.45" customHeight="1">
      <c r="A62" s="913"/>
      <c r="B62" s="1558"/>
      <c r="C62" s="1558"/>
      <c r="D62" s="285"/>
      <c r="K62" s="1082"/>
      <c r="L62" s="1558"/>
      <c r="M62" s="1558"/>
      <c r="N62" s="1082"/>
      <c r="O62" s="1082"/>
      <c r="P62" s="1082"/>
      <c r="Q62" s="1082"/>
      <c r="R62" s="1558"/>
      <c r="S62" s="1082"/>
      <c r="T62" s="1082"/>
      <c r="U62" s="478"/>
      <c r="V62" s="1082"/>
      <c r="W62" s="1082"/>
      <c r="X62" s="1082"/>
      <c r="Y62" s="1082"/>
      <c r="Z62" s="1082"/>
      <c r="AA62" s="1554"/>
      <c r="AB62" s="500"/>
      <c r="AC62" s="500"/>
      <c r="AD62" s="500"/>
      <c r="AE62" s="500"/>
      <c r="AF62" s="1563">
        <v>11</v>
      </c>
    </row>
    <row r="63" spans="1:32" s="1563" customFormat="1" ht="11.45" customHeight="1">
      <c r="A63" s="913"/>
      <c r="B63" s="1558"/>
      <c r="C63" s="1558"/>
      <c r="D63" s="285"/>
      <c r="K63" s="1082"/>
      <c r="L63" s="1558"/>
      <c r="M63" s="1558"/>
      <c r="N63" s="1082"/>
      <c r="O63" s="1082"/>
      <c r="P63" s="1082"/>
      <c r="Q63" s="1082"/>
      <c r="R63" s="1558"/>
      <c r="S63" s="1082"/>
      <c r="T63" s="1082"/>
      <c r="U63" s="478"/>
      <c r="V63" s="1082"/>
      <c r="W63" s="1082"/>
      <c r="X63" s="1082"/>
      <c r="Y63" s="1082"/>
      <c r="Z63" s="1082"/>
      <c r="AA63" s="1554"/>
      <c r="AB63" s="500"/>
      <c r="AC63" s="500"/>
      <c r="AD63" s="500"/>
      <c r="AE63" s="500"/>
      <c r="AF63" s="1563">
        <v>11</v>
      </c>
    </row>
    <row r="64" spans="1:32" s="1563" customFormat="1" ht="11.45" customHeight="1">
      <c r="A64" s="913"/>
      <c r="B64" s="1558"/>
      <c r="C64" s="1558"/>
      <c r="D64" s="285"/>
      <c r="K64" s="1082"/>
      <c r="L64" s="1558"/>
      <c r="M64" s="1558"/>
      <c r="N64" s="1082"/>
      <c r="O64" s="1082"/>
      <c r="P64" s="1082"/>
      <c r="Q64" s="1082"/>
      <c r="R64" s="1558"/>
      <c r="S64" s="1082"/>
      <c r="T64" s="1082"/>
      <c r="U64" s="478"/>
      <c r="V64" s="1082"/>
      <c r="W64" s="1082"/>
      <c r="X64" s="1082"/>
      <c r="Y64" s="1082"/>
      <c r="Z64" s="1082"/>
      <c r="AA64" s="1554"/>
      <c r="AB64" s="500"/>
      <c r="AC64" s="500"/>
      <c r="AD64" s="500"/>
      <c r="AE64" s="500"/>
      <c r="AF64" s="1563">
        <v>11</v>
      </c>
    </row>
    <row r="65" spans="1:32" s="1563" customFormat="1" ht="11.45" customHeight="1">
      <c r="A65" s="913"/>
      <c r="B65" s="1558"/>
      <c r="C65" s="1558"/>
      <c r="D65" s="285"/>
      <c r="K65" s="1082"/>
      <c r="L65" s="1558"/>
      <c r="M65" s="1558"/>
      <c r="N65" s="1082"/>
      <c r="O65" s="1082"/>
      <c r="P65" s="1082"/>
      <c r="Q65" s="1082"/>
      <c r="R65" s="1558"/>
      <c r="S65" s="1082"/>
      <c r="T65" s="1082"/>
      <c r="U65" s="478"/>
      <c r="V65" s="1082"/>
      <c r="W65" s="1082"/>
      <c r="X65" s="1082"/>
      <c r="Y65" s="1082"/>
      <c r="Z65" s="1082"/>
      <c r="AA65" s="1554"/>
      <c r="AB65" s="500"/>
      <c r="AC65" s="500"/>
      <c r="AD65" s="500"/>
      <c r="AE65" s="500"/>
      <c r="AF65" s="1563">
        <v>11</v>
      </c>
    </row>
    <row r="66" spans="1:32" s="1563" customFormat="1" ht="11.45" customHeight="1">
      <c r="A66" s="913"/>
      <c r="B66" s="1558"/>
      <c r="C66" s="1558"/>
      <c r="D66" s="285"/>
      <c r="K66" s="1082"/>
      <c r="L66" s="1558"/>
      <c r="M66" s="1558"/>
      <c r="N66" s="1082"/>
      <c r="O66" s="1082"/>
      <c r="P66" s="1082"/>
      <c r="Q66" s="1082"/>
      <c r="R66" s="1558"/>
      <c r="S66" s="1082"/>
      <c r="T66" s="1082"/>
      <c r="U66" s="478"/>
      <c r="V66" s="1082"/>
      <c r="W66" s="1082"/>
      <c r="X66" s="1082"/>
      <c r="Y66" s="1082"/>
      <c r="Z66" s="1082"/>
      <c r="AA66" s="1554"/>
      <c r="AB66" s="500"/>
      <c r="AC66" s="500"/>
      <c r="AD66" s="500"/>
      <c r="AE66" s="500"/>
      <c r="AF66" s="1563">
        <v>11</v>
      </c>
    </row>
    <row r="67" spans="1:32" s="1563" customFormat="1" ht="11.45" customHeight="1">
      <c r="A67" s="913"/>
      <c r="B67" s="1558"/>
      <c r="C67" s="1558"/>
      <c r="D67" s="285"/>
      <c r="K67" s="1082"/>
      <c r="L67" s="1558"/>
      <c r="M67" s="1558"/>
      <c r="N67" s="1082"/>
      <c r="O67" s="1082"/>
      <c r="P67" s="1082"/>
      <c r="Q67" s="1082"/>
      <c r="R67" s="1558"/>
      <c r="S67" s="1082"/>
      <c r="T67" s="1082"/>
      <c r="U67" s="478"/>
      <c r="V67" s="1082"/>
      <c r="W67" s="1082"/>
      <c r="X67" s="1082"/>
      <c r="Y67" s="1082"/>
      <c r="Z67" s="1082"/>
      <c r="AA67" s="1554"/>
      <c r="AB67" s="500"/>
      <c r="AC67" s="500"/>
      <c r="AD67" s="500"/>
      <c r="AE67" s="500"/>
      <c r="AF67" s="1563">
        <v>11</v>
      </c>
    </row>
    <row r="68" spans="1:32" s="1563" customFormat="1" ht="11.45" customHeight="1">
      <c r="A68" s="913"/>
      <c r="B68" s="1558"/>
      <c r="C68" s="1558"/>
      <c r="D68" s="285"/>
      <c r="K68" s="1082"/>
      <c r="L68" s="1558"/>
      <c r="M68" s="1558"/>
      <c r="N68" s="1082"/>
      <c r="O68" s="1082"/>
      <c r="P68" s="1082"/>
      <c r="Q68" s="1082"/>
      <c r="R68" s="1558"/>
      <c r="S68" s="1082"/>
      <c r="T68" s="1082"/>
      <c r="U68" s="478"/>
      <c r="V68" s="1082"/>
      <c r="W68" s="1082"/>
      <c r="X68" s="1082"/>
      <c r="Y68" s="1082"/>
      <c r="Z68" s="1082"/>
      <c r="AA68" s="1554"/>
      <c r="AB68" s="500"/>
      <c r="AC68" s="500"/>
      <c r="AD68" s="500"/>
      <c r="AE68" s="500"/>
      <c r="AF68" s="1563">
        <v>11</v>
      </c>
    </row>
    <row r="69" spans="1:32" s="1563" customFormat="1" ht="11.45" customHeight="1">
      <c r="A69" s="913"/>
      <c r="B69" s="1558"/>
      <c r="C69" s="1558"/>
      <c r="D69" s="285"/>
      <c r="K69" s="1082"/>
      <c r="L69" s="1558"/>
      <c r="M69" s="1558"/>
      <c r="N69" s="1082"/>
      <c r="O69" s="1082"/>
      <c r="P69" s="1082"/>
      <c r="Q69" s="1082"/>
      <c r="R69" s="1558"/>
      <c r="S69" s="1082"/>
      <c r="T69" s="1082"/>
      <c r="U69" s="478"/>
      <c r="V69" s="1082"/>
      <c r="W69" s="1082"/>
      <c r="X69" s="1082"/>
      <c r="Y69" s="1082"/>
      <c r="Z69" s="1082"/>
      <c r="AA69" s="1554"/>
      <c r="AB69" s="500"/>
      <c r="AC69" s="500"/>
      <c r="AD69" s="500"/>
      <c r="AE69" s="500"/>
      <c r="AF69" s="1563">
        <v>11</v>
      </c>
    </row>
    <row r="70" spans="1:32" s="1563" customFormat="1" ht="11.45" customHeight="1">
      <c r="A70" s="913"/>
      <c r="B70" s="1558"/>
      <c r="C70" s="1558"/>
      <c r="D70" s="285"/>
      <c r="K70" s="1082"/>
      <c r="L70" s="1558"/>
      <c r="M70" s="1558"/>
      <c r="N70" s="1082"/>
      <c r="O70" s="1082"/>
      <c r="P70" s="1082"/>
      <c r="Q70" s="1082"/>
      <c r="R70" s="1558"/>
      <c r="S70" s="1082"/>
      <c r="T70" s="1082"/>
      <c r="U70" s="478"/>
      <c r="V70" s="1082"/>
      <c r="W70" s="1082"/>
      <c r="X70" s="1082"/>
      <c r="Y70" s="1082"/>
      <c r="Z70" s="1082"/>
      <c r="AA70" s="1554"/>
      <c r="AB70" s="500"/>
      <c r="AC70" s="500"/>
      <c r="AD70" s="500"/>
      <c r="AE70" s="500"/>
      <c r="AF70" s="1563">
        <v>11</v>
      </c>
    </row>
    <row r="71" spans="1:32" s="1563" customFormat="1" ht="11.45" customHeight="1">
      <c r="A71" s="913"/>
      <c r="B71" s="1558"/>
      <c r="C71" s="1558"/>
      <c r="D71" s="285"/>
      <c r="K71" s="1082"/>
      <c r="L71" s="1558"/>
      <c r="M71" s="1558"/>
      <c r="N71" s="1082"/>
      <c r="O71" s="1082"/>
      <c r="P71" s="1082"/>
      <c r="Q71" s="1082"/>
      <c r="R71" s="1558"/>
      <c r="S71" s="1082"/>
      <c r="T71" s="1082"/>
      <c r="U71" s="478"/>
      <c r="V71" s="1082"/>
      <c r="W71" s="1082"/>
      <c r="X71" s="1082"/>
      <c r="Y71" s="1082"/>
      <c r="Z71" s="1082"/>
      <c r="AA71" s="1554"/>
      <c r="AB71" s="500"/>
      <c r="AC71" s="500"/>
      <c r="AD71" s="500"/>
      <c r="AE71" s="500"/>
      <c r="AF71" s="1563">
        <v>11</v>
      </c>
    </row>
    <row r="72" spans="1:32" s="1563" customFormat="1" ht="11.45" customHeight="1">
      <c r="A72" s="913"/>
      <c r="B72" s="1558"/>
      <c r="C72" s="1558"/>
      <c r="D72" s="285"/>
      <c r="K72" s="1082"/>
      <c r="L72" s="1558"/>
      <c r="M72" s="1558"/>
      <c r="N72" s="1082"/>
      <c r="O72" s="1082"/>
      <c r="P72" s="1082"/>
      <c r="Q72" s="1082"/>
      <c r="R72" s="1558"/>
      <c r="S72" s="1082"/>
      <c r="T72" s="1082"/>
      <c r="U72" s="478"/>
      <c r="V72" s="1082"/>
      <c r="W72" s="1082"/>
      <c r="X72" s="1082"/>
      <c r="Y72" s="1082"/>
      <c r="Z72" s="1082"/>
      <c r="AA72" s="1554"/>
      <c r="AB72" s="500"/>
      <c r="AC72" s="500"/>
      <c r="AD72" s="500"/>
      <c r="AE72" s="500"/>
      <c r="AF72" s="1563">
        <v>11</v>
      </c>
    </row>
    <row r="73" spans="1:32" s="1563" customFormat="1" ht="11.45" customHeight="1">
      <c r="A73" s="913"/>
      <c r="B73" s="1558"/>
      <c r="C73" s="1558"/>
      <c r="D73" s="285"/>
      <c r="K73" s="1082"/>
      <c r="L73" s="1558"/>
      <c r="M73" s="1558"/>
      <c r="N73" s="1082"/>
      <c r="O73" s="1082"/>
      <c r="P73" s="1082"/>
      <c r="Q73" s="1082"/>
      <c r="R73" s="1558"/>
      <c r="S73" s="1082"/>
      <c r="T73" s="1082"/>
      <c r="U73" s="478"/>
      <c r="V73" s="1082"/>
      <c r="W73" s="1082"/>
      <c r="X73" s="1082"/>
      <c r="Y73" s="1082"/>
      <c r="Z73" s="1082"/>
      <c r="AA73" s="1554"/>
      <c r="AB73" s="500"/>
      <c r="AC73" s="500"/>
      <c r="AD73" s="500"/>
      <c r="AE73" s="500"/>
      <c r="AF73" s="1563">
        <v>11</v>
      </c>
    </row>
    <row r="74" spans="1:32" s="1563" customFormat="1" ht="11.45" customHeight="1">
      <c r="A74" s="913"/>
      <c r="B74" s="1558"/>
      <c r="C74" s="1558"/>
      <c r="D74" s="285"/>
      <c r="K74" s="1082"/>
      <c r="L74" s="1558"/>
      <c r="M74" s="1558"/>
      <c r="N74" s="1082"/>
      <c r="O74" s="1082"/>
      <c r="P74" s="1082"/>
      <c r="Q74" s="1082"/>
      <c r="R74" s="1558"/>
      <c r="S74" s="1082"/>
      <c r="T74" s="1082"/>
      <c r="U74" s="478"/>
      <c r="V74" s="1082"/>
      <c r="W74" s="1082"/>
      <c r="X74" s="1082"/>
      <c r="Y74" s="1082"/>
      <c r="Z74" s="1082"/>
      <c r="AA74" s="1554"/>
      <c r="AB74" s="500"/>
      <c r="AC74" s="500"/>
      <c r="AD74" s="500"/>
      <c r="AE74" s="500"/>
      <c r="AF74" s="1563">
        <v>11</v>
      </c>
    </row>
    <row r="75" spans="1:32" s="1563" customFormat="1" ht="11.45" customHeight="1">
      <c r="A75" s="913"/>
      <c r="B75" s="1558"/>
      <c r="C75" s="1558"/>
      <c r="D75" s="285"/>
      <c r="K75" s="1082"/>
      <c r="L75" s="1558"/>
      <c r="M75" s="1558"/>
      <c r="N75" s="1082"/>
      <c r="O75" s="1082"/>
      <c r="P75" s="1082"/>
      <c r="Q75" s="1082"/>
      <c r="R75" s="1558"/>
      <c r="S75" s="1082"/>
      <c r="T75" s="1082"/>
      <c r="U75" s="478"/>
      <c r="V75" s="1082"/>
      <c r="W75" s="1082"/>
      <c r="X75" s="1082"/>
      <c r="Y75" s="1082"/>
      <c r="Z75" s="1082"/>
      <c r="AA75" s="1554"/>
      <c r="AB75" s="500"/>
      <c r="AC75" s="500"/>
      <c r="AD75" s="500"/>
      <c r="AE75" s="500"/>
      <c r="AF75" s="1563">
        <v>11</v>
      </c>
    </row>
    <row r="76" spans="1:32" s="1563" customFormat="1" ht="11.45" customHeight="1">
      <c r="A76" s="913"/>
      <c r="B76" s="1558"/>
      <c r="C76" s="1558"/>
      <c r="D76" s="285"/>
      <c r="K76" s="1082"/>
      <c r="L76" s="1558"/>
      <c r="M76" s="1558"/>
      <c r="N76" s="1082"/>
      <c r="O76" s="1082"/>
      <c r="P76" s="1082"/>
      <c r="Q76" s="1082"/>
      <c r="R76" s="1558"/>
      <c r="S76" s="1082"/>
      <c r="T76" s="1082"/>
      <c r="U76" s="478"/>
      <c r="V76" s="1082"/>
      <c r="W76" s="1082"/>
      <c r="X76" s="1082"/>
      <c r="Y76" s="1082"/>
      <c r="Z76" s="1082"/>
      <c r="AA76" s="1554"/>
      <c r="AB76" s="500"/>
      <c r="AC76" s="500"/>
      <c r="AD76" s="500"/>
      <c r="AE76" s="500"/>
      <c r="AF76" s="1563">
        <v>11</v>
      </c>
    </row>
    <row r="77" spans="1:32" s="1563" customFormat="1" ht="11.45" customHeight="1">
      <c r="A77" s="913"/>
      <c r="B77" s="1558"/>
      <c r="C77" s="1558"/>
      <c r="D77" s="285"/>
      <c r="K77" s="1082"/>
      <c r="L77" s="1558"/>
      <c r="M77" s="1558"/>
      <c r="N77" s="1082"/>
      <c r="O77" s="1082"/>
      <c r="P77" s="1082"/>
      <c r="Q77" s="1082"/>
      <c r="R77" s="1558"/>
      <c r="S77" s="1082"/>
      <c r="T77" s="1082"/>
      <c r="U77" s="478"/>
      <c r="V77" s="1082"/>
      <c r="W77" s="1082"/>
      <c r="X77" s="1082"/>
      <c r="Y77" s="1082"/>
      <c r="Z77" s="1082"/>
      <c r="AA77" s="1554"/>
      <c r="AB77" s="500"/>
      <c r="AC77" s="500"/>
      <c r="AD77" s="500"/>
      <c r="AE77" s="500"/>
      <c r="AF77" s="1563">
        <v>11</v>
      </c>
    </row>
    <row r="78" spans="1:32" s="1563" customFormat="1" ht="11.45" customHeight="1">
      <c r="A78" s="913"/>
      <c r="B78" s="1558"/>
      <c r="C78" s="1558"/>
      <c r="D78" s="285"/>
      <c r="K78" s="1082"/>
      <c r="L78" s="1558"/>
      <c r="M78" s="1558"/>
      <c r="N78" s="1082"/>
      <c r="O78" s="1082"/>
      <c r="P78" s="1082"/>
      <c r="Q78" s="1082"/>
      <c r="R78" s="1558"/>
      <c r="S78" s="1082"/>
      <c r="T78" s="1082"/>
      <c r="U78" s="478"/>
      <c r="V78" s="1082"/>
      <c r="W78" s="1082"/>
      <c r="X78" s="1082"/>
      <c r="Y78" s="1082"/>
      <c r="Z78" s="1082"/>
      <c r="AA78" s="1554"/>
      <c r="AB78" s="500"/>
      <c r="AC78" s="500"/>
      <c r="AD78" s="500"/>
      <c r="AE78" s="500"/>
      <c r="AF78" s="1563">
        <v>11</v>
      </c>
    </row>
    <row r="79" spans="1:32" s="1563" customFormat="1" ht="11.45" customHeight="1">
      <c r="A79" s="913"/>
      <c r="B79" s="1558"/>
      <c r="C79" s="1558"/>
      <c r="D79" s="285"/>
      <c r="K79" s="1082"/>
      <c r="L79" s="1558"/>
      <c r="M79" s="1558"/>
      <c r="N79" s="1082"/>
      <c r="O79" s="1082"/>
      <c r="P79" s="1082"/>
      <c r="Q79" s="1082"/>
      <c r="R79" s="1558"/>
      <c r="S79" s="1082"/>
      <c r="T79" s="1082"/>
      <c r="U79" s="478"/>
      <c r="V79" s="1082"/>
      <c r="W79" s="1082"/>
      <c r="X79" s="1082"/>
      <c r="Y79" s="1082"/>
      <c r="Z79" s="1082"/>
      <c r="AA79" s="1554"/>
      <c r="AB79" s="500"/>
      <c r="AC79" s="500"/>
      <c r="AD79" s="500"/>
      <c r="AE79" s="500"/>
      <c r="AF79" s="1563">
        <v>11</v>
      </c>
    </row>
    <row r="80" spans="1:32" s="1563" customFormat="1" ht="11.45" customHeight="1">
      <c r="A80" s="913"/>
      <c r="B80" s="1558"/>
      <c r="C80" s="1558"/>
      <c r="D80" s="285"/>
      <c r="K80" s="1082"/>
      <c r="L80" s="1558"/>
      <c r="M80" s="1558"/>
      <c r="N80" s="1082"/>
      <c r="O80" s="1082"/>
      <c r="P80" s="1082"/>
      <c r="Q80" s="1082"/>
      <c r="R80" s="1558"/>
      <c r="S80" s="1082"/>
      <c r="T80" s="1082"/>
      <c r="U80" s="478"/>
      <c r="V80" s="1082"/>
      <c r="W80" s="1082"/>
      <c r="X80" s="1082"/>
      <c r="Y80" s="1082"/>
      <c r="Z80" s="1082"/>
      <c r="AA80" s="1554"/>
      <c r="AB80" s="500"/>
      <c r="AC80" s="500"/>
      <c r="AD80" s="500"/>
      <c r="AE80" s="500"/>
      <c r="AF80" s="1563">
        <v>11</v>
      </c>
    </row>
    <row r="81" spans="1:32" s="1563" customFormat="1" ht="11.45" customHeight="1">
      <c r="A81" s="913"/>
      <c r="B81" s="1558"/>
      <c r="C81" s="1558"/>
      <c r="D81" s="285"/>
      <c r="K81" s="1082"/>
      <c r="L81" s="1558"/>
      <c r="M81" s="1558"/>
      <c r="N81" s="1082"/>
      <c r="O81" s="1082"/>
      <c r="P81" s="1082"/>
      <c r="Q81" s="1082"/>
      <c r="R81" s="1558"/>
      <c r="S81" s="1082"/>
      <c r="T81" s="1082"/>
      <c r="U81" s="478"/>
      <c r="V81" s="1082"/>
      <c r="W81" s="1082"/>
      <c r="X81" s="1082"/>
      <c r="Y81" s="1082"/>
      <c r="Z81" s="1082"/>
      <c r="AA81" s="1554"/>
      <c r="AB81" s="500"/>
      <c r="AC81" s="500"/>
      <c r="AD81" s="500"/>
      <c r="AE81" s="500"/>
      <c r="AF81" s="1563">
        <v>11</v>
      </c>
    </row>
    <row r="82" spans="1:32" s="1563" customFormat="1" ht="11.45" customHeight="1">
      <c r="A82" s="913"/>
      <c r="B82" s="1558"/>
      <c r="C82" s="1558"/>
      <c r="D82" s="285"/>
      <c r="K82" s="1082"/>
      <c r="L82" s="1558"/>
      <c r="M82" s="1558"/>
      <c r="N82" s="1082"/>
      <c r="O82" s="1082"/>
      <c r="P82" s="1082"/>
      <c r="Q82" s="1082"/>
      <c r="R82" s="1558"/>
      <c r="S82" s="1082"/>
      <c r="T82" s="1082"/>
      <c r="U82" s="478"/>
      <c r="V82" s="1082"/>
      <c r="W82" s="1082"/>
      <c r="X82" s="1082"/>
      <c r="Y82" s="1082"/>
      <c r="Z82" s="1082"/>
      <c r="AA82" s="1554"/>
      <c r="AB82" s="500"/>
      <c r="AC82" s="500"/>
      <c r="AD82" s="500"/>
      <c r="AE82" s="500"/>
      <c r="AF82" s="1563">
        <v>11</v>
      </c>
    </row>
    <row r="83" spans="1:32" s="1563" customFormat="1" ht="11.45" customHeight="1">
      <c r="A83" s="913"/>
      <c r="B83" s="1558"/>
      <c r="C83" s="1558"/>
      <c r="D83" s="285"/>
      <c r="K83" s="1082"/>
      <c r="L83" s="1558"/>
      <c r="M83" s="1558"/>
      <c r="N83" s="1082"/>
      <c r="O83" s="1082"/>
      <c r="P83" s="1082"/>
      <c r="Q83" s="1082"/>
      <c r="R83" s="1558"/>
      <c r="S83" s="1082"/>
      <c r="T83" s="1082"/>
      <c r="U83" s="478"/>
      <c r="V83" s="1082"/>
      <c r="W83" s="1082"/>
      <c r="X83" s="1082"/>
      <c r="Y83" s="1082"/>
      <c r="Z83" s="1082"/>
      <c r="AA83" s="1554"/>
      <c r="AB83" s="500"/>
      <c r="AC83" s="500"/>
      <c r="AD83" s="500"/>
      <c r="AE83" s="500"/>
      <c r="AF83" s="1563">
        <v>11</v>
      </c>
    </row>
    <row r="84" spans="1:32" s="1563" customFormat="1" ht="11.45" customHeight="1">
      <c r="A84" s="913"/>
      <c r="B84" s="1558"/>
      <c r="C84" s="1558"/>
      <c r="D84" s="285"/>
      <c r="K84" s="1082"/>
      <c r="L84" s="1558"/>
      <c r="M84" s="1558"/>
      <c r="N84" s="1082"/>
      <c r="O84" s="1082"/>
      <c r="P84" s="1082"/>
      <c r="Q84" s="1082"/>
      <c r="R84" s="1558"/>
      <c r="S84" s="1082"/>
      <c r="T84" s="1082"/>
      <c r="U84" s="478"/>
      <c r="V84" s="1082"/>
      <c r="W84" s="1082"/>
      <c r="X84" s="1082"/>
      <c r="Y84" s="1082"/>
      <c r="Z84" s="1082"/>
      <c r="AA84" s="1554"/>
      <c r="AB84" s="500"/>
      <c r="AC84" s="500"/>
      <c r="AD84" s="500"/>
      <c r="AE84" s="500"/>
      <c r="AF84" s="1563">
        <v>11</v>
      </c>
    </row>
    <row r="85" spans="1:32" s="1563" customFormat="1" ht="11.45" customHeight="1">
      <c r="A85" s="913"/>
      <c r="B85" s="1558"/>
      <c r="C85" s="1558"/>
      <c r="D85" s="285"/>
      <c r="K85" s="1082"/>
      <c r="L85" s="1558"/>
      <c r="M85" s="1558"/>
      <c r="N85" s="1082"/>
      <c r="O85" s="1082"/>
      <c r="P85" s="1082"/>
      <c r="Q85" s="1082"/>
      <c r="R85" s="1558"/>
      <c r="S85" s="1082"/>
      <c r="T85" s="1082"/>
      <c r="U85" s="478"/>
      <c r="V85" s="1082"/>
      <c r="W85" s="1082"/>
      <c r="X85" s="1082"/>
      <c r="Y85" s="1082"/>
      <c r="Z85" s="1082"/>
      <c r="AA85" s="1554"/>
      <c r="AB85" s="500"/>
      <c r="AC85" s="500"/>
      <c r="AD85" s="500"/>
      <c r="AE85" s="500"/>
      <c r="AF85" s="1563">
        <v>11</v>
      </c>
    </row>
    <row r="86" spans="1:32" s="1563" customFormat="1" ht="11.45" customHeight="1">
      <c r="A86" s="913"/>
      <c r="B86" s="1558"/>
      <c r="C86" s="1558"/>
      <c r="D86" s="285"/>
      <c r="K86" s="1082"/>
      <c r="L86" s="1558"/>
      <c r="M86" s="1558"/>
      <c r="N86" s="1082"/>
      <c r="O86" s="1082"/>
      <c r="P86" s="1082"/>
      <c r="Q86" s="1082"/>
      <c r="R86" s="1558"/>
      <c r="S86" s="1082"/>
      <c r="T86" s="1082"/>
      <c r="U86" s="478"/>
      <c r="V86" s="1082"/>
      <c r="W86" s="1082"/>
      <c r="X86" s="1082"/>
      <c r="Y86" s="1082"/>
      <c r="Z86" s="1082"/>
      <c r="AA86" s="1554"/>
      <c r="AB86" s="500"/>
      <c r="AC86" s="500"/>
      <c r="AD86" s="500"/>
      <c r="AE86" s="500"/>
      <c r="AF86" s="1563">
        <v>11</v>
      </c>
    </row>
    <row r="87" spans="1:32" s="1563" customFormat="1" ht="11.45" customHeight="1">
      <c r="A87" s="913"/>
      <c r="B87" s="1558"/>
      <c r="C87" s="1558"/>
      <c r="D87" s="285"/>
      <c r="K87" s="1082"/>
      <c r="L87" s="1558"/>
      <c r="M87" s="1558"/>
      <c r="N87" s="1082"/>
      <c r="O87" s="1082"/>
      <c r="P87" s="1082"/>
      <c r="Q87" s="1082"/>
      <c r="R87" s="1558"/>
      <c r="S87" s="1082"/>
      <c r="T87" s="1082"/>
      <c r="U87" s="478"/>
      <c r="V87" s="1082"/>
      <c r="W87" s="1082"/>
      <c r="X87" s="1082"/>
      <c r="Y87" s="1082"/>
      <c r="Z87" s="1082"/>
      <c r="AA87" s="1554"/>
      <c r="AB87" s="500"/>
      <c r="AC87" s="500"/>
      <c r="AD87" s="500"/>
      <c r="AE87" s="500"/>
      <c r="AF87" s="1563">
        <v>11</v>
      </c>
    </row>
    <row r="88" spans="1:32" s="1563" customFormat="1" ht="11.45" customHeight="1">
      <c r="A88" s="913"/>
      <c r="B88" s="1558"/>
      <c r="C88" s="1558"/>
      <c r="D88" s="285"/>
      <c r="K88" s="1082"/>
      <c r="L88" s="1558"/>
      <c r="M88" s="1558"/>
      <c r="N88" s="1082"/>
      <c r="O88" s="1082"/>
      <c r="P88" s="1082"/>
      <c r="Q88" s="1082"/>
      <c r="R88" s="1558"/>
      <c r="S88" s="1082"/>
      <c r="T88" s="1082"/>
      <c r="U88" s="478"/>
      <c r="V88" s="1082"/>
      <c r="W88" s="1082"/>
      <c r="X88" s="1082"/>
      <c r="Y88" s="1082"/>
      <c r="Z88" s="1082"/>
      <c r="AA88" s="1554"/>
      <c r="AB88" s="500"/>
      <c r="AC88" s="500"/>
      <c r="AD88" s="500"/>
      <c r="AE88" s="500"/>
      <c r="AF88" s="1563">
        <v>11</v>
      </c>
    </row>
    <row r="89" spans="1:32" s="1563" customFormat="1" ht="11.45" customHeight="1">
      <c r="A89" s="913"/>
      <c r="B89" s="1558"/>
      <c r="C89" s="1558"/>
      <c r="D89" s="285"/>
      <c r="K89" s="1082"/>
      <c r="L89" s="1558"/>
      <c r="M89" s="1558"/>
      <c r="N89" s="1082"/>
      <c r="O89" s="1082"/>
      <c r="P89" s="1082"/>
      <c r="Q89" s="1082"/>
      <c r="R89" s="1558"/>
      <c r="S89" s="1082"/>
      <c r="T89" s="1082"/>
      <c r="U89" s="478"/>
      <c r="V89" s="1082"/>
      <c r="W89" s="1082"/>
      <c r="X89" s="1082"/>
      <c r="Y89" s="1082"/>
      <c r="Z89" s="1082"/>
      <c r="AA89" s="1554"/>
      <c r="AB89" s="500"/>
      <c r="AC89" s="500"/>
      <c r="AD89" s="500"/>
      <c r="AE89" s="500"/>
      <c r="AF89" s="1563">
        <v>11</v>
      </c>
    </row>
    <row r="90" spans="1:32" s="1563" customFormat="1" ht="11.45" customHeight="1">
      <c r="A90" s="913"/>
      <c r="B90" s="1558"/>
      <c r="C90" s="1558"/>
      <c r="D90" s="285"/>
      <c r="K90" s="1082"/>
      <c r="L90" s="1558"/>
      <c r="M90" s="1558"/>
      <c r="N90" s="1082"/>
      <c r="O90" s="1082"/>
      <c r="P90" s="1082"/>
      <c r="Q90" s="1082"/>
      <c r="R90" s="1558"/>
      <c r="S90" s="1082"/>
      <c r="T90" s="1082"/>
      <c r="U90" s="478"/>
      <c r="V90" s="1082"/>
      <c r="W90" s="1082"/>
      <c r="X90" s="1082"/>
      <c r="Y90" s="1082"/>
      <c r="Z90" s="1082"/>
      <c r="AA90" s="1554"/>
      <c r="AB90" s="500"/>
      <c r="AC90" s="500"/>
      <c r="AD90" s="500"/>
      <c r="AE90" s="500"/>
      <c r="AF90" s="1563">
        <v>11</v>
      </c>
    </row>
    <row r="91" spans="1:32" s="1563" customFormat="1" ht="11.45" customHeight="1">
      <c r="A91" s="913"/>
      <c r="B91" s="1558"/>
      <c r="C91" s="1558"/>
      <c r="D91" s="285"/>
      <c r="K91" s="1082"/>
      <c r="L91" s="1558"/>
      <c r="M91" s="1558"/>
      <c r="N91" s="1082"/>
      <c r="O91" s="1082"/>
      <c r="P91" s="1082"/>
      <c r="Q91" s="1082"/>
      <c r="R91" s="1558"/>
      <c r="S91" s="1082"/>
      <c r="T91" s="1082"/>
      <c r="U91" s="478"/>
      <c r="V91" s="1082"/>
      <c r="W91" s="1082"/>
      <c r="X91" s="1082"/>
      <c r="Y91" s="1082"/>
      <c r="Z91" s="1082"/>
      <c r="AA91" s="1554"/>
      <c r="AB91" s="500"/>
      <c r="AC91" s="500"/>
      <c r="AD91" s="500"/>
      <c r="AE91" s="500"/>
      <c r="AF91" s="1563">
        <v>11</v>
      </c>
    </row>
    <row r="92" spans="1:32" s="1563" customFormat="1" ht="11.45" customHeight="1">
      <c r="A92" s="913"/>
      <c r="B92" s="1558"/>
      <c r="C92" s="1558"/>
      <c r="D92" s="285"/>
      <c r="K92" s="1082"/>
      <c r="L92" s="1558"/>
      <c r="M92" s="1558"/>
      <c r="N92" s="1082"/>
      <c r="O92" s="1082"/>
      <c r="P92" s="1082"/>
      <c r="Q92" s="1082"/>
      <c r="R92" s="1558"/>
      <c r="S92" s="1082"/>
      <c r="T92" s="1082"/>
      <c r="U92" s="478"/>
      <c r="V92" s="1082"/>
      <c r="W92" s="1082"/>
      <c r="X92" s="1082"/>
      <c r="Y92" s="1082"/>
      <c r="Z92" s="1082"/>
      <c r="AA92" s="1554"/>
      <c r="AB92" s="500"/>
      <c r="AC92" s="500"/>
      <c r="AD92" s="500"/>
      <c r="AE92" s="500"/>
      <c r="AF92" s="1563">
        <v>11</v>
      </c>
    </row>
    <row r="93" spans="1:32" s="1563" customFormat="1" ht="11.45" customHeight="1">
      <c r="A93" s="913"/>
      <c r="B93" s="1558"/>
      <c r="C93" s="1558"/>
      <c r="D93" s="285"/>
      <c r="K93" s="1082"/>
      <c r="L93" s="1558"/>
      <c r="M93" s="1558"/>
      <c r="N93" s="1082"/>
      <c r="O93" s="1082"/>
      <c r="P93" s="1082"/>
      <c r="Q93" s="1082"/>
      <c r="R93" s="1558"/>
      <c r="S93" s="1082"/>
      <c r="T93" s="1082"/>
      <c r="U93" s="478"/>
      <c r="V93" s="1082"/>
      <c r="W93" s="1082"/>
      <c r="X93" s="1082"/>
      <c r="Y93" s="1082"/>
      <c r="Z93" s="1082"/>
      <c r="AA93" s="1554"/>
      <c r="AB93" s="500"/>
      <c r="AC93" s="500"/>
      <c r="AD93" s="500"/>
      <c r="AE93" s="500"/>
      <c r="AF93" s="1563">
        <v>11</v>
      </c>
    </row>
    <row r="94" spans="1:32" s="1563" customFormat="1" ht="11.45" customHeight="1">
      <c r="A94" s="913"/>
      <c r="B94" s="1558"/>
      <c r="C94" s="1558"/>
      <c r="D94" s="285"/>
      <c r="K94" s="1082"/>
      <c r="L94" s="1558"/>
      <c r="M94" s="1558"/>
      <c r="N94" s="1082"/>
      <c r="O94" s="1082"/>
      <c r="P94" s="1082"/>
      <c r="Q94" s="1082"/>
      <c r="R94" s="1558"/>
      <c r="S94" s="1082"/>
      <c r="T94" s="1082"/>
      <c r="U94" s="478"/>
      <c r="V94" s="1082"/>
      <c r="W94" s="1082"/>
      <c r="X94" s="1082"/>
      <c r="Y94" s="1082"/>
      <c r="Z94" s="1082"/>
      <c r="AA94" s="1554"/>
      <c r="AB94" s="500"/>
      <c r="AC94" s="500"/>
      <c r="AD94" s="500"/>
      <c r="AE94" s="500"/>
      <c r="AF94" s="1563">
        <v>11</v>
      </c>
    </row>
    <row r="95" spans="1:32" s="1563" customFormat="1" ht="11.45" customHeight="1">
      <c r="A95" s="913"/>
      <c r="B95" s="1558"/>
      <c r="C95" s="1558"/>
      <c r="D95" s="285"/>
      <c r="K95" s="1082"/>
      <c r="L95" s="1558"/>
      <c r="M95" s="1558"/>
      <c r="N95" s="1082"/>
      <c r="O95" s="1082"/>
      <c r="P95" s="1082"/>
      <c r="Q95" s="1082"/>
      <c r="R95" s="1558"/>
      <c r="S95" s="1082"/>
      <c r="T95" s="1082"/>
      <c r="U95" s="478"/>
      <c r="V95" s="1082"/>
      <c r="W95" s="1082"/>
      <c r="X95" s="1082"/>
      <c r="Y95" s="1082"/>
      <c r="Z95" s="1082"/>
      <c r="AA95" s="1554"/>
      <c r="AB95" s="500"/>
      <c r="AC95" s="500"/>
      <c r="AD95" s="500"/>
      <c r="AE95" s="500"/>
      <c r="AF95" s="1563">
        <v>11</v>
      </c>
    </row>
    <row r="96" spans="1:32" s="1563" customFormat="1" ht="11.45" customHeight="1">
      <c r="A96" s="913"/>
      <c r="B96" s="1558"/>
      <c r="C96" s="1558"/>
      <c r="D96" s="285"/>
      <c r="K96" s="1082"/>
      <c r="L96" s="1558"/>
      <c r="M96" s="1558"/>
      <c r="N96" s="1082"/>
      <c r="O96" s="1082"/>
      <c r="P96" s="1082"/>
      <c r="Q96" s="1082"/>
      <c r="R96" s="1558"/>
      <c r="S96" s="1082"/>
      <c r="T96" s="1082"/>
      <c r="U96" s="478"/>
      <c r="V96" s="1082"/>
      <c r="W96" s="1082"/>
      <c r="X96" s="1082"/>
      <c r="Y96" s="1082"/>
      <c r="Z96" s="1082"/>
      <c r="AA96" s="1554"/>
      <c r="AB96" s="500"/>
      <c r="AC96" s="500"/>
      <c r="AD96" s="500"/>
      <c r="AE96" s="500"/>
      <c r="AF96" s="1563">
        <v>11</v>
      </c>
    </row>
    <row r="97" spans="1:32" s="1563" customFormat="1" ht="11.45" customHeight="1">
      <c r="A97" s="913"/>
      <c r="B97" s="1558"/>
      <c r="C97" s="1558"/>
      <c r="D97" s="285"/>
      <c r="K97" s="1082"/>
      <c r="L97" s="1558"/>
      <c r="M97" s="1558"/>
      <c r="N97" s="1082"/>
      <c r="O97" s="1082"/>
      <c r="P97" s="1082"/>
      <c r="Q97" s="1082"/>
      <c r="R97" s="1558"/>
      <c r="S97" s="1082"/>
      <c r="T97" s="1082"/>
      <c r="U97" s="478"/>
      <c r="V97" s="1082"/>
      <c r="W97" s="1082"/>
      <c r="X97" s="1082"/>
      <c r="Y97" s="1082"/>
      <c r="Z97" s="1082"/>
      <c r="AA97" s="1554"/>
      <c r="AB97" s="500"/>
      <c r="AC97" s="500"/>
      <c r="AD97" s="500"/>
      <c r="AE97" s="500"/>
      <c r="AF97" s="1563">
        <v>11</v>
      </c>
    </row>
    <row r="98" spans="1:32" s="1563" customFormat="1" ht="11.45" customHeight="1">
      <c r="A98" s="913"/>
      <c r="B98" s="1558"/>
      <c r="C98" s="1558"/>
      <c r="D98" s="285"/>
      <c r="K98" s="1082"/>
      <c r="L98" s="1558"/>
      <c r="M98" s="1558"/>
      <c r="N98" s="1082"/>
      <c r="O98" s="1082"/>
      <c r="P98" s="1082"/>
      <c r="Q98" s="1082"/>
      <c r="R98" s="1558"/>
      <c r="S98" s="1082"/>
      <c r="T98" s="1082"/>
      <c r="U98" s="478"/>
      <c r="V98" s="1082"/>
      <c r="W98" s="1082"/>
      <c r="X98" s="1082"/>
      <c r="Y98" s="1082"/>
      <c r="Z98" s="1082"/>
      <c r="AA98" s="1554"/>
      <c r="AB98" s="500"/>
      <c r="AC98" s="500"/>
      <c r="AD98" s="500"/>
      <c r="AE98" s="500"/>
      <c r="AF98" s="1563">
        <v>11</v>
      </c>
    </row>
    <row r="99" spans="1:32" s="1563" customFormat="1" ht="11.45" customHeight="1">
      <c r="A99" s="913"/>
      <c r="B99" s="1558"/>
      <c r="C99" s="1558"/>
      <c r="D99" s="285"/>
      <c r="K99" s="1082"/>
      <c r="L99" s="1558"/>
      <c r="M99" s="1558"/>
      <c r="N99" s="1082"/>
      <c r="O99" s="1082"/>
      <c r="P99" s="1082"/>
      <c r="Q99" s="1082"/>
      <c r="R99" s="1558"/>
      <c r="S99" s="1082"/>
      <c r="T99" s="1082"/>
      <c r="U99" s="478"/>
      <c r="V99" s="1082"/>
      <c r="W99" s="1082"/>
      <c r="X99" s="1082"/>
      <c r="Y99" s="1082"/>
      <c r="Z99" s="1082"/>
      <c r="AA99" s="1554"/>
      <c r="AB99" s="500"/>
      <c r="AC99" s="500"/>
      <c r="AD99" s="500"/>
      <c r="AE99" s="500"/>
      <c r="AF99" s="1563">
        <v>11</v>
      </c>
    </row>
    <row r="100" spans="1:32" s="1563" customFormat="1" ht="11.45" customHeight="1">
      <c r="A100" s="913"/>
      <c r="B100" s="1558"/>
      <c r="C100" s="1558"/>
      <c r="D100" s="285"/>
      <c r="K100" s="1082"/>
      <c r="L100" s="1558"/>
      <c r="M100" s="1558"/>
      <c r="N100" s="1082"/>
      <c r="O100" s="1082"/>
      <c r="P100" s="1082"/>
      <c r="Q100" s="1082"/>
      <c r="R100" s="1558"/>
      <c r="S100" s="1082"/>
      <c r="T100" s="1082"/>
      <c r="U100" s="478"/>
      <c r="V100" s="1082"/>
      <c r="W100" s="1082"/>
      <c r="X100" s="1082"/>
      <c r="Y100" s="1082"/>
      <c r="Z100" s="1082"/>
      <c r="AA100" s="1554"/>
      <c r="AB100" s="500"/>
      <c r="AC100" s="500"/>
      <c r="AD100" s="500"/>
      <c r="AE100" s="500"/>
      <c r="AF100" s="1563">
        <v>11</v>
      </c>
    </row>
    <row r="101" spans="1:32" s="1563" customFormat="1" ht="11.45" customHeight="1">
      <c r="A101" s="913"/>
      <c r="B101" s="1558"/>
      <c r="C101" s="1558"/>
      <c r="D101" s="285"/>
      <c r="K101" s="1082"/>
      <c r="L101" s="1558"/>
      <c r="M101" s="1558"/>
      <c r="N101" s="1082"/>
      <c r="O101" s="1082"/>
      <c r="P101" s="1082"/>
      <c r="Q101" s="1082"/>
      <c r="R101" s="1558"/>
      <c r="S101" s="1082"/>
      <c r="T101" s="1082"/>
      <c r="U101" s="478"/>
      <c r="V101" s="1082"/>
      <c r="W101" s="1082"/>
      <c r="X101" s="1082"/>
      <c r="Y101" s="1082"/>
      <c r="Z101" s="1082"/>
      <c r="AA101" s="1554"/>
      <c r="AB101" s="500"/>
      <c r="AC101" s="500"/>
      <c r="AD101" s="500"/>
      <c r="AE101" s="500"/>
      <c r="AF101" s="1563">
        <v>11</v>
      </c>
    </row>
    <row r="102" spans="1:32" s="1563" customFormat="1" ht="11.45" customHeight="1">
      <c r="A102" s="913"/>
      <c r="B102" s="1558"/>
      <c r="C102" s="1558"/>
      <c r="D102" s="285"/>
      <c r="K102" s="1082"/>
      <c r="L102" s="1558"/>
      <c r="M102" s="1558"/>
      <c r="N102" s="1082"/>
      <c r="O102" s="1082"/>
      <c r="P102" s="1082"/>
      <c r="Q102" s="1082"/>
      <c r="R102" s="1558"/>
      <c r="S102" s="1082"/>
      <c r="T102" s="1082"/>
      <c r="U102" s="478"/>
      <c r="V102" s="1082"/>
      <c r="W102" s="1082"/>
      <c r="X102" s="1082"/>
      <c r="Y102" s="1082"/>
      <c r="Z102" s="1082"/>
      <c r="AA102" s="1554"/>
      <c r="AB102" s="500"/>
      <c r="AC102" s="500"/>
      <c r="AD102" s="500"/>
      <c r="AE102" s="500"/>
      <c r="AF102" s="1563">
        <v>11</v>
      </c>
    </row>
    <row r="103" spans="1:32" s="1563" customFormat="1" ht="11.45" customHeight="1">
      <c r="A103" s="913"/>
      <c r="B103" s="1558"/>
      <c r="C103" s="1558"/>
      <c r="D103" s="285"/>
      <c r="K103" s="1082"/>
      <c r="L103" s="1558"/>
      <c r="M103" s="1558"/>
      <c r="N103" s="1082"/>
      <c r="O103" s="1082"/>
      <c r="P103" s="1082"/>
      <c r="Q103" s="1082"/>
      <c r="R103" s="1558"/>
      <c r="S103" s="1082"/>
      <c r="T103" s="1082"/>
      <c r="U103" s="478"/>
      <c r="V103" s="1082"/>
      <c r="W103" s="1082"/>
      <c r="X103" s="1082"/>
      <c r="Y103" s="1082"/>
      <c r="Z103" s="1082"/>
      <c r="AA103" s="1554"/>
      <c r="AB103" s="500"/>
      <c r="AC103" s="500"/>
      <c r="AD103" s="500"/>
      <c r="AE103" s="500"/>
      <c r="AF103" s="1563">
        <v>11</v>
      </c>
    </row>
    <row r="104" spans="1:32" s="1563" customFormat="1" ht="11.45" customHeight="1">
      <c r="A104" s="913"/>
      <c r="B104" s="1558"/>
      <c r="C104" s="1558"/>
      <c r="D104" s="285"/>
      <c r="K104" s="1082"/>
      <c r="L104" s="1558"/>
      <c r="M104" s="1558"/>
      <c r="N104" s="1082"/>
      <c r="O104" s="1082"/>
      <c r="P104" s="1082"/>
      <c r="Q104" s="1082"/>
      <c r="R104" s="1558"/>
      <c r="S104" s="1082"/>
      <c r="T104" s="1082"/>
      <c r="U104" s="478"/>
      <c r="V104" s="1082"/>
      <c r="W104" s="1082"/>
      <c r="X104" s="1082"/>
      <c r="Y104" s="1082"/>
      <c r="Z104" s="1082"/>
      <c r="AA104" s="1554"/>
      <c r="AB104" s="500"/>
      <c r="AC104" s="500"/>
      <c r="AD104" s="500"/>
      <c r="AE104" s="500"/>
      <c r="AF104" s="1563">
        <v>11</v>
      </c>
    </row>
    <row r="105" spans="1:32" s="1563" customFormat="1" ht="11.45" customHeight="1">
      <c r="A105" s="913"/>
      <c r="B105" s="1558"/>
      <c r="C105" s="1558"/>
      <c r="D105" s="285"/>
      <c r="K105" s="1082"/>
      <c r="L105" s="1558"/>
      <c r="M105" s="1558"/>
      <c r="N105" s="1082"/>
      <c r="O105" s="1082"/>
      <c r="P105" s="1082"/>
      <c r="Q105" s="1082"/>
      <c r="R105" s="1558"/>
      <c r="S105" s="1082"/>
      <c r="T105" s="1082"/>
      <c r="U105" s="478"/>
      <c r="V105" s="1082"/>
      <c r="W105" s="1082"/>
      <c r="X105" s="1082"/>
      <c r="Y105" s="1082"/>
      <c r="Z105" s="1082"/>
      <c r="AA105" s="1554"/>
      <c r="AB105" s="500"/>
      <c r="AC105" s="500"/>
      <c r="AD105" s="500"/>
      <c r="AE105" s="500"/>
      <c r="AF105" s="1563">
        <v>11</v>
      </c>
    </row>
    <row r="106" spans="1:32" s="1563" customFormat="1" ht="11.45" customHeight="1">
      <c r="A106" s="913"/>
      <c r="B106" s="1558"/>
      <c r="C106" s="1558"/>
      <c r="D106" s="285"/>
      <c r="K106" s="1082"/>
      <c r="L106" s="1558"/>
      <c r="M106" s="1558"/>
      <c r="N106" s="1082"/>
      <c r="O106" s="1082"/>
      <c r="P106" s="1082"/>
      <c r="Q106" s="1082"/>
      <c r="R106" s="1558"/>
      <c r="S106" s="1082"/>
      <c r="T106" s="1082"/>
      <c r="U106" s="478"/>
      <c r="V106" s="1082"/>
      <c r="W106" s="1082"/>
      <c r="X106" s="1082"/>
      <c r="Y106" s="1082"/>
      <c r="Z106" s="1082"/>
      <c r="AA106" s="1554"/>
      <c r="AB106" s="500"/>
      <c r="AC106" s="500"/>
      <c r="AD106" s="500"/>
      <c r="AE106" s="500"/>
      <c r="AF106" s="1563">
        <v>11</v>
      </c>
    </row>
    <row r="107" spans="1:32" s="1563" customFormat="1" ht="11.45" customHeight="1">
      <c r="A107" s="913"/>
      <c r="B107" s="1558"/>
      <c r="C107" s="1558"/>
      <c r="D107" s="285"/>
      <c r="K107" s="1082"/>
      <c r="L107" s="1558"/>
      <c r="M107" s="1558"/>
      <c r="N107" s="1082"/>
      <c r="O107" s="1082"/>
      <c r="P107" s="1082"/>
      <c r="Q107" s="1082"/>
      <c r="R107" s="1558"/>
      <c r="S107" s="1082"/>
      <c r="T107" s="1082"/>
      <c r="U107" s="478"/>
      <c r="V107" s="1082"/>
      <c r="W107" s="1082"/>
      <c r="X107" s="1082"/>
      <c r="Y107" s="1082"/>
      <c r="Z107" s="1082"/>
      <c r="AA107" s="1554"/>
      <c r="AB107" s="500"/>
      <c r="AC107" s="500"/>
      <c r="AD107" s="500"/>
      <c r="AE107" s="500"/>
      <c r="AF107" s="1563">
        <v>11</v>
      </c>
    </row>
    <row r="108" spans="1:32" s="1563" customFormat="1" ht="11.45" customHeight="1">
      <c r="A108" s="913"/>
      <c r="B108" s="1558"/>
      <c r="C108" s="1558"/>
      <c r="D108" s="285"/>
      <c r="K108" s="1082"/>
      <c r="L108" s="1558"/>
      <c r="M108" s="1558"/>
      <c r="N108" s="1082"/>
      <c r="O108" s="1082"/>
      <c r="P108" s="1082"/>
      <c r="Q108" s="1082"/>
      <c r="R108" s="1558"/>
      <c r="S108" s="1082"/>
      <c r="T108" s="1082"/>
      <c r="U108" s="478"/>
      <c r="V108" s="1082"/>
      <c r="W108" s="1082"/>
      <c r="X108" s="1082"/>
      <c r="Y108" s="1082"/>
      <c r="Z108" s="1082"/>
      <c r="AA108" s="1554"/>
      <c r="AB108" s="500"/>
      <c r="AC108" s="500"/>
      <c r="AD108" s="500"/>
      <c r="AE108" s="500"/>
      <c r="AF108" s="1563">
        <v>11</v>
      </c>
    </row>
    <row r="109" spans="1:32" s="1563" customFormat="1" ht="11.45" customHeight="1">
      <c r="A109" s="913"/>
      <c r="B109" s="1558"/>
      <c r="C109" s="1558"/>
      <c r="D109" s="285"/>
      <c r="K109" s="1082"/>
      <c r="L109" s="1558"/>
      <c r="M109" s="1558"/>
      <c r="N109" s="1082"/>
      <c r="O109" s="1082"/>
      <c r="P109" s="1082"/>
      <c r="Q109" s="1082"/>
      <c r="R109" s="1558"/>
      <c r="S109" s="1082"/>
      <c r="T109" s="1082"/>
      <c r="U109" s="478"/>
      <c r="V109" s="1082"/>
      <c r="W109" s="1082"/>
      <c r="X109" s="1082"/>
      <c r="Y109" s="1082"/>
      <c r="Z109" s="1082"/>
      <c r="AA109" s="1554"/>
      <c r="AB109" s="500"/>
      <c r="AC109" s="500"/>
      <c r="AD109" s="500"/>
      <c r="AE109" s="500"/>
      <c r="AF109" s="1563">
        <v>11</v>
      </c>
    </row>
    <row r="110" spans="1:32" s="1563" customFormat="1" ht="11.45" customHeight="1">
      <c r="A110" s="913"/>
      <c r="B110" s="1558"/>
      <c r="C110" s="1558"/>
      <c r="D110" s="285"/>
      <c r="K110" s="1082"/>
      <c r="L110" s="1558"/>
      <c r="M110" s="1558"/>
      <c r="N110" s="1082"/>
      <c r="O110" s="1082"/>
      <c r="P110" s="1082"/>
      <c r="Q110" s="1082"/>
      <c r="R110" s="1558"/>
      <c r="S110" s="1082"/>
      <c r="T110" s="1082"/>
      <c r="U110" s="478"/>
      <c r="V110" s="1082"/>
      <c r="W110" s="1082"/>
      <c r="X110" s="1082"/>
      <c r="Y110" s="1082"/>
      <c r="Z110" s="1082"/>
      <c r="AA110" s="1554"/>
      <c r="AB110" s="500"/>
      <c r="AC110" s="500"/>
      <c r="AD110" s="500"/>
      <c r="AE110" s="500"/>
      <c r="AF110" s="1563">
        <v>11</v>
      </c>
    </row>
    <row r="111" spans="1:32" s="1563" customFormat="1" ht="11.45" customHeight="1">
      <c r="A111" s="913"/>
      <c r="B111" s="1558"/>
      <c r="C111" s="1558"/>
      <c r="D111" s="285"/>
      <c r="K111" s="1082"/>
      <c r="L111" s="1558"/>
      <c r="M111" s="1558"/>
      <c r="N111" s="1082"/>
      <c r="O111" s="1082"/>
      <c r="P111" s="1082"/>
      <c r="Q111" s="1082"/>
      <c r="R111" s="1558"/>
      <c r="S111" s="1082"/>
      <c r="T111" s="1082"/>
      <c r="U111" s="478"/>
      <c r="V111" s="1082"/>
      <c r="W111" s="1082"/>
      <c r="X111" s="1082"/>
      <c r="Y111" s="1082"/>
      <c r="Z111" s="1082"/>
      <c r="AA111" s="1554"/>
      <c r="AB111" s="500"/>
      <c r="AC111" s="500"/>
      <c r="AD111" s="500"/>
      <c r="AE111" s="500"/>
      <c r="AF111" s="1563">
        <v>11</v>
      </c>
    </row>
    <row r="112" spans="1:32" s="1563" customFormat="1" ht="11.45" customHeight="1">
      <c r="A112" s="913"/>
      <c r="B112" s="1558"/>
      <c r="C112" s="1558"/>
      <c r="D112" s="285"/>
      <c r="K112" s="1082"/>
      <c r="L112" s="1558"/>
      <c r="M112" s="1558"/>
      <c r="N112" s="1082"/>
      <c r="O112" s="1082"/>
      <c r="P112" s="1082"/>
      <c r="Q112" s="1082"/>
      <c r="R112" s="1558"/>
      <c r="S112" s="1082"/>
      <c r="T112" s="1082"/>
      <c r="U112" s="478"/>
      <c r="V112" s="1082"/>
      <c r="W112" s="1082"/>
      <c r="X112" s="1082"/>
      <c r="Y112" s="1082"/>
      <c r="Z112" s="1082"/>
      <c r="AA112" s="1554"/>
      <c r="AB112" s="500"/>
      <c r="AC112" s="500"/>
      <c r="AD112" s="500"/>
      <c r="AE112" s="500"/>
      <c r="AF112" s="1563">
        <v>11</v>
      </c>
    </row>
    <row r="113" spans="1:32" s="1563" customFormat="1" ht="11.45" customHeight="1">
      <c r="A113" s="913"/>
      <c r="B113" s="1558"/>
      <c r="C113" s="1558"/>
      <c r="D113" s="285"/>
      <c r="K113" s="1082"/>
      <c r="L113" s="1558"/>
      <c r="M113" s="1558"/>
      <c r="N113" s="1082"/>
      <c r="O113" s="1082"/>
      <c r="P113" s="1082"/>
      <c r="Q113" s="1082"/>
      <c r="R113" s="1558"/>
      <c r="S113" s="1082"/>
      <c r="T113" s="1082"/>
      <c r="U113" s="478"/>
      <c r="V113" s="1082"/>
      <c r="W113" s="1082"/>
      <c r="X113" s="1082"/>
      <c r="Y113" s="1082"/>
      <c r="Z113" s="1082"/>
      <c r="AA113" s="1554"/>
      <c r="AB113" s="500"/>
      <c r="AC113" s="500"/>
      <c r="AD113" s="500"/>
      <c r="AE113" s="500"/>
      <c r="AF113" s="1563">
        <v>11</v>
      </c>
    </row>
    <row r="114" spans="1:32" s="1563" customFormat="1" ht="11.45" customHeight="1">
      <c r="A114" s="913"/>
      <c r="B114" s="1558"/>
      <c r="C114" s="1558"/>
      <c r="D114" s="285"/>
      <c r="K114" s="1082"/>
      <c r="L114" s="1558"/>
      <c r="M114" s="1558"/>
      <c r="N114" s="1082"/>
      <c r="O114" s="1082"/>
      <c r="P114" s="1082"/>
      <c r="Q114" s="1082"/>
      <c r="R114" s="1558"/>
      <c r="S114" s="1082"/>
      <c r="T114" s="1082"/>
      <c r="U114" s="478"/>
      <c r="V114" s="1082"/>
      <c r="W114" s="1082"/>
      <c r="X114" s="1082"/>
      <c r="Y114" s="1082"/>
      <c r="Z114" s="1082"/>
      <c r="AA114" s="1554"/>
      <c r="AB114" s="500"/>
      <c r="AC114" s="500"/>
      <c r="AD114" s="500"/>
      <c r="AE114" s="500"/>
      <c r="AF114" s="1563">
        <v>11</v>
      </c>
    </row>
    <row r="115" spans="1:32" s="1563" customFormat="1" ht="11.45" customHeight="1">
      <c r="A115" s="913"/>
      <c r="B115" s="1558"/>
      <c r="C115" s="1558"/>
      <c r="D115" s="285"/>
      <c r="K115" s="1082"/>
      <c r="L115" s="1558"/>
      <c r="M115" s="1558"/>
      <c r="N115" s="1082"/>
      <c r="O115" s="1082"/>
      <c r="P115" s="1082"/>
      <c r="Q115" s="1082"/>
      <c r="R115" s="1558"/>
      <c r="S115" s="1082"/>
      <c r="T115" s="1082"/>
      <c r="U115" s="478"/>
      <c r="V115" s="1082"/>
      <c r="W115" s="1082"/>
      <c r="X115" s="1082"/>
      <c r="Y115" s="1082"/>
      <c r="Z115" s="1082"/>
      <c r="AA115" s="1554"/>
      <c r="AB115" s="500"/>
      <c r="AC115" s="500"/>
      <c r="AD115" s="500"/>
      <c r="AE115" s="500"/>
      <c r="AF115" s="1563">
        <v>11</v>
      </c>
    </row>
    <row r="116" spans="1:32" s="1563" customFormat="1" ht="11.45" customHeight="1">
      <c r="A116" s="913"/>
      <c r="B116" s="1558"/>
      <c r="C116" s="1558"/>
      <c r="D116" s="285"/>
      <c r="K116" s="1082"/>
      <c r="L116" s="1558"/>
      <c r="M116" s="1558"/>
      <c r="N116" s="1082"/>
      <c r="O116" s="1082"/>
      <c r="P116" s="1082"/>
      <c r="Q116" s="1082"/>
      <c r="R116" s="1558"/>
      <c r="S116" s="1082"/>
      <c r="T116" s="1082"/>
      <c r="U116" s="478"/>
      <c r="V116" s="1082"/>
      <c r="W116" s="1082"/>
      <c r="X116" s="1082"/>
      <c r="Y116" s="1082"/>
      <c r="Z116" s="1082"/>
      <c r="AA116" s="1554"/>
      <c r="AB116" s="500"/>
      <c r="AC116" s="500"/>
      <c r="AD116" s="500"/>
      <c r="AE116" s="500"/>
      <c r="AF116" s="1563">
        <v>11</v>
      </c>
    </row>
    <row r="117" spans="1:32" s="1563" customFormat="1" ht="11.45" customHeight="1">
      <c r="A117" s="913"/>
      <c r="B117" s="1558"/>
      <c r="C117" s="1558"/>
      <c r="D117" s="285"/>
      <c r="K117" s="1082"/>
      <c r="L117" s="1558"/>
      <c r="M117" s="1558"/>
      <c r="N117" s="1082"/>
      <c r="O117" s="1082"/>
      <c r="P117" s="1082"/>
      <c r="Q117" s="1082"/>
      <c r="R117" s="1558"/>
      <c r="S117" s="1082"/>
      <c r="T117" s="1082"/>
      <c r="U117" s="478"/>
      <c r="V117" s="1082"/>
      <c r="W117" s="1082"/>
      <c r="X117" s="1082"/>
      <c r="Y117" s="1082"/>
      <c r="Z117" s="1082"/>
      <c r="AA117" s="1554"/>
      <c r="AB117" s="500"/>
      <c r="AC117" s="500"/>
      <c r="AD117" s="500"/>
      <c r="AE117" s="500"/>
      <c r="AF117" s="1563">
        <v>11</v>
      </c>
    </row>
    <row r="118" spans="1:32" s="1563" customFormat="1" ht="11.45" customHeight="1">
      <c r="A118" s="913"/>
      <c r="B118" s="1558"/>
      <c r="C118" s="1558"/>
      <c r="D118" s="285"/>
      <c r="K118" s="1082"/>
      <c r="L118" s="1558"/>
      <c r="M118" s="1558"/>
      <c r="N118" s="1082"/>
      <c r="O118" s="1082"/>
      <c r="P118" s="1082"/>
      <c r="Q118" s="1082"/>
      <c r="R118" s="1558"/>
      <c r="S118" s="1082"/>
      <c r="T118" s="1082"/>
      <c r="U118" s="478"/>
      <c r="V118" s="1082"/>
      <c r="W118" s="1082"/>
      <c r="X118" s="1082"/>
      <c r="Y118" s="1082"/>
      <c r="Z118" s="1082"/>
      <c r="AA118" s="1554"/>
      <c r="AB118" s="500"/>
      <c r="AC118" s="500"/>
      <c r="AD118" s="500"/>
      <c r="AE118" s="500"/>
      <c r="AF118" s="1563">
        <v>11</v>
      </c>
    </row>
    <row r="119" spans="1:32" s="1563" customFormat="1" ht="11.45" customHeight="1">
      <c r="A119" s="913"/>
      <c r="B119" s="1558"/>
      <c r="C119" s="1558"/>
      <c r="D119" s="285"/>
      <c r="K119" s="1082"/>
      <c r="L119" s="1558"/>
      <c r="M119" s="1558"/>
      <c r="N119" s="1082"/>
      <c r="O119" s="1082"/>
      <c r="P119" s="1082"/>
      <c r="Q119" s="1082"/>
      <c r="R119" s="1558"/>
      <c r="S119" s="1082"/>
      <c r="T119" s="1082"/>
      <c r="U119" s="478"/>
      <c r="V119" s="1082"/>
      <c r="W119" s="1082"/>
      <c r="X119" s="1082"/>
      <c r="Y119" s="1082"/>
      <c r="Z119" s="1082"/>
      <c r="AA119" s="1554"/>
      <c r="AB119" s="500"/>
      <c r="AC119" s="500"/>
      <c r="AD119" s="500"/>
      <c r="AE119" s="500"/>
      <c r="AF119" s="1563">
        <v>11</v>
      </c>
    </row>
    <row r="120" spans="1:32" s="1563" customFormat="1" ht="11.45" customHeight="1">
      <c r="A120" s="913"/>
      <c r="B120" s="1558"/>
      <c r="C120" s="1558"/>
      <c r="D120" s="285"/>
      <c r="K120" s="1082"/>
      <c r="L120" s="1558"/>
      <c r="M120" s="1558"/>
      <c r="N120" s="1082"/>
      <c r="O120" s="1082"/>
      <c r="P120" s="1082"/>
      <c r="Q120" s="1082"/>
      <c r="R120" s="1558"/>
      <c r="S120" s="1082"/>
      <c r="T120" s="1082"/>
      <c r="U120" s="478"/>
      <c r="V120" s="1082"/>
      <c r="W120" s="1082"/>
      <c r="X120" s="1082"/>
      <c r="Y120" s="1082"/>
      <c r="Z120" s="1082"/>
      <c r="AA120" s="1554"/>
      <c r="AB120" s="500"/>
      <c r="AC120" s="500"/>
      <c r="AD120" s="500"/>
      <c r="AE120" s="500"/>
      <c r="AF120" s="1563">
        <v>11</v>
      </c>
    </row>
    <row r="121" spans="1:32" s="1563" customFormat="1" ht="11.45" customHeight="1">
      <c r="A121" s="913"/>
      <c r="B121" s="1558"/>
      <c r="C121" s="1558"/>
      <c r="D121" s="285"/>
      <c r="K121" s="1082"/>
      <c r="L121" s="1558"/>
      <c r="M121" s="1558"/>
      <c r="N121" s="1082"/>
      <c r="O121" s="1082"/>
      <c r="P121" s="1082"/>
      <c r="Q121" s="1082"/>
      <c r="R121" s="1558"/>
      <c r="S121" s="1082"/>
      <c r="T121" s="1082"/>
      <c r="U121" s="478"/>
      <c r="V121" s="1082"/>
      <c r="W121" s="1082"/>
      <c r="X121" s="1082"/>
      <c r="Y121" s="1082"/>
      <c r="Z121" s="1082"/>
      <c r="AA121" s="1554"/>
      <c r="AB121" s="500"/>
      <c r="AC121" s="500"/>
      <c r="AD121" s="500"/>
      <c r="AE121" s="500"/>
      <c r="AF121" s="1563">
        <v>11</v>
      </c>
    </row>
    <row r="122" spans="1:32" s="1563" customFormat="1" ht="11.45" customHeight="1">
      <c r="A122" s="913"/>
      <c r="B122" s="1558"/>
      <c r="C122" s="1558"/>
      <c r="D122" s="285"/>
      <c r="K122" s="1082"/>
      <c r="L122" s="1558"/>
      <c r="M122" s="1558"/>
      <c r="N122" s="1082"/>
      <c r="O122" s="1082"/>
      <c r="P122" s="1082"/>
      <c r="Q122" s="1082"/>
      <c r="R122" s="1558"/>
      <c r="S122" s="1082"/>
      <c r="T122" s="1082"/>
      <c r="U122" s="478"/>
      <c r="V122" s="1082"/>
      <c r="W122" s="1082"/>
      <c r="X122" s="1082"/>
      <c r="Y122" s="1082"/>
      <c r="Z122" s="1082"/>
      <c r="AA122" s="1554"/>
      <c r="AB122" s="500"/>
      <c r="AC122" s="500"/>
      <c r="AD122" s="500"/>
      <c r="AE122" s="500"/>
      <c r="AF122" s="1563">
        <v>11</v>
      </c>
    </row>
    <row r="123" spans="1:32" s="1563" customFormat="1" ht="11.45" customHeight="1">
      <c r="A123" s="913"/>
      <c r="B123" s="1558"/>
      <c r="C123" s="1558"/>
      <c r="D123" s="285"/>
      <c r="K123" s="1082"/>
      <c r="L123" s="1558"/>
      <c r="M123" s="1558"/>
      <c r="N123" s="1082"/>
      <c r="O123" s="1082"/>
      <c r="P123" s="1082"/>
      <c r="Q123" s="1082"/>
      <c r="R123" s="1558"/>
      <c r="S123" s="1082"/>
      <c r="T123" s="1082"/>
      <c r="U123" s="478"/>
      <c r="V123" s="1082"/>
      <c r="W123" s="1082"/>
      <c r="X123" s="1082"/>
      <c r="Y123" s="1082"/>
      <c r="Z123" s="1082"/>
      <c r="AA123" s="1554"/>
      <c r="AB123" s="500"/>
      <c r="AC123" s="500"/>
      <c r="AD123" s="500"/>
      <c r="AE123" s="500"/>
      <c r="AF123" s="1563">
        <v>11</v>
      </c>
    </row>
    <row r="124" spans="1:32" s="1563" customFormat="1" ht="11.45" customHeight="1">
      <c r="A124" s="913"/>
      <c r="B124" s="1558"/>
      <c r="C124" s="1558"/>
      <c r="D124" s="285"/>
      <c r="K124" s="1082"/>
      <c r="L124" s="1558"/>
      <c r="M124" s="1558"/>
      <c r="N124" s="1082"/>
      <c r="O124" s="1082"/>
      <c r="P124" s="1082"/>
      <c r="Q124" s="1082"/>
      <c r="R124" s="1558"/>
      <c r="S124" s="1082"/>
      <c r="T124" s="1082"/>
      <c r="U124" s="478"/>
      <c r="V124" s="1082"/>
      <c r="W124" s="1082"/>
      <c r="X124" s="1082"/>
      <c r="Y124" s="1082"/>
      <c r="Z124" s="1082"/>
      <c r="AA124" s="1554"/>
      <c r="AB124" s="500"/>
      <c r="AC124" s="500"/>
      <c r="AD124" s="500"/>
      <c r="AE124" s="500"/>
      <c r="AF124" s="1563">
        <v>11</v>
      </c>
    </row>
    <row r="125" spans="1:32" s="1563" customFormat="1" ht="11.45" customHeight="1">
      <c r="A125" s="913"/>
      <c r="B125" s="1558"/>
      <c r="C125" s="1558"/>
      <c r="D125" s="285"/>
      <c r="K125" s="1082"/>
      <c r="L125" s="1558"/>
      <c r="M125" s="1558"/>
      <c r="N125" s="1082"/>
      <c r="O125" s="1082"/>
      <c r="P125" s="1082"/>
      <c r="Q125" s="1082"/>
      <c r="R125" s="1558"/>
      <c r="S125" s="1082"/>
      <c r="T125" s="1082"/>
      <c r="U125" s="478"/>
      <c r="V125" s="1082"/>
      <c r="W125" s="1082"/>
      <c r="X125" s="1082"/>
      <c r="Y125" s="1082"/>
      <c r="Z125" s="1082"/>
      <c r="AA125" s="1554"/>
      <c r="AB125" s="500"/>
      <c r="AC125" s="500"/>
      <c r="AD125" s="500"/>
      <c r="AE125" s="500"/>
      <c r="AF125" s="1563">
        <v>11</v>
      </c>
    </row>
    <row r="126" spans="1:32" s="1563" customFormat="1" ht="11.45" customHeight="1">
      <c r="A126" s="913"/>
      <c r="B126" s="1558"/>
      <c r="C126" s="1558"/>
      <c r="D126" s="285"/>
      <c r="K126" s="1082"/>
      <c r="L126" s="1558"/>
      <c r="M126" s="1558"/>
      <c r="N126" s="1082"/>
      <c r="O126" s="1082"/>
      <c r="P126" s="1082"/>
      <c r="Q126" s="1082"/>
      <c r="R126" s="1558"/>
      <c r="S126" s="1082"/>
      <c r="T126" s="1082"/>
      <c r="U126" s="478"/>
      <c r="V126" s="1082"/>
      <c r="W126" s="1082"/>
      <c r="X126" s="1082"/>
      <c r="Y126" s="1082"/>
      <c r="Z126" s="1082"/>
      <c r="AA126" s="1554"/>
      <c r="AB126" s="500"/>
      <c r="AC126" s="500"/>
      <c r="AD126" s="500"/>
      <c r="AE126" s="500"/>
      <c r="AF126" s="1563">
        <v>11</v>
      </c>
    </row>
    <row r="127" spans="1:32" s="1563" customFormat="1" ht="11.45" customHeight="1">
      <c r="A127" s="913"/>
      <c r="B127" s="1558"/>
      <c r="C127" s="1558"/>
      <c r="D127" s="285"/>
      <c r="K127" s="1082"/>
      <c r="L127" s="1558"/>
      <c r="M127" s="1558"/>
      <c r="N127" s="1082"/>
      <c r="O127" s="1082"/>
      <c r="P127" s="1082"/>
      <c r="Q127" s="1082"/>
      <c r="R127" s="1558"/>
      <c r="S127" s="1082"/>
      <c r="T127" s="1082"/>
      <c r="U127" s="478"/>
      <c r="V127" s="1082"/>
      <c r="W127" s="1082"/>
      <c r="X127" s="1082"/>
      <c r="Y127" s="1082"/>
      <c r="Z127" s="1082"/>
      <c r="AA127" s="1554"/>
      <c r="AB127" s="500"/>
      <c r="AC127" s="500"/>
      <c r="AD127" s="500"/>
      <c r="AE127" s="500"/>
      <c r="AF127" s="1563">
        <v>11</v>
      </c>
    </row>
    <row r="128" spans="1:32" s="1563" customFormat="1" ht="11.45" customHeight="1">
      <c r="A128" s="913"/>
      <c r="B128" s="1558"/>
      <c r="C128" s="1558"/>
      <c r="D128" s="285"/>
      <c r="K128" s="1082"/>
      <c r="L128" s="1558"/>
      <c r="M128" s="1558"/>
      <c r="N128" s="1082"/>
      <c r="O128" s="1082"/>
      <c r="P128" s="1082"/>
      <c r="Q128" s="1082"/>
      <c r="R128" s="1558"/>
      <c r="S128" s="1082"/>
      <c r="T128" s="1082"/>
      <c r="U128" s="478"/>
      <c r="V128" s="1082"/>
      <c r="W128" s="1082"/>
      <c r="X128" s="1082"/>
      <c r="Y128" s="1082"/>
      <c r="Z128" s="1082"/>
      <c r="AA128" s="1554"/>
      <c r="AB128" s="500"/>
      <c r="AC128" s="500"/>
      <c r="AD128" s="500"/>
      <c r="AE128" s="500"/>
      <c r="AF128" s="1563">
        <v>11</v>
      </c>
    </row>
    <row r="129" spans="1:32" s="1563" customFormat="1" ht="11.45" customHeight="1">
      <c r="A129" s="913"/>
      <c r="B129" s="1558"/>
      <c r="C129" s="1558"/>
      <c r="D129" s="285"/>
      <c r="K129" s="1082"/>
      <c r="L129" s="1558"/>
      <c r="M129" s="1558"/>
      <c r="N129" s="1082"/>
      <c r="O129" s="1082"/>
      <c r="P129" s="1082"/>
      <c r="Q129" s="1082"/>
      <c r="R129" s="1558"/>
      <c r="S129" s="1082"/>
      <c r="T129" s="1082"/>
      <c r="U129" s="478"/>
      <c r="V129" s="1082"/>
      <c r="W129" s="1082"/>
      <c r="X129" s="1082"/>
      <c r="Y129" s="1082"/>
      <c r="Z129" s="1082"/>
      <c r="AA129" s="1554"/>
      <c r="AB129" s="500"/>
      <c r="AC129" s="500"/>
      <c r="AD129" s="500"/>
      <c r="AE129" s="500"/>
      <c r="AF129" s="1563">
        <v>11</v>
      </c>
    </row>
    <row r="130" spans="1:32" s="1563" customFormat="1" ht="11.45" customHeight="1">
      <c r="A130" s="913"/>
      <c r="B130" s="1558"/>
      <c r="C130" s="1558"/>
      <c r="D130" s="285"/>
      <c r="K130" s="1082"/>
      <c r="L130" s="1558"/>
      <c r="M130" s="1558"/>
      <c r="N130" s="1082"/>
      <c r="O130" s="1082"/>
      <c r="P130" s="1082"/>
      <c r="Q130" s="1082"/>
      <c r="R130" s="1558"/>
      <c r="S130" s="1082"/>
      <c r="T130" s="1082"/>
      <c r="U130" s="478"/>
      <c r="V130" s="1082"/>
      <c r="W130" s="1082"/>
      <c r="X130" s="1082"/>
      <c r="Y130" s="1082"/>
      <c r="Z130" s="1082"/>
      <c r="AA130" s="1554"/>
      <c r="AB130" s="500"/>
      <c r="AC130" s="500"/>
      <c r="AD130" s="500"/>
      <c r="AE130" s="500"/>
      <c r="AF130" s="1563">
        <v>11</v>
      </c>
    </row>
    <row r="131" spans="1:32" s="1563" customFormat="1" ht="11.45" customHeight="1">
      <c r="A131" s="913"/>
      <c r="B131" s="1558"/>
      <c r="C131" s="1558"/>
      <c r="D131" s="285"/>
      <c r="K131" s="1082"/>
      <c r="L131" s="1558"/>
      <c r="M131" s="1558"/>
      <c r="N131" s="1082"/>
      <c r="O131" s="1082"/>
      <c r="P131" s="1082"/>
      <c r="Q131" s="1082"/>
      <c r="R131" s="1558"/>
      <c r="S131" s="1082"/>
      <c r="T131" s="1082"/>
      <c r="U131" s="478"/>
      <c r="V131" s="1082"/>
      <c r="W131" s="1082"/>
      <c r="X131" s="1082"/>
      <c r="Y131" s="1082"/>
      <c r="Z131" s="1082"/>
      <c r="AA131" s="1554"/>
      <c r="AB131" s="500"/>
      <c r="AC131" s="500"/>
      <c r="AD131" s="500"/>
      <c r="AE131" s="500"/>
      <c r="AF131" s="1563">
        <v>11</v>
      </c>
    </row>
    <row r="132" spans="1:32" s="1563" customFormat="1" ht="11.45" customHeight="1">
      <c r="A132" s="913"/>
      <c r="B132" s="1558"/>
      <c r="C132" s="1558"/>
      <c r="D132" s="285"/>
      <c r="K132" s="1082"/>
      <c r="L132" s="1558"/>
      <c r="M132" s="1558"/>
      <c r="N132" s="1082"/>
      <c r="O132" s="1082"/>
      <c r="P132" s="1082"/>
      <c r="Q132" s="1082"/>
      <c r="R132" s="1558"/>
      <c r="S132" s="1082"/>
      <c r="T132" s="1082"/>
      <c r="U132" s="478"/>
      <c r="V132" s="1082"/>
      <c r="W132" s="1082"/>
      <c r="X132" s="1082"/>
      <c r="Y132" s="1082"/>
      <c r="Z132" s="1082"/>
      <c r="AA132" s="1554"/>
      <c r="AB132" s="500"/>
      <c r="AC132" s="500"/>
      <c r="AD132" s="500"/>
      <c r="AE132" s="500"/>
      <c r="AF132" s="1563">
        <v>11</v>
      </c>
    </row>
    <row r="133" spans="1:32" s="1563" customFormat="1" ht="11.45" customHeight="1">
      <c r="A133" s="913"/>
      <c r="B133" s="1558"/>
      <c r="C133" s="1558"/>
      <c r="D133" s="285"/>
      <c r="K133" s="1082"/>
      <c r="L133" s="1558"/>
      <c r="M133" s="1558"/>
      <c r="N133" s="1082"/>
      <c r="O133" s="1082"/>
      <c r="P133" s="1082"/>
      <c r="Q133" s="1082"/>
      <c r="R133" s="1558"/>
      <c r="S133" s="1082"/>
      <c r="T133" s="1082"/>
      <c r="U133" s="478"/>
      <c r="V133" s="1082"/>
      <c r="W133" s="1082"/>
      <c r="X133" s="1082"/>
      <c r="Y133" s="1082"/>
      <c r="Z133" s="1082"/>
      <c r="AA133" s="1554"/>
      <c r="AB133" s="500"/>
      <c r="AC133" s="500"/>
      <c r="AD133" s="500"/>
      <c r="AE133" s="500"/>
      <c r="AF133" s="1563">
        <v>11</v>
      </c>
    </row>
    <row r="134" spans="1:32" s="1563" customFormat="1" ht="11.45" customHeight="1">
      <c r="A134" s="913"/>
      <c r="B134" s="1558"/>
      <c r="C134" s="1558"/>
      <c r="D134" s="285"/>
      <c r="K134" s="1082"/>
      <c r="L134" s="1558"/>
      <c r="M134" s="1558"/>
      <c r="N134" s="1082"/>
      <c r="O134" s="1082"/>
      <c r="P134" s="1082"/>
      <c r="Q134" s="1082"/>
      <c r="R134" s="1558"/>
      <c r="S134" s="1082"/>
      <c r="T134" s="1082"/>
      <c r="U134" s="478"/>
      <c r="V134" s="1082"/>
      <c r="W134" s="1082"/>
      <c r="X134" s="1082"/>
      <c r="Y134" s="1082"/>
      <c r="Z134" s="1082"/>
      <c r="AA134" s="1554"/>
      <c r="AB134" s="500"/>
      <c r="AC134" s="500"/>
      <c r="AD134" s="500"/>
      <c r="AE134" s="500"/>
      <c r="AF134" s="1563">
        <v>11</v>
      </c>
    </row>
    <row r="135" spans="1:32" s="1563" customFormat="1" ht="11.45" customHeight="1">
      <c r="A135" s="913"/>
      <c r="B135" s="1558"/>
      <c r="C135" s="1558"/>
      <c r="D135" s="285"/>
      <c r="K135" s="1082"/>
      <c r="L135" s="1558"/>
      <c r="M135" s="1558"/>
      <c r="N135" s="1082"/>
      <c r="O135" s="1082"/>
      <c r="P135" s="1082"/>
      <c r="Q135" s="1082"/>
      <c r="R135" s="1558"/>
      <c r="S135" s="1082"/>
      <c r="T135" s="1082"/>
      <c r="U135" s="478"/>
      <c r="V135" s="1082"/>
      <c r="W135" s="1082"/>
      <c r="X135" s="1082"/>
      <c r="Y135" s="1082"/>
      <c r="Z135" s="1082"/>
      <c r="AA135" s="1554"/>
      <c r="AB135" s="500"/>
      <c r="AC135" s="500"/>
      <c r="AD135" s="500"/>
      <c r="AE135" s="500"/>
      <c r="AF135" s="1563">
        <v>11</v>
      </c>
    </row>
    <row r="136" spans="1:32" s="1563" customFormat="1" ht="11.45" customHeight="1">
      <c r="A136" s="913"/>
      <c r="B136" s="1558"/>
      <c r="C136" s="1558"/>
      <c r="D136" s="285"/>
      <c r="K136" s="1082"/>
      <c r="L136" s="1558"/>
      <c r="M136" s="1558"/>
      <c r="N136" s="1082"/>
      <c r="O136" s="1082"/>
      <c r="P136" s="1082"/>
      <c r="Q136" s="1082"/>
      <c r="R136" s="1558"/>
      <c r="S136" s="1082"/>
      <c r="T136" s="1082"/>
      <c r="U136" s="478"/>
      <c r="V136" s="1082"/>
      <c r="W136" s="1082"/>
      <c r="X136" s="1082"/>
      <c r="Y136" s="1082"/>
      <c r="Z136" s="1082"/>
      <c r="AA136" s="1554"/>
      <c r="AB136" s="500"/>
      <c r="AC136" s="500"/>
      <c r="AD136" s="500"/>
      <c r="AE136" s="500"/>
      <c r="AF136" s="1563">
        <v>11</v>
      </c>
    </row>
    <row r="137" spans="1:32" s="1563" customFormat="1" ht="11.45" customHeight="1">
      <c r="A137" s="913"/>
      <c r="B137" s="1558"/>
      <c r="C137" s="1558"/>
      <c r="D137" s="285"/>
      <c r="K137" s="1082"/>
      <c r="L137" s="1558"/>
      <c r="M137" s="1558"/>
      <c r="N137" s="1082"/>
      <c r="O137" s="1082"/>
      <c r="P137" s="1082"/>
      <c r="Q137" s="1082"/>
      <c r="R137" s="1558"/>
      <c r="S137" s="1082"/>
      <c r="T137" s="1082"/>
      <c r="U137" s="478"/>
      <c r="V137" s="1082"/>
      <c r="W137" s="1082"/>
      <c r="X137" s="1082"/>
      <c r="Y137" s="1082"/>
      <c r="Z137" s="1082"/>
      <c r="AA137" s="1554"/>
      <c r="AB137" s="500"/>
      <c r="AC137" s="500"/>
      <c r="AD137" s="500"/>
      <c r="AE137" s="500"/>
      <c r="AF137" s="1563">
        <v>11</v>
      </c>
    </row>
    <row r="138" spans="1:32" s="1563" customFormat="1" ht="11.45" customHeight="1">
      <c r="A138" s="913"/>
      <c r="B138" s="1558"/>
      <c r="C138" s="1558"/>
      <c r="D138" s="285"/>
      <c r="K138" s="1082"/>
      <c r="L138" s="1558"/>
      <c r="M138" s="1558"/>
      <c r="N138" s="1082"/>
      <c r="O138" s="1082"/>
      <c r="P138" s="1082"/>
      <c r="Q138" s="1082"/>
      <c r="R138" s="1558"/>
      <c r="S138" s="1082"/>
      <c r="T138" s="1082"/>
      <c r="U138" s="478"/>
      <c r="V138" s="1082"/>
      <c r="W138" s="1082"/>
      <c r="X138" s="1082"/>
      <c r="Y138" s="1082"/>
      <c r="Z138" s="1082"/>
      <c r="AA138" s="1554"/>
      <c r="AB138" s="500"/>
      <c r="AC138" s="500"/>
      <c r="AD138" s="500"/>
      <c r="AE138" s="500"/>
      <c r="AF138" s="1563">
        <v>11</v>
      </c>
    </row>
    <row r="139" spans="1:32" s="1563" customFormat="1" ht="11.45" customHeight="1">
      <c r="A139" s="913"/>
      <c r="B139" s="1558"/>
      <c r="C139" s="1558"/>
      <c r="D139" s="285"/>
      <c r="K139" s="1082"/>
      <c r="L139" s="1558"/>
      <c r="M139" s="1558"/>
      <c r="N139" s="1082"/>
      <c r="O139" s="1082"/>
      <c r="P139" s="1082"/>
      <c r="Q139" s="1082"/>
      <c r="R139" s="1558"/>
      <c r="S139" s="1082"/>
      <c r="T139" s="1082"/>
      <c r="U139" s="478"/>
      <c r="V139" s="1082"/>
      <c r="W139" s="1082"/>
      <c r="X139" s="1082"/>
      <c r="Y139" s="1082"/>
      <c r="Z139" s="1082"/>
      <c r="AA139" s="1554"/>
      <c r="AB139" s="500"/>
      <c r="AC139" s="500"/>
      <c r="AD139" s="500"/>
      <c r="AE139" s="500"/>
      <c r="AF139" s="1563">
        <v>11</v>
      </c>
    </row>
    <row r="140" spans="1:32" s="1563" customFormat="1" ht="11.45" customHeight="1">
      <c r="A140" s="913"/>
      <c r="B140" s="1558"/>
      <c r="C140" s="1558"/>
      <c r="D140" s="285"/>
      <c r="K140" s="1082"/>
      <c r="L140" s="1558"/>
      <c r="M140" s="1558"/>
      <c r="N140" s="1082"/>
      <c r="O140" s="1082"/>
      <c r="P140" s="1082"/>
      <c r="Q140" s="1082"/>
      <c r="R140" s="1558"/>
      <c r="S140" s="1082"/>
      <c r="T140" s="1082"/>
      <c r="U140" s="478"/>
      <c r="V140" s="1082"/>
      <c r="W140" s="1082"/>
      <c r="X140" s="1082"/>
      <c r="Y140" s="1082"/>
      <c r="Z140" s="1082"/>
      <c r="AA140" s="1554"/>
      <c r="AB140" s="500"/>
      <c r="AC140" s="500"/>
      <c r="AD140" s="500"/>
      <c r="AE140" s="500"/>
      <c r="AF140" s="1563">
        <v>11</v>
      </c>
    </row>
    <row r="141" spans="1:32" s="1563" customFormat="1" ht="11.45" customHeight="1">
      <c r="A141" s="913"/>
      <c r="B141" s="1558"/>
      <c r="C141" s="1558"/>
      <c r="D141" s="285"/>
      <c r="K141" s="1082"/>
      <c r="L141" s="1558"/>
      <c r="M141" s="1558"/>
      <c r="N141" s="1082"/>
      <c r="O141" s="1082"/>
      <c r="P141" s="1082"/>
      <c r="Q141" s="1082"/>
      <c r="R141" s="1558"/>
      <c r="S141" s="1082"/>
      <c r="T141" s="1082"/>
      <c r="U141" s="478"/>
      <c r="V141" s="1082"/>
      <c r="W141" s="1082"/>
      <c r="X141" s="1082"/>
      <c r="Y141" s="1082"/>
      <c r="Z141" s="1082"/>
      <c r="AA141" s="1554"/>
      <c r="AB141" s="500"/>
      <c r="AC141" s="500"/>
      <c r="AD141" s="500"/>
      <c r="AE141" s="500"/>
      <c r="AF141" s="1563">
        <v>11</v>
      </c>
    </row>
    <row r="142" spans="1:32" s="1563" customFormat="1" ht="11.45" customHeight="1">
      <c r="A142" s="913"/>
      <c r="B142" s="1558"/>
      <c r="C142" s="1558"/>
      <c r="D142" s="285"/>
      <c r="K142" s="1082"/>
      <c r="L142" s="1558"/>
      <c r="M142" s="1558"/>
      <c r="N142" s="1082"/>
      <c r="O142" s="1082"/>
      <c r="P142" s="1082"/>
      <c r="Q142" s="1082"/>
      <c r="R142" s="1558"/>
      <c r="S142" s="1082"/>
      <c r="T142" s="1082"/>
      <c r="U142" s="478"/>
      <c r="V142" s="1082"/>
      <c r="W142" s="1082"/>
      <c r="X142" s="1082"/>
      <c r="Y142" s="1082"/>
      <c r="Z142" s="1082"/>
      <c r="AA142" s="1554"/>
      <c r="AB142" s="500"/>
      <c r="AC142" s="500"/>
      <c r="AD142" s="500"/>
      <c r="AE142" s="500"/>
      <c r="AF142" s="1563">
        <v>11</v>
      </c>
    </row>
    <row r="143" spans="1:32" s="1563" customFormat="1" ht="11.45" customHeight="1">
      <c r="A143" s="913"/>
      <c r="B143" s="1558"/>
      <c r="C143" s="1558"/>
      <c r="D143" s="285"/>
      <c r="K143" s="1082"/>
      <c r="L143" s="1558"/>
      <c r="M143" s="1558"/>
      <c r="N143" s="1082"/>
      <c r="O143" s="1082"/>
      <c r="P143" s="1082"/>
      <c r="Q143" s="1082"/>
      <c r="R143" s="1558"/>
      <c r="S143" s="1082"/>
      <c r="T143" s="1082"/>
      <c r="U143" s="478"/>
      <c r="V143" s="1082"/>
      <c r="W143" s="1082"/>
      <c r="X143" s="1082"/>
      <c r="Y143" s="1082"/>
      <c r="Z143" s="1082"/>
      <c r="AA143" s="1554"/>
      <c r="AB143" s="500"/>
      <c r="AC143" s="500"/>
      <c r="AD143" s="500"/>
      <c r="AE143" s="500"/>
      <c r="AF143" s="1563">
        <v>11</v>
      </c>
    </row>
    <row r="144" spans="1:32" s="1563" customFormat="1" ht="11.45" customHeight="1">
      <c r="A144" s="913"/>
      <c r="B144" s="1558"/>
      <c r="C144" s="1558"/>
      <c r="D144" s="285"/>
      <c r="K144" s="1082"/>
      <c r="L144" s="1558"/>
      <c r="M144" s="1558"/>
      <c r="N144" s="1082"/>
      <c r="O144" s="1082"/>
      <c r="P144" s="1082"/>
      <c r="Q144" s="1082"/>
      <c r="R144" s="1558"/>
      <c r="S144" s="1082"/>
      <c r="T144" s="1082"/>
      <c r="U144" s="478"/>
      <c r="V144" s="1082"/>
      <c r="W144" s="1082"/>
      <c r="X144" s="1082"/>
      <c r="Y144" s="1082"/>
      <c r="Z144" s="1082"/>
      <c r="AA144" s="1554"/>
      <c r="AB144" s="500"/>
      <c r="AC144" s="500"/>
      <c r="AD144" s="500"/>
      <c r="AE144" s="500"/>
      <c r="AF144" s="1563">
        <v>11</v>
      </c>
    </row>
    <row r="145" spans="1:32" s="1563" customFormat="1" ht="11.45" customHeight="1">
      <c r="A145" s="913"/>
      <c r="B145" s="1558"/>
      <c r="C145" s="1558"/>
      <c r="D145" s="285"/>
      <c r="K145" s="1082"/>
      <c r="L145" s="1558"/>
      <c r="M145" s="1558"/>
      <c r="N145" s="1082"/>
      <c r="O145" s="1082"/>
      <c r="P145" s="1082"/>
      <c r="Q145" s="1082"/>
      <c r="R145" s="1558"/>
      <c r="S145" s="1082"/>
      <c r="T145" s="1082"/>
      <c r="U145" s="478"/>
      <c r="V145" s="1082"/>
      <c r="W145" s="1082"/>
      <c r="X145" s="1082"/>
      <c r="Y145" s="1082"/>
      <c r="Z145" s="1082"/>
      <c r="AA145" s="1554"/>
      <c r="AB145" s="500"/>
      <c r="AC145" s="500"/>
      <c r="AD145" s="500"/>
      <c r="AE145" s="500"/>
      <c r="AF145" s="1563">
        <v>11</v>
      </c>
    </row>
    <row r="146" spans="1:32" s="1563" customFormat="1" ht="11.45" customHeight="1">
      <c r="A146" s="913"/>
      <c r="B146" s="1558"/>
      <c r="C146" s="1558"/>
      <c r="D146" s="285"/>
      <c r="K146" s="1082"/>
      <c r="L146" s="1558"/>
      <c r="M146" s="1558"/>
      <c r="N146" s="1082"/>
      <c r="O146" s="1082"/>
      <c r="P146" s="1082"/>
      <c r="Q146" s="1082"/>
      <c r="R146" s="1558"/>
      <c r="S146" s="1082"/>
      <c r="T146" s="1082"/>
      <c r="U146" s="478"/>
      <c r="V146" s="1082"/>
      <c r="W146" s="1082"/>
      <c r="X146" s="1082"/>
      <c r="Y146" s="1082"/>
      <c r="Z146" s="1082"/>
      <c r="AA146" s="1554"/>
      <c r="AB146" s="500"/>
      <c r="AC146" s="500"/>
      <c r="AD146" s="500"/>
      <c r="AE146" s="500"/>
      <c r="AF146" s="1563">
        <v>11</v>
      </c>
    </row>
    <row r="147" spans="1:32" s="1563" customFormat="1" ht="11.45" customHeight="1">
      <c r="A147" s="913"/>
      <c r="B147" s="1558"/>
      <c r="C147" s="1558"/>
      <c r="D147" s="285"/>
      <c r="K147" s="1082"/>
      <c r="L147" s="1558"/>
      <c r="M147" s="1558"/>
      <c r="N147" s="1082"/>
      <c r="O147" s="1082"/>
      <c r="P147" s="1082"/>
      <c r="Q147" s="1082"/>
      <c r="R147" s="1558"/>
      <c r="S147" s="1082"/>
      <c r="T147" s="1082"/>
      <c r="U147" s="478"/>
      <c r="V147" s="1082"/>
      <c r="W147" s="1082"/>
      <c r="X147" s="1082"/>
      <c r="Y147" s="1082"/>
      <c r="Z147" s="1082"/>
      <c r="AA147" s="1554"/>
      <c r="AB147" s="500"/>
      <c r="AC147" s="500"/>
      <c r="AD147" s="500"/>
      <c r="AE147" s="500"/>
      <c r="AF147" s="1563">
        <v>11</v>
      </c>
    </row>
    <row r="148" spans="1:32" s="1563" customFormat="1" ht="11.45" customHeight="1">
      <c r="A148" s="913"/>
      <c r="B148" s="1558"/>
      <c r="C148" s="1558"/>
      <c r="D148" s="285"/>
      <c r="K148" s="1082"/>
      <c r="L148" s="1558"/>
      <c r="M148" s="1558"/>
      <c r="N148" s="1082"/>
      <c r="O148" s="1082"/>
      <c r="P148" s="1082"/>
      <c r="Q148" s="1082"/>
      <c r="R148" s="1558"/>
      <c r="S148" s="1082"/>
      <c r="T148" s="1082"/>
      <c r="U148" s="478"/>
      <c r="V148" s="1082"/>
      <c r="W148" s="1082"/>
      <c r="X148" s="1082"/>
      <c r="Y148" s="1082"/>
      <c r="Z148" s="1082"/>
      <c r="AA148" s="1554"/>
      <c r="AB148" s="500"/>
      <c r="AC148" s="500"/>
      <c r="AD148" s="500"/>
      <c r="AE148" s="500"/>
      <c r="AF148" s="1563">
        <v>11</v>
      </c>
    </row>
    <row r="149" spans="1:32" s="1563" customFormat="1" ht="11.45" customHeight="1">
      <c r="A149" s="913"/>
      <c r="B149" s="1558"/>
      <c r="C149" s="1558"/>
      <c r="D149" s="285"/>
      <c r="K149" s="1082"/>
      <c r="L149" s="1558"/>
      <c r="M149" s="1558"/>
      <c r="N149" s="1082"/>
      <c r="O149" s="1082"/>
      <c r="P149" s="1082"/>
      <c r="Q149" s="1082"/>
      <c r="R149" s="1558"/>
      <c r="S149" s="1082"/>
      <c r="T149" s="1082"/>
      <c r="U149" s="478"/>
      <c r="V149" s="1082"/>
      <c r="W149" s="1082"/>
      <c r="X149" s="1082"/>
      <c r="Y149" s="1082"/>
      <c r="Z149" s="1082"/>
      <c r="AA149" s="1554"/>
      <c r="AB149" s="500"/>
      <c r="AC149" s="500"/>
      <c r="AD149" s="500"/>
      <c r="AE149" s="500"/>
      <c r="AF149" s="1563">
        <v>11</v>
      </c>
    </row>
    <row r="150" spans="1:32" s="1563" customFormat="1" ht="11.45" customHeight="1">
      <c r="A150" s="913"/>
      <c r="B150" s="1558"/>
      <c r="C150" s="1558"/>
      <c r="D150" s="285"/>
      <c r="K150" s="1082"/>
      <c r="L150" s="1558"/>
      <c r="M150" s="1558"/>
      <c r="N150" s="1082"/>
      <c r="O150" s="1082"/>
      <c r="P150" s="1082"/>
      <c r="Q150" s="1082"/>
      <c r="R150" s="1558"/>
      <c r="S150" s="1082"/>
      <c r="T150" s="1082"/>
      <c r="U150" s="478"/>
      <c r="V150" s="1082"/>
      <c r="W150" s="1082"/>
      <c r="X150" s="1082"/>
      <c r="Y150" s="1082"/>
      <c r="Z150" s="1082"/>
      <c r="AA150" s="1554"/>
      <c r="AB150" s="500"/>
      <c r="AC150" s="500"/>
      <c r="AD150" s="500"/>
      <c r="AE150" s="500"/>
      <c r="AF150" s="1563">
        <v>11</v>
      </c>
    </row>
    <row r="151" spans="1:32" s="1563" customFormat="1" ht="11.45" customHeight="1">
      <c r="A151" s="913"/>
      <c r="B151" s="1558"/>
      <c r="C151" s="1558"/>
      <c r="D151" s="285"/>
      <c r="K151" s="1082"/>
      <c r="L151" s="1558"/>
      <c r="M151" s="1558"/>
      <c r="N151" s="1082"/>
      <c r="O151" s="1082"/>
      <c r="P151" s="1082"/>
      <c r="Q151" s="1082"/>
      <c r="R151" s="1558"/>
      <c r="S151" s="1082"/>
      <c r="T151" s="1082"/>
      <c r="U151" s="478"/>
      <c r="V151" s="1082"/>
      <c r="W151" s="1082"/>
      <c r="X151" s="1082"/>
      <c r="Y151" s="1082"/>
      <c r="Z151" s="1082"/>
      <c r="AA151" s="1554"/>
      <c r="AB151" s="500"/>
      <c r="AC151" s="500"/>
      <c r="AD151" s="500"/>
      <c r="AE151" s="500"/>
      <c r="AF151" s="1563">
        <v>11</v>
      </c>
    </row>
    <row r="152" spans="1:32" s="1563" customFormat="1" ht="11.45" customHeight="1">
      <c r="A152" s="913"/>
      <c r="B152" s="1558"/>
      <c r="C152" s="1558"/>
      <c r="D152" s="285"/>
      <c r="K152" s="1082"/>
      <c r="L152" s="1558"/>
      <c r="M152" s="1558"/>
      <c r="N152" s="1082"/>
      <c r="O152" s="1082"/>
      <c r="P152" s="1082"/>
      <c r="Q152" s="1082"/>
      <c r="R152" s="1558"/>
      <c r="S152" s="1082"/>
      <c r="T152" s="1082"/>
      <c r="U152" s="478"/>
      <c r="V152" s="1082"/>
      <c r="W152" s="1082"/>
      <c r="X152" s="1082"/>
      <c r="Y152" s="1082"/>
      <c r="Z152" s="1082"/>
      <c r="AA152" s="1554"/>
      <c r="AB152" s="500"/>
      <c r="AC152" s="500"/>
      <c r="AD152" s="500"/>
      <c r="AE152" s="500"/>
      <c r="AF152" s="1563">
        <v>11</v>
      </c>
    </row>
    <row r="153" spans="1:32" s="1563" customFormat="1" ht="11.45" customHeight="1">
      <c r="A153" s="913"/>
      <c r="B153" s="1558"/>
      <c r="C153" s="1558"/>
      <c r="D153" s="285"/>
      <c r="K153" s="1082"/>
      <c r="L153" s="1558"/>
      <c r="M153" s="1558"/>
      <c r="N153" s="1082"/>
      <c r="O153" s="1082"/>
      <c r="P153" s="1082"/>
      <c r="Q153" s="1082"/>
      <c r="R153" s="1558"/>
      <c r="S153" s="1082"/>
      <c r="T153" s="1082"/>
      <c r="U153" s="478"/>
      <c r="V153" s="1082"/>
      <c r="W153" s="1082"/>
      <c r="X153" s="1082"/>
      <c r="Y153" s="1082"/>
      <c r="Z153" s="1082"/>
      <c r="AA153" s="1554"/>
      <c r="AB153" s="500"/>
      <c r="AC153" s="500"/>
      <c r="AD153" s="500"/>
      <c r="AE153" s="500"/>
      <c r="AF153" s="1563">
        <v>11</v>
      </c>
    </row>
    <row r="154" spans="1:32" s="1563" customFormat="1" ht="11.45" customHeight="1">
      <c r="A154" s="913"/>
      <c r="B154" s="1558"/>
      <c r="C154" s="1558"/>
      <c r="D154" s="285"/>
      <c r="K154" s="1082"/>
      <c r="L154" s="1558"/>
      <c r="M154" s="1558"/>
      <c r="N154" s="1082"/>
      <c r="O154" s="1082"/>
      <c r="P154" s="1082"/>
      <c r="Q154" s="1082"/>
      <c r="R154" s="1558"/>
      <c r="S154" s="1082"/>
      <c r="T154" s="1082"/>
      <c r="U154" s="478"/>
      <c r="V154" s="1082"/>
      <c r="W154" s="1082"/>
      <c r="X154" s="1082"/>
      <c r="Y154" s="1082"/>
      <c r="Z154" s="1082"/>
      <c r="AA154" s="1554"/>
      <c r="AB154" s="500"/>
      <c r="AC154" s="500"/>
      <c r="AD154" s="500"/>
      <c r="AE154" s="500"/>
      <c r="AF154" s="1563">
        <v>11</v>
      </c>
    </row>
    <row r="155" spans="1:32" s="1563" customFormat="1" ht="11.45" customHeight="1">
      <c r="A155" s="913"/>
      <c r="B155" s="1558"/>
      <c r="C155" s="1558"/>
      <c r="D155" s="285"/>
      <c r="K155" s="1082"/>
      <c r="L155" s="1558"/>
      <c r="M155" s="1558"/>
      <c r="N155" s="1082"/>
      <c r="O155" s="1082"/>
      <c r="P155" s="1082"/>
      <c r="Q155" s="1082"/>
      <c r="R155" s="1558"/>
      <c r="S155" s="1082"/>
      <c r="T155" s="1082"/>
      <c r="U155" s="478"/>
      <c r="V155" s="1082"/>
      <c r="W155" s="1082"/>
      <c r="X155" s="1082"/>
      <c r="Y155" s="1082"/>
      <c r="Z155" s="1082"/>
      <c r="AA155" s="1554"/>
      <c r="AB155" s="500"/>
      <c r="AC155" s="500"/>
      <c r="AD155" s="500"/>
      <c r="AE155" s="500"/>
      <c r="AF155" s="1563">
        <v>11</v>
      </c>
    </row>
    <row r="156" spans="1:32" s="1563" customFormat="1" ht="11.45" customHeight="1">
      <c r="A156" s="913"/>
      <c r="B156" s="1558"/>
      <c r="C156" s="1558"/>
      <c r="D156" s="285"/>
      <c r="K156" s="1082"/>
      <c r="L156" s="1558"/>
      <c r="M156" s="1558"/>
      <c r="N156" s="1082"/>
      <c r="O156" s="1082"/>
      <c r="P156" s="1082"/>
      <c r="Q156" s="1082"/>
      <c r="R156" s="1558"/>
      <c r="S156" s="1082"/>
      <c r="T156" s="1082"/>
      <c r="U156" s="478"/>
      <c r="V156" s="1082"/>
      <c r="W156" s="1082"/>
      <c r="X156" s="1082"/>
      <c r="Y156" s="1082"/>
      <c r="Z156" s="1082"/>
      <c r="AA156" s="1554"/>
      <c r="AB156" s="500"/>
      <c r="AC156" s="500"/>
      <c r="AD156" s="500"/>
      <c r="AE156" s="500"/>
      <c r="AF156" s="1563">
        <v>11</v>
      </c>
    </row>
    <row r="157" spans="1:32" s="1563" customFormat="1" ht="11.45" customHeight="1">
      <c r="A157" s="913"/>
      <c r="B157" s="1558"/>
      <c r="C157" s="1558"/>
      <c r="D157" s="285"/>
      <c r="K157" s="1082"/>
      <c r="L157" s="1558"/>
      <c r="M157" s="1558"/>
      <c r="N157" s="1082"/>
      <c r="O157" s="1082"/>
      <c r="P157" s="1082"/>
      <c r="Q157" s="1082"/>
      <c r="R157" s="1558"/>
      <c r="S157" s="1082"/>
      <c r="T157" s="1082"/>
      <c r="U157" s="478"/>
      <c r="V157" s="1082"/>
      <c r="W157" s="1082"/>
      <c r="X157" s="1082"/>
      <c r="Y157" s="1082"/>
      <c r="Z157" s="1082"/>
      <c r="AA157" s="1554"/>
      <c r="AB157" s="500"/>
      <c r="AC157" s="500"/>
      <c r="AD157" s="500"/>
      <c r="AE157" s="500"/>
      <c r="AF157" s="1563">
        <v>11</v>
      </c>
    </row>
    <row r="158" spans="1:32" s="1563" customFormat="1" ht="11.45" customHeight="1">
      <c r="A158" s="913"/>
      <c r="B158" s="1558"/>
      <c r="C158" s="1558"/>
      <c r="D158" s="285"/>
      <c r="K158" s="1082"/>
      <c r="L158" s="1558"/>
      <c r="M158" s="1558"/>
      <c r="N158" s="1082"/>
      <c r="O158" s="1082"/>
      <c r="P158" s="1082"/>
      <c r="Q158" s="1082"/>
      <c r="R158" s="1558"/>
      <c r="S158" s="1082"/>
      <c r="T158" s="1082"/>
      <c r="U158" s="478"/>
      <c r="V158" s="1082"/>
      <c r="W158" s="1082"/>
      <c r="X158" s="1082"/>
      <c r="Y158" s="1082"/>
      <c r="Z158" s="1082"/>
      <c r="AA158" s="1554"/>
      <c r="AB158" s="500"/>
      <c r="AC158" s="500"/>
      <c r="AD158" s="500"/>
      <c r="AE158" s="500"/>
      <c r="AF158" s="1563">
        <v>11</v>
      </c>
    </row>
    <row r="159" spans="1:32" s="1563" customFormat="1" ht="11.45" customHeight="1">
      <c r="A159" s="913"/>
      <c r="B159" s="1558"/>
      <c r="C159" s="1558"/>
      <c r="D159" s="285"/>
      <c r="K159" s="1082"/>
      <c r="L159" s="1558"/>
      <c r="M159" s="1558"/>
      <c r="N159" s="1082"/>
      <c r="O159" s="1082"/>
      <c r="P159" s="1082"/>
      <c r="Q159" s="1082"/>
      <c r="R159" s="1558"/>
      <c r="S159" s="1082"/>
      <c r="T159" s="1082"/>
      <c r="U159" s="478"/>
      <c r="V159" s="1082"/>
      <c r="W159" s="1082"/>
      <c r="X159" s="1082"/>
      <c r="Y159" s="1082"/>
      <c r="Z159" s="1082"/>
      <c r="AA159" s="1554"/>
      <c r="AB159" s="500"/>
      <c r="AC159" s="500"/>
      <c r="AD159" s="500"/>
      <c r="AE159" s="500"/>
      <c r="AF159" s="1563">
        <v>11</v>
      </c>
    </row>
    <row r="160" spans="1:32" s="1563" customFormat="1" ht="11.45" customHeight="1">
      <c r="A160" s="913"/>
      <c r="B160" s="1558"/>
      <c r="C160" s="1558"/>
      <c r="D160" s="285"/>
      <c r="K160" s="1082"/>
      <c r="L160" s="1558"/>
      <c r="M160" s="1558"/>
      <c r="N160" s="1082"/>
      <c r="O160" s="1082"/>
      <c r="P160" s="1082"/>
      <c r="Q160" s="1082"/>
      <c r="R160" s="1558"/>
      <c r="S160" s="1082"/>
      <c r="T160" s="1082"/>
      <c r="U160" s="478"/>
      <c r="V160" s="1082"/>
      <c r="W160" s="1082"/>
      <c r="X160" s="1082"/>
      <c r="Y160" s="1082"/>
      <c r="Z160" s="1082"/>
      <c r="AA160" s="1554"/>
      <c r="AB160" s="500"/>
      <c r="AC160" s="500"/>
      <c r="AD160" s="500"/>
      <c r="AE160" s="500"/>
      <c r="AF160" s="1563">
        <v>11</v>
      </c>
    </row>
    <row r="161" spans="1:32" s="1563" customFormat="1" ht="11.45" customHeight="1">
      <c r="A161" s="913"/>
      <c r="B161" s="1558"/>
      <c r="C161" s="1558"/>
      <c r="D161" s="285"/>
      <c r="K161" s="1082"/>
      <c r="L161" s="1558"/>
      <c r="M161" s="1558"/>
      <c r="N161" s="1082"/>
      <c r="O161" s="1082"/>
      <c r="P161" s="1082"/>
      <c r="Q161" s="1082"/>
      <c r="R161" s="1558"/>
      <c r="S161" s="1082"/>
      <c r="T161" s="1082"/>
      <c r="U161" s="478"/>
      <c r="V161" s="1082"/>
      <c r="W161" s="1082"/>
      <c r="X161" s="1082"/>
      <c r="Y161" s="1082"/>
      <c r="Z161" s="1082"/>
      <c r="AA161" s="1554"/>
      <c r="AB161" s="500"/>
      <c r="AC161" s="500"/>
      <c r="AD161" s="500"/>
      <c r="AE161" s="500"/>
      <c r="AF161" s="1563">
        <v>11</v>
      </c>
    </row>
    <row r="162" spans="1:32" s="1563" customFormat="1" ht="11.45" customHeight="1">
      <c r="A162" s="913"/>
      <c r="B162" s="1558"/>
      <c r="C162" s="1558"/>
      <c r="D162" s="285"/>
      <c r="K162" s="1082"/>
      <c r="L162" s="1558"/>
      <c r="M162" s="1558"/>
      <c r="N162" s="1082"/>
      <c r="O162" s="1082"/>
      <c r="P162" s="1082"/>
      <c r="Q162" s="1082"/>
      <c r="R162" s="1558"/>
      <c r="S162" s="1082"/>
      <c r="T162" s="1082"/>
      <c r="U162" s="478"/>
      <c r="V162" s="1082"/>
      <c r="W162" s="1082"/>
      <c r="X162" s="1082"/>
      <c r="Y162" s="1082"/>
      <c r="Z162" s="1082"/>
      <c r="AA162" s="1554"/>
      <c r="AB162" s="500"/>
      <c r="AC162" s="500"/>
      <c r="AD162" s="500"/>
      <c r="AE162" s="500"/>
      <c r="AF162" s="1563">
        <v>11</v>
      </c>
    </row>
    <row r="163" spans="1:32" s="1563" customFormat="1" ht="11.45" customHeight="1">
      <c r="A163" s="913"/>
      <c r="B163" s="1558"/>
      <c r="C163" s="1558"/>
      <c r="D163" s="285"/>
      <c r="K163" s="1082"/>
      <c r="L163" s="1558"/>
      <c r="M163" s="1558"/>
      <c r="N163" s="1082"/>
      <c r="O163" s="1082"/>
      <c r="P163" s="1082"/>
      <c r="Q163" s="1082"/>
      <c r="R163" s="1558"/>
      <c r="S163" s="1082"/>
      <c r="T163" s="1082"/>
      <c r="U163" s="478"/>
      <c r="V163" s="1082"/>
      <c r="W163" s="1082"/>
      <c r="X163" s="1082"/>
      <c r="Y163" s="1082"/>
      <c r="Z163" s="1082"/>
      <c r="AA163" s="1554"/>
      <c r="AB163" s="500"/>
      <c r="AC163" s="500"/>
      <c r="AD163" s="500"/>
      <c r="AE163" s="500"/>
      <c r="AF163" s="1563">
        <v>11</v>
      </c>
    </row>
    <row r="164" spans="1:32" s="1563" customFormat="1" ht="11.45" customHeight="1">
      <c r="A164" s="913"/>
      <c r="B164" s="1558"/>
      <c r="C164" s="1558"/>
      <c r="D164" s="285"/>
      <c r="K164" s="1082"/>
      <c r="L164" s="1558"/>
      <c r="M164" s="1558"/>
      <c r="N164" s="1082"/>
      <c r="O164" s="1082"/>
      <c r="P164" s="1082"/>
      <c r="Q164" s="1082"/>
      <c r="R164" s="1558"/>
      <c r="S164" s="1082"/>
      <c r="T164" s="1082"/>
      <c r="U164" s="478"/>
      <c r="V164" s="1082"/>
      <c r="W164" s="1082"/>
      <c r="X164" s="1082"/>
      <c r="Y164" s="1082"/>
      <c r="Z164" s="1082"/>
      <c r="AA164" s="1554"/>
      <c r="AB164" s="500"/>
      <c r="AC164" s="500"/>
      <c r="AD164" s="500"/>
      <c r="AE164" s="500"/>
      <c r="AF164" s="1563">
        <v>11</v>
      </c>
    </row>
    <row r="165" spans="1:32" s="1563" customFormat="1" ht="11.45" customHeight="1">
      <c r="A165" s="913"/>
      <c r="B165" s="1558"/>
      <c r="C165" s="1558"/>
      <c r="D165" s="285"/>
      <c r="K165" s="1082"/>
      <c r="L165" s="1558"/>
      <c r="M165" s="1558"/>
      <c r="N165" s="1082"/>
      <c r="O165" s="1082"/>
      <c r="P165" s="1082"/>
      <c r="Q165" s="1082"/>
      <c r="R165" s="1558"/>
      <c r="S165" s="1082"/>
      <c r="T165" s="1082"/>
      <c r="U165" s="478"/>
      <c r="V165" s="1082"/>
      <c r="W165" s="1082"/>
      <c r="X165" s="1082"/>
      <c r="Y165" s="1082"/>
      <c r="Z165" s="1082"/>
      <c r="AA165" s="1554"/>
      <c r="AB165" s="500"/>
      <c r="AC165" s="500"/>
      <c r="AD165" s="500"/>
      <c r="AE165" s="500"/>
      <c r="AF165" s="1563">
        <v>11</v>
      </c>
    </row>
    <row r="166" spans="1:32" s="1563" customFormat="1" ht="11.45" customHeight="1">
      <c r="A166" s="913"/>
      <c r="B166" s="1558"/>
      <c r="C166" s="1558"/>
      <c r="D166" s="285"/>
      <c r="K166" s="1082"/>
      <c r="L166" s="1558"/>
      <c r="M166" s="1558"/>
      <c r="N166" s="1082"/>
      <c r="O166" s="1082"/>
      <c r="P166" s="1082"/>
      <c r="Q166" s="1082"/>
      <c r="R166" s="1558"/>
      <c r="S166" s="1082"/>
      <c r="T166" s="1082"/>
      <c r="U166" s="478"/>
      <c r="V166" s="1082"/>
      <c r="W166" s="1082"/>
      <c r="X166" s="1082"/>
      <c r="Y166" s="1082"/>
      <c r="Z166" s="1082"/>
      <c r="AA166" s="1554"/>
      <c r="AB166" s="500"/>
      <c r="AC166" s="500"/>
      <c r="AD166" s="500"/>
      <c r="AE166" s="500"/>
      <c r="AF166" s="1563">
        <v>11</v>
      </c>
    </row>
    <row r="167" spans="1:32" s="1563" customFormat="1" ht="11.45" customHeight="1">
      <c r="A167" s="913"/>
      <c r="B167" s="1558"/>
      <c r="C167" s="1558"/>
      <c r="D167" s="285"/>
      <c r="K167" s="1082"/>
      <c r="L167" s="1558"/>
      <c r="M167" s="1558"/>
      <c r="N167" s="1082"/>
      <c r="O167" s="1082"/>
      <c r="P167" s="1082"/>
      <c r="Q167" s="1082"/>
      <c r="R167" s="1558"/>
      <c r="S167" s="1082"/>
      <c r="T167" s="1082"/>
      <c r="U167" s="478"/>
      <c r="V167" s="1082"/>
      <c r="W167" s="1082"/>
      <c r="X167" s="1082"/>
      <c r="Y167" s="1082"/>
      <c r="Z167" s="1082"/>
      <c r="AA167" s="1554"/>
      <c r="AB167" s="500"/>
      <c r="AC167" s="500"/>
      <c r="AD167" s="500"/>
      <c r="AE167" s="500"/>
      <c r="AF167" s="1563">
        <v>11</v>
      </c>
    </row>
    <row r="168" spans="1:32" s="1563" customFormat="1" ht="11.45" customHeight="1">
      <c r="A168" s="913"/>
      <c r="B168" s="1558"/>
      <c r="C168" s="1558"/>
      <c r="D168" s="285"/>
      <c r="K168" s="1082"/>
      <c r="L168" s="1558"/>
      <c r="M168" s="1558"/>
      <c r="N168" s="1082"/>
      <c r="O168" s="1082"/>
      <c r="P168" s="1082"/>
      <c r="Q168" s="1082"/>
      <c r="R168" s="1558"/>
      <c r="S168" s="1082"/>
      <c r="T168" s="1082"/>
      <c r="U168" s="478"/>
      <c r="V168" s="1082"/>
      <c r="W168" s="1082"/>
      <c r="X168" s="1082"/>
      <c r="Y168" s="1082"/>
      <c r="Z168" s="1082"/>
      <c r="AA168" s="1554"/>
      <c r="AB168" s="500"/>
      <c r="AC168" s="500"/>
      <c r="AD168" s="500"/>
      <c r="AE168" s="500"/>
      <c r="AF168" s="1563">
        <v>11</v>
      </c>
    </row>
    <row r="169" spans="1:32" s="1563" customFormat="1" ht="11.45" customHeight="1">
      <c r="A169" s="913"/>
      <c r="B169" s="1558"/>
      <c r="C169" s="1558"/>
      <c r="D169" s="285"/>
      <c r="K169" s="1082"/>
      <c r="L169" s="1558"/>
      <c r="M169" s="1558"/>
      <c r="N169" s="1082"/>
      <c r="O169" s="1082"/>
      <c r="P169" s="1082"/>
      <c r="Q169" s="1082"/>
      <c r="R169" s="1558"/>
      <c r="S169" s="1082"/>
      <c r="T169" s="1082"/>
      <c r="U169" s="478"/>
      <c r="V169" s="1082"/>
      <c r="W169" s="1082"/>
      <c r="X169" s="1082"/>
      <c r="Y169" s="1082"/>
      <c r="Z169" s="1082"/>
      <c r="AA169" s="1554"/>
      <c r="AB169" s="500"/>
      <c r="AC169" s="500"/>
      <c r="AD169" s="500"/>
      <c r="AE169" s="500"/>
      <c r="AF169" s="1563">
        <v>11</v>
      </c>
    </row>
    <row r="170" spans="1:32" s="1563" customFormat="1" ht="11.45" customHeight="1">
      <c r="A170" s="913"/>
      <c r="B170" s="1558"/>
      <c r="C170" s="1558"/>
      <c r="D170" s="285"/>
      <c r="K170" s="1082"/>
      <c r="L170" s="1558"/>
      <c r="M170" s="1558"/>
      <c r="N170" s="1082"/>
      <c r="O170" s="1082"/>
      <c r="P170" s="1082"/>
      <c r="Q170" s="1082"/>
      <c r="R170" s="1558"/>
      <c r="S170" s="1082"/>
      <c r="T170" s="1082"/>
      <c r="U170" s="478"/>
      <c r="V170" s="1082"/>
      <c r="W170" s="1082"/>
      <c r="X170" s="1082"/>
      <c r="Y170" s="1082"/>
      <c r="Z170" s="1082"/>
      <c r="AA170" s="1554"/>
      <c r="AB170" s="500"/>
      <c r="AC170" s="500"/>
      <c r="AD170" s="500"/>
      <c r="AE170" s="500"/>
      <c r="AF170" s="1563">
        <v>11</v>
      </c>
    </row>
    <row r="171" spans="1:32" s="1563" customFormat="1" ht="11.45" customHeight="1">
      <c r="A171" s="913"/>
      <c r="B171" s="1558"/>
      <c r="C171" s="1558"/>
      <c r="D171" s="285"/>
      <c r="K171" s="1082"/>
      <c r="L171" s="1558"/>
      <c r="M171" s="1558"/>
      <c r="N171" s="1082"/>
      <c r="O171" s="1082"/>
      <c r="P171" s="1082"/>
      <c r="Q171" s="1082"/>
      <c r="R171" s="1558"/>
      <c r="S171" s="1082"/>
      <c r="T171" s="1082"/>
      <c r="U171" s="478"/>
      <c r="V171" s="1082"/>
      <c r="W171" s="1082"/>
      <c r="X171" s="1082"/>
      <c r="Y171" s="1082"/>
      <c r="Z171" s="1082"/>
      <c r="AA171" s="1554"/>
      <c r="AB171" s="500"/>
      <c r="AC171" s="500"/>
      <c r="AD171" s="500"/>
      <c r="AE171" s="500"/>
      <c r="AF171" s="1563">
        <v>11</v>
      </c>
    </row>
    <row r="172" spans="1:32" s="1563" customFormat="1" ht="11.45" customHeight="1">
      <c r="A172" s="913"/>
      <c r="B172" s="1558"/>
      <c r="C172" s="1558"/>
      <c r="D172" s="285"/>
      <c r="K172" s="1082"/>
      <c r="L172" s="1558"/>
      <c r="M172" s="1558"/>
      <c r="N172" s="1082"/>
      <c r="O172" s="1082"/>
      <c r="P172" s="1082"/>
      <c r="Q172" s="1082"/>
      <c r="R172" s="1558"/>
      <c r="S172" s="1082"/>
      <c r="T172" s="1082"/>
      <c r="U172" s="478"/>
      <c r="V172" s="1082"/>
      <c r="W172" s="1082"/>
      <c r="X172" s="1082"/>
      <c r="Y172" s="1082"/>
      <c r="Z172" s="1082"/>
      <c r="AA172" s="1554"/>
      <c r="AB172" s="500"/>
      <c r="AC172" s="500"/>
      <c r="AD172" s="500"/>
      <c r="AE172" s="500"/>
      <c r="AF172" s="1563">
        <v>11</v>
      </c>
    </row>
    <row r="173" spans="1:32" s="1563" customFormat="1" ht="11.45" customHeight="1">
      <c r="A173" s="913"/>
      <c r="B173" s="1558"/>
      <c r="C173" s="1558"/>
      <c r="D173" s="285"/>
      <c r="K173" s="1082"/>
      <c r="L173" s="1558"/>
      <c r="M173" s="1558"/>
      <c r="N173" s="1082"/>
      <c r="O173" s="1082"/>
      <c r="P173" s="1082"/>
      <c r="Q173" s="1082"/>
      <c r="R173" s="1558"/>
      <c r="S173" s="1082"/>
      <c r="T173" s="1082"/>
      <c r="U173" s="478"/>
      <c r="V173" s="1082"/>
      <c r="W173" s="1082"/>
      <c r="X173" s="1082"/>
      <c r="Y173" s="1082"/>
      <c r="Z173" s="1082"/>
      <c r="AA173" s="1554"/>
      <c r="AB173" s="500"/>
      <c r="AC173" s="500"/>
      <c r="AD173" s="500"/>
      <c r="AE173" s="500"/>
      <c r="AF173" s="1563">
        <v>11</v>
      </c>
    </row>
    <row r="174" spans="1:32" s="1563" customFormat="1" ht="11.45" customHeight="1">
      <c r="A174" s="913"/>
      <c r="B174" s="1558"/>
      <c r="C174" s="1558"/>
      <c r="D174" s="285"/>
      <c r="K174" s="1082"/>
      <c r="L174" s="1558"/>
      <c r="M174" s="1558"/>
      <c r="N174" s="1082"/>
      <c r="O174" s="1082"/>
      <c r="P174" s="1082"/>
      <c r="Q174" s="1082"/>
      <c r="R174" s="1558"/>
      <c r="S174" s="1082"/>
      <c r="T174" s="1082"/>
      <c r="U174" s="478"/>
      <c r="V174" s="1082"/>
      <c r="W174" s="1082"/>
      <c r="X174" s="1082"/>
      <c r="Y174" s="1082"/>
      <c r="Z174" s="1082"/>
      <c r="AA174" s="1554"/>
      <c r="AB174" s="500"/>
      <c r="AC174" s="500"/>
      <c r="AD174" s="500"/>
      <c r="AE174" s="500"/>
      <c r="AF174" s="1563">
        <v>11</v>
      </c>
    </row>
    <row r="175" spans="1:32" s="1563" customFormat="1" ht="11.45" customHeight="1">
      <c r="A175" s="913"/>
      <c r="B175" s="1558"/>
      <c r="C175" s="1558"/>
      <c r="D175" s="285"/>
      <c r="K175" s="1082"/>
      <c r="L175" s="1558"/>
      <c r="M175" s="1558"/>
      <c r="N175" s="1082"/>
      <c r="O175" s="1082"/>
      <c r="P175" s="1082"/>
      <c r="Q175" s="1082"/>
      <c r="R175" s="1558"/>
      <c r="S175" s="1082"/>
      <c r="T175" s="1082"/>
      <c r="U175" s="478"/>
      <c r="V175" s="1082"/>
      <c r="W175" s="1082"/>
      <c r="X175" s="1082"/>
      <c r="Y175" s="1082"/>
      <c r="Z175" s="1082"/>
      <c r="AA175" s="1554"/>
      <c r="AB175" s="500"/>
      <c r="AC175" s="500"/>
      <c r="AD175" s="500"/>
      <c r="AE175" s="500"/>
      <c r="AF175" s="1563">
        <v>11</v>
      </c>
    </row>
    <row r="176" spans="1:32" s="1563" customFormat="1" ht="11.45" customHeight="1">
      <c r="A176" s="913"/>
      <c r="B176" s="1558"/>
      <c r="C176" s="1558"/>
      <c r="D176" s="285"/>
      <c r="K176" s="1082"/>
      <c r="L176" s="1558"/>
      <c r="M176" s="1558"/>
      <c r="N176" s="1082"/>
      <c r="O176" s="1082"/>
      <c r="P176" s="1082"/>
      <c r="Q176" s="1082"/>
      <c r="R176" s="1558"/>
      <c r="S176" s="1082"/>
      <c r="T176" s="1082"/>
      <c r="U176" s="478"/>
      <c r="V176" s="1082"/>
      <c r="W176" s="1082"/>
      <c r="X176" s="1082"/>
      <c r="Y176" s="1082"/>
      <c r="Z176" s="1082"/>
      <c r="AA176" s="1554"/>
      <c r="AB176" s="500"/>
      <c r="AC176" s="500"/>
      <c r="AD176" s="500"/>
      <c r="AE176" s="500"/>
      <c r="AF176" s="1563">
        <v>11</v>
      </c>
    </row>
    <row r="177" spans="1:32" s="1563" customFormat="1" ht="11.45" customHeight="1">
      <c r="A177" s="913"/>
      <c r="B177" s="1558"/>
      <c r="C177" s="1558"/>
      <c r="D177" s="285"/>
      <c r="K177" s="1082"/>
      <c r="L177" s="1558"/>
      <c r="M177" s="1558"/>
      <c r="N177" s="1082"/>
      <c r="O177" s="1082"/>
      <c r="P177" s="1082"/>
      <c r="Q177" s="1082"/>
      <c r="R177" s="1558"/>
      <c r="S177" s="1082"/>
      <c r="T177" s="1082"/>
      <c r="U177" s="478"/>
      <c r="V177" s="1082"/>
      <c r="W177" s="1082"/>
      <c r="X177" s="1082"/>
      <c r="Y177" s="1082"/>
      <c r="Z177" s="1082"/>
      <c r="AA177" s="1554"/>
      <c r="AB177" s="500"/>
      <c r="AC177" s="500"/>
      <c r="AD177" s="500"/>
      <c r="AE177" s="500"/>
      <c r="AF177" s="1563">
        <v>11</v>
      </c>
    </row>
    <row r="178" spans="1:32" s="1563" customFormat="1" ht="11.45" customHeight="1">
      <c r="A178" s="913"/>
      <c r="B178" s="1558"/>
      <c r="C178" s="1558"/>
      <c r="D178" s="285"/>
      <c r="K178" s="1082"/>
      <c r="L178" s="1558"/>
      <c r="M178" s="1558"/>
      <c r="N178" s="1082"/>
      <c r="O178" s="1082"/>
      <c r="P178" s="1082"/>
      <c r="Q178" s="1082"/>
      <c r="R178" s="1558"/>
      <c r="S178" s="1082"/>
      <c r="T178" s="1082"/>
      <c r="U178" s="478"/>
      <c r="V178" s="1082"/>
      <c r="W178" s="1082"/>
      <c r="X178" s="1082"/>
      <c r="Y178" s="1082"/>
      <c r="Z178" s="1082"/>
      <c r="AA178" s="1554"/>
      <c r="AB178" s="500"/>
      <c r="AC178" s="500"/>
      <c r="AD178" s="500"/>
      <c r="AE178" s="500"/>
      <c r="AF178" s="1563">
        <v>11</v>
      </c>
    </row>
    <row r="179" spans="1:32" s="1563" customFormat="1" ht="11.45" customHeight="1">
      <c r="A179" s="913"/>
      <c r="B179" s="1558"/>
      <c r="C179" s="1558"/>
      <c r="D179" s="285"/>
      <c r="K179" s="1082"/>
      <c r="L179" s="1558"/>
      <c r="M179" s="1558"/>
      <c r="N179" s="1082"/>
      <c r="O179" s="1082"/>
      <c r="P179" s="1082"/>
      <c r="Q179" s="1082"/>
      <c r="R179" s="1558"/>
      <c r="S179" s="1082"/>
      <c r="T179" s="1082"/>
      <c r="U179" s="478"/>
      <c r="V179" s="1082"/>
      <c r="W179" s="1082"/>
      <c r="X179" s="1082"/>
      <c r="Y179" s="1082"/>
      <c r="Z179" s="1082"/>
      <c r="AA179" s="1554"/>
      <c r="AB179" s="500"/>
      <c r="AC179" s="500"/>
      <c r="AD179" s="500"/>
      <c r="AE179" s="500"/>
      <c r="AF179" s="1563">
        <v>11</v>
      </c>
    </row>
    <row r="180" spans="1:32" s="1563" customFormat="1" ht="11.45" customHeight="1">
      <c r="A180" s="913"/>
      <c r="B180" s="1558"/>
      <c r="C180" s="1558"/>
      <c r="D180" s="285"/>
      <c r="K180" s="1082"/>
      <c r="L180" s="1558"/>
      <c r="M180" s="1558"/>
      <c r="N180" s="1082"/>
      <c r="O180" s="1082"/>
      <c r="P180" s="1082"/>
      <c r="Q180" s="1082"/>
      <c r="R180" s="1558"/>
      <c r="S180" s="1082"/>
      <c r="T180" s="1082"/>
      <c r="U180" s="478"/>
      <c r="V180" s="1082"/>
      <c r="W180" s="1082"/>
      <c r="X180" s="1082"/>
      <c r="Y180" s="1082"/>
      <c r="Z180" s="1082"/>
      <c r="AA180" s="1554"/>
      <c r="AB180" s="500"/>
      <c r="AC180" s="500"/>
      <c r="AD180" s="500"/>
      <c r="AE180" s="500"/>
      <c r="AF180" s="1563">
        <v>11</v>
      </c>
    </row>
    <row r="181" spans="1:32" s="1563" customFormat="1" ht="11.45" customHeight="1">
      <c r="A181" s="913"/>
      <c r="B181" s="1558"/>
      <c r="C181" s="1558"/>
      <c r="D181" s="285"/>
      <c r="K181" s="1082"/>
      <c r="L181" s="1558"/>
      <c r="M181" s="1558"/>
      <c r="N181" s="1082"/>
      <c r="O181" s="1082"/>
      <c r="P181" s="1082"/>
      <c r="Q181" s="1082"/>
      <c r="R181" s="1558"/>
      <c r="S181" s="1082"/>
      <c r="T181" s="1082"/>
      <c r="U181" s="478"/>
      <c r="V181" s="1082"/>
      <c r="W181" s="1082"/>
      <c r="X181" s="1082"/>
      <c r="Y181" s="1082"/>
      <c r="Z181" s="1082"/>
      <c r="AA181" s="1554"/>
      <c r="AB181" s="500"/>
      <c r="AC181" s="500"/>
      <c r="AD181" s="500"/>
      <c r="AE181" s="500"/>
      <c r="AF181" s="1563">
        <v>11</v>
      </c>
    </row>
    <row r="182" spans="1:32" s="1563" customFormat="1" ht="11.45" customHeight="1">
      <c r="A182" s="913"/>
      <c r="B182" s="1558"/>
      <c r="C182" s="1558"/>
      <c r="D182" s="285"/>
      <c r="K182" s="1082"/>
      <c r="L182" s="1558"/>
      <c r="M182" s="1558"/>
      <c r="N182" s="1082"/>
      <c r="O182" s="1082"/>
      <c r="P182" s="1082"/>
      <c r="Q182" s="1082"/>
      <c r="R182" s="1558"/>
      <c r="S182" s="1082"/>
      <c r="T182" s="1082"/>
      <c r="U182" s="478"/>
      <c r="V182" s="1082"/>
      <c r="W182" s="1082"/>
      <c r="X182" s="1082"/>
      <c r="Y182" s="1082"/>
      <c r="Z182" s="1082"/>
      <c r="AA182" s="1554"/>
      <c r="AB182" s="500"/>
      <c r="AC182" s="500"/>
      <c r="AD182" s="500"/>
      <c r="AE182" s="500"/>
      <c r="AF182" s="1563">
        <v>11</v>
      </c>
    </row>
    <row r="183" spans="1:32" s="1563" customFormat="1" ht="11.45" customHeight="1">
      <c r="A183" s="913"/>
      <c r="B183" s="1558"/>
      <c r="C183" s="1558"/>
      <c r="D183" s="285"/>
      <c r="K183" s="1082"/>
      <c r="L183" s="1558"/>
      <c r="M183" s="1558"/>
      <c r="N183" s="1082"/>
      <c r="O183" s="1082"/>
      <c r="P183" s="1082"/>
      <c r="Q183" s="1082"/>
      <c r="R183" s="1558"/>
      <c r="S183" s="1082"/>
      <c r="T183" s="1082"/>
      <c r="U183" s="478"/>
      <c r="V183" s="1082"/>
      <c r="W183" s="1082"/>
      <c r="X183" s="1082"/>
      <c r="Y183" s="1082"/>
      <c r="Z183" s="1082"/>
      <c r="AA183" s="1554"/>
      <c r="AB183" s="500"/>
      <c r="AC183" s="500"/>
      <c r="AD183" s="500"/>
      <c r="AE183" s="500"/>
      <c r="AF183" s="1563">
        <v>11</v>
      </c>
    </row>
    <row r="184" spans="1:32" s="1563" customFormat="1" ht="11.45" customHeight="1">
      <c r="A184" s="913"/>
      <c r="B184" s="1558"/>
      <c r="C184" s="1558"/>
      <c r="D184" s="285"/>
      <c r="K184" s="1082"/>
      <c r="L184" s="1558"/>
      <c r="M184" s="1558"/>
      <c r="N184" s="1082"/>
      <c r="O184" s="1082"/>
      <c r="P184" s="1082"/>
      <c r="Q184" s="1082"/>
      <c r="R184" s="1558"/>
      <c r="S184" s="1082"/>
      <c r="T184" s="1082"/>
      <c r="U184" s="478"/>
      <c r="V184" s="1082"/>
      <c r="W184" s="1082"/>
      <c r="X184" s="1082"/>
      <c r="Y184" s="1082"/>
      <c r="Z184" s="1082"/>
      <c r="AA184" s="1554"/>
      <c r="AB184" s="500"/>
      <c r="AC184" s="500"/>
      <c r="AD184" s="500"/>
      <c r="AE184" s="500"/>
      <c r="AF184" s="1563">
        <v>11</v>
      </c>
    </row>
    <row r="185" spans="1:32" s="1563" customFormat="1" ht="11.45" customHeight="1">
      <c r="A185" s="913"/>
      <c r="B185" s="1558"/>
      <c r="C185" s="1558"/>
      <c r="D185" s="285"/>
      <c r="K185" s="1082"/>
      <c r="L185" s="1558"/>
      <c r="M185" s="1558"/>
      <c r="N185" s="1082"/>
      <c r="O185" s="1082"/>
      <c r="P185" s="1082"/>
      <c r="Q185" s="1082"/>
      <c r="R185" s="1558"/>
      <c r="S185" s="1082"/>
      <c r="T185" s="1082"/>
      <c r="U185" s="478"/>
      <c r="V185" s="1082"/>
      <c r="W185" s="1082"/>
      <c r="X185" s="1082"/>
      <c r="Y185" s="1082"/>
      <c r="Z185" s="1082"/>
      <c r="AA185" s="1554"/>
      <c r="AB185" s="500"/>
      <c r="AC185" s="500"/>
      <c r="AD185" s="500"/>
      <c r="AE185" s="500"/>
      <c r="AF185" s="1563">
        <v>11</v>
      </c>
    </row>
    <row r="186" spans="1:32" s="1563" customFormat="1" ht="11.45" customHeight="1">
      <c r="A186" s="913"/>
      <c r="B186" s="1558"/>
      <c r="C186" s="1558"/>
      <c r="D186" s="285"/>
      <c r="K186" s="1082"/>
      <c r="L186" s="1558"/>
      <c r="M186" s="1558"/>
      <c r="N186" s="1082"/>
      <c r="O186" s="1082"/>
      <c r="P186" s="1082"/>
      <c r="Q186" s="1082"/>
      <c r="R186" s="1558"/>
      <c r="S186" s="1082"/>
      <c r="T186" s="1082"/>
      <c r="U186" s="478"/>
      <c r="V186" s="1082"/>
      <c r="W186" s="1082"/>
      <c r="X186" s="1082"/>
      <c r="Y186" s="1082"/>
      <c r="Z186" s="1082"/>
      <c r="AA186" s="1554"/>
      <c r="AB186" s="500"/>
      <c r="AC186" s="500"/>
      <c r="AD186" s="500"/>
      <c r="AE186" s="500"/>
      <c r="AF186" s="1563">
        <v>11</v>
      </c>
    </row>
    <row r="187" spans="1:32" s="1563" customFormat="1" ht="11.45" customHeight="1">
      <c r="A187" s="913"/>
      <c r="B187" s="1558"/>
      <c r="C187" s="1558"/>
      <c r="D187" s="285"/>
      <c r="K187" s="1082"/>
      <c r="L187" s="1558"/>
      <c r="M187" s="1558"/>
      <c r="N187" s="1082"/>
      <c r="O187" s="1082"/>
      <c r="P187" s="1082"/>
      <c r="Q187" s="1082"/>
      <c r="R187" s="1558"/>
      <c r="S187" s="1082"/>
      <c r="T187" s="1082"/>
      <c r="U187" s="478"/>
      <c r="V187" s="1082"/>
      <c r="W187" s="1082"/>
      <c r="X187" s="1082"/>
      <c r="Y187" s="1082"/>
      <c r="Z187" s="1082"/>
      <c r="AA187" s="1554"/>
      <c r="AB187" s="500"/>
      <c r="AC187" s="500"/>
      <c r="AD187" s="500"/>
      <c r="AE187" s="500"/>
      <c r="AF187" s="1563">
        <v>11</v>
      </c>
    </row>
    <row r="188" spans="1:32" s="1563" customFormat="1" ht="11.45" customHeight="1">
      <c r="A188" s="913"/>
      <c r="B188" s="1558"/>
      <c r="C188" s="1558"/>
      <c r="D188" s="285"/>
      <c r="K188" s="1082"/>
      <c r="L188" s="1558"/>
      <c r="M188" s="1558"/>
      <c r="N188" s="1082"/>
      <c r="O188" s="1082"/>
      <c r="P188" s="1082"/>
      <c r="Q188" s="1082"/>
      <c r="R188" s="1558"/>
      <c r="S188" s="1082"/>
      <c r="T188" s="1082"/>
      <c r="U188" s="478"/>
      <c r="V188" s="1082"/>
      <c r="W188" s="1082"/>
      <c r="X188" s="1082"/>
      <c r="Y188" s="1082"/>
      <c r="Z188" s="1082"/>
      <c r="AA188" s="1554"/>
      <c r="AB188" s="500"/>
      <c r="AC188" s="500"/>
      <c r="AD188" s="500"/>
      <c r="AE188" s="500"/>
      <c r="AF188" s="1563">
        <v>11</v>
      </c>
    </row>
    <row r="189" spans="1:32" s="1563" customFormat="1" ht="11.45" customHeight="1">
      <c r="A189" s="913"/>
      <c r="B189" s="1558"/>
      <c r="C189" s="1558"/>
      <c r="D189" s="285"/>
      <c r="K189" s="1082"/>
      <c r="L189" s="1558"/>
      <c r="M189" s="1558"/>
      <c r="N189" s="1082"/>
      <c r="O189" s="1082"/>
      <c r="P189" s="1082"/>
      <c r="Q189" s="1082"/>
      <c r="R189" s="1558"/>
      <c r="S189" s="1082"/>
      <c r="T189" s="1082"/>
      <c r="U189" s="478"/>
      <c r="V189" s="1082"/>
      <c r="W189" s="1082"/>
      <c r="X189" s="1082"/>
      <c r="Y189" s="1082"/>
      <c r="Z189" s="1082"/>
      <c r="AA189" s="1554"/>
      <c r="AB189" s="500"/>
      <c r="AC189" s="500"/>
      <c r="AD189" s="500"/>
      <c r="AE189" s="500"/>
      <c r="AF189" s="1563">
        <v>11</v>
      </c>
    </row>
    <row r="190" spans="1:32" s="1563" customFormat="1" ht="11.45" customHeight="1">
      <c r="A190" s="913"/>
      <c r="B190" s="1558"/>
      <c r="C190" s="1558"/>
      <c r="D190" s="285"/>
      <c r="K190" s="1082"/>
      <c r="L190" s="1558"/>
      <c r="M190" s="1558"/>
      <c r="N190" s="1082"/>
      <c r="O190" s="1082"/>
      <c r="P190" s="1082"/>
      <c r="Q190" s="1082"/>
      <c r="R190" s="1558"/>
      <c r="S190" s="1082"/>
      <c r="T190" s="1082"/>
      <c r="U190" s="478"/>
      <c r="V190" s="1082"/>
      <c r="W190" s="1082"/>
      <c r="X190" s="1082"/>
      <c r="Y190" s="1082"/>
      <c r="Z190" s="1082"/>
      <c r="AA190" s="1554"/>
      <c r="AB190" s="500"/>
      <c r="AC190" s="500"/>
      <c r="AD190" s="500"/>
      <c r="AE190" s="500"/>
      <c r="AF190" s="1563">
        <v>11</v>
      </c>
    </row>
    <row r="191" spans="1:32" s="1563" customFormat="1" ht="11.45" customHeight="1">
      <c r="A191" s="913"/>
      <c r="B191" s="1558"/>
      <c r="C191" s="1558"/>
      <c r="D191" s="285"/>
      <c r="K191" s="1082"/>
      <c r="L191" s="1558"/>
      <c r="M191" s="1558"/>
      <c r="N191" s="1082"/>
      <c r="O191" s="1082"/>
      <c r="P191" s="1082"/>
      <c r="Q191" s="1082"/>
      <c r="R191" s="1558"/>
      <c r="S191" s="1082"/>
      <c r="T191" s="1082"/>
      <c r="U191" s="478"/>
      <c r="V191" s="1082"/>
      <c r="W191" s="1082"/>
      <c r="X191" s="1082"/>
      <c r="Y191" s="1082"/>
      <c r="Z191" s="1082"/>
      <c r="AA191" s="1554"/>
      <c r="AB191" s="500"/>
      <c r="AC191" s="500"/>
      <c r="AD191" s="500"/>
      <c r="AE191" s="500"/>
      <c r="AF191" s="1563">
        <v>11</v>
      </c>
    </row>
    <row r="192" spans="1:32" s="1563" customFormat="1" ht="11.45" customHeight="1">
      <c r="A192" s="913"/>
      <c r="B192" s="1558"/>
      <c r="C192" s="1558"/>
      <c r="D192" s="285"/>
      <c r="K192" s="1082"/>
      <c r="L192" s="1558"/>
      <c r="M192" s="1558"/>
      <c r="N192" s="1082"/>
      <c r="O192" s="1082"/>
      <c r="P192" s="1082"/>
      <c r="Q192" s="1082"/>
      <c r="R192" s="1558"/>
      <c r="S192" s="1082"/>
      <c r="T192" s="1082"/>
      <c r="U192" s="478"/>
      <c r="V192" s="1082"/>
      <c r="W192" s="1082"/>
      <c r="X192" s="1082"/>
      <c r="Y192" s="1082"/>
      <c r="Z192" s="1082"/>
      <c r="AA192" s="1554"/>
      <c r="AB192" s="500"/>
      <c r="AC192" s="500"/>
      <c r="AD192" s="500"/>
      <c r="AE192" s="500"/>
      <c r="AF192" s="1563">
        <v>11</v>
      </c>
    </row>
    <row r="193" spans="1:32" s="1563" customFormat="1" ht="11.45" customHeight="1">
      <c r="A193" s="913"/>
      <c r="B193" s="1558"/>
      <c r="C193" s="1558"/>
      <c r="D193" s="285"/>
      <c r="K193" s="1082"/>
      <c r="L193" s="1558"/>
      <c r="M193" s="1558"/>
      <c r="N193" s="1082"/>
      <c r="O193" s="1082"/>
      <c r="P193" s="1082"/>
      <c r="Q193" s="1082"/>
      <c r="R193" s="1558"/>
      <c r="S193" s="1082"/>
      <c r="T193" s="1082"/>
      <c r="U193" s="478"/>
      <c r="V193" s="1082"/>
      <c r="W193" s="1082"/>
      <c r="X193" s="1082"/>
      <c r="Y193" s="1082"/>
      <c r="Z193" s="1082"/>
      <c r="AA193" s="1554"/>
      <c r="AB193" s="500"/>
      <c r="AC193" s="500"/>
      <c r="AD193" s="500"/>
      <c r="AE193" s="500"/>
      <c r="AF193" s="1563">
        <v>11</v>
      </c>
    </row>
    <row r="194" spans="1:32" s="1563" customFormat="1" ht="11.45" customHeight="1">
      <c r="A194" s="913"/>
      <c r="B194" s="1558"/>
      <c r="C194" s="1558"/>
      <c r="D194" s="285"/>
      <c r="K194" s="1082"/>
      <c r="L194" s="1558"/>
      <c r="M194" s="1558"/>
      <c r="N194" s="1082"/>
      <c r="O194" s="1082"/>
      <c r="P194" s="1082"/>
      <c r="Q194" s="1082"/>
      <c r="R194" s="1558"/>
      <c r="S194" s="1082"/>
      <c r="T194" s="1082"/>
      <c r="U194" s="478"/>
      <c r="V194" s="1082"/>
      <c r="W194" s="1082"/>
      <c r="X194" s="1082"/>
      <c r="Y194" s="1082"/>
      <c r="Z194" s="1082"/>
      <c r="AA194" s="1554"/>
      <c r="AB194" s="500"/>
      <c r="AC194" s="500"/>
      <c r="AD194" s="500"/>
      <c r="AE194" s="500"/>
      <c r="AF194" s="1563">
        <v>11</v>
      </c>
    </row>
    <row r="195" spans="1:32" s="1563" customFormat="1" ht="11.45" customHeight="1">
      <c r="A195" s="913"/>
      <c r="B195" s="1558"/>
      <c r="C195" s="1558"/>
      <c r="D195" s="285"/>
      <c r="K195" s="1082"/>
      <c r="L195" s="1558"/>
      <c r="M195" s="1558"/>
      <c r="N195" s="1082"/>
      <c r="O195" s="1082"/>
      <c r="P195" s="1082"/>
      <c r="Q195" s="1082"/>
      <c r="R195" s="1558"/>
      <c r="S195" s="1082"/>
      <c r="T195" s="1082"/>
      <c r="U195" s="478"/>
      <c r="V195" s="1082"/>
      <c r="W195" s="1082"/>
      <c r="X195" s="1082"/>
      <c r="Y195" s="1082"/>
      <c r="Z195" s="1082"/>
      <c r="AA195" s="1554"/>
      <c r="AB195" s="500"/>
      <c r="AC195" s="500"/>
      <c r="AD195" s="500"/>
      <c r="AE195" s="500"/>
      <c r="AF195" s="1563">
        <v>11</v>
      </c>
    </row>
    <row r="196" spans="1:32" s="1563" customFormat="1" ht="11.45" customHeight="1">
      <c r="A196" s="913"/>
      <c r="B196" s="1558"/>
      <c r="C196" s="1558"/>
      <c r="D196" s="285"/>
      <c r="K196" s="1082"/>
      <c r="L196" s="1558"/>
      <c r="M196" s="1558"/>
      <c r="N196" s="1082"/>
      <c r="O196" s="1082"/>
      <c r="P196" s="1082"/>
      <c r="Q196" s="1082"/>
      <c r="R196" s="1558"/>
      <c r="S196" s="1082"/>
      <c r="T196" s="1082"/>
      <c r="U196" s="478"/>
      <c r="V196" s="1082"/>
      <c r="W196" s="1082"/>
      <c r="X196" s="1082"/>
      <c r="Y196" s="1082"/>
      <c r="Z196" s="1082"/>
      <c r="AA196" s="1554"/>
      <c r="AB196" s="500"/>
      <c r="AC196" s="500"/>
      <c r="AD196" s="500"/>
      <c r="AE196" s="500"/>
      <c r="AF196" s="1563">
        <v>11</v>
      </c>
    </row>
    <row r="197" spans="1:32" s="1563" customFormat="1" ht="11.45" customHeight="1">
      <c r="A197" s="913"/>
      <c r="B197" s="1558"/>
      <c r="C197" s="1558"/>
      <c r="D197" s="285"/>
      <c r="K197" s="1082"/>
      <c r="L197" s="1558"/>
      <c r="M197" s="1558"/>
      <c r="N197" s="1082"/>
      <c r="O197" s="1082"/>
      <c r="P197" s="1082"/>
      <c r="Q197" s="1082"/>
      <c r="R197" s="1558"/>
      <c r="S197" s="1082"/>
      <c r="T197" s="1082"/>
      <c r="U197" s="478"/>
      <c r="V197" s="1082"/>
      <c r="W197" s="1082"/>
      <c r="X197" s="1082"/>
      <c r="Y197" s="1082"/>
      <c r="Z197" s="1082"/>
      <c r="AA197" s="1554"/>
      <c r="AB197" s="500"/>
      <c r="AC197" s="500"/>
      <c r="AD197" s="500"/>
      <c r="AE197" s="500"/>
      <c r="AF197" s="1563">
        <v>11</v>
      </c>
    </row>
    <row r="198" spans="1:32" s="1563" customFormat="1" ht="11.45" customHeight="1">
      <c r="A198" s="913"/>
      <c r="B198" s="1558"/>
      <c r="C198" s="1558"/>
      <c r="D198" s="285"/>
      <c r="K198" s="1082"/>
      <c r="L198" s="1558"/>
      <c r="M198" s="1558"/>
      <c r="N198" s="1082"/>
      <c r="O198" s="1082"/>
      <c r="P198" s="1082"/>
      <c r="Q198" s="1082"/>
      <c r="R198" s="1558"/>
      <c r="S198" s="1082"/>
      <c r="T198" s="1082"/>
      <c r="U198" s="478"/>
      <c r="V198" s="1082"/>
      <c r="W198" s="1082"/>
      <c r="X198" s="1082"/>
      <c r="Y198" s="1082"/>
      <c r="Z198" s="1082"/>
      <c r="AA198" s="1554"/>
      <c r="AB198" s="500"/>
      <c r="AC198" s="500"/>
      <c r="AD198" s="500"/>
      <c r="AE198" s="500"/>
      <c r="AF198" s="1563">
        <v>11</v>
      </c>
    </row>
    <row r="199" spans="1:32" s="1563" customFormat="1" ht="11.45" customHeight="1">
      <c r="A199" s="913"/>
      <c r="B199" s="1558"/>
      <c r="C199" s="1558"/>
      <c r="D199" s="285"/>
      <c r="K199" s="1082"/>
      <c r="L199" s="1558"/>
      <c r="M199" s="1558"/>
      <c r="N199" s="1082"/>
      <c r="O199" s="1082"/>
      <c r="P199" s="1082"/>
      <c r="Q199" s="1082"/>
      <c r="R199" s="1558"/>
      <c r="S199" s="1082"/>
      <c r="T199" s="1082"/>
      <c r="U199" s="478"/>
      <c r="V199" s="1082"/>
      <c r="W199" s="1082"/>
      <c r="X199" s="1082"/>
      <c r="Y199" s="1082"/>
      <c r="Z199" s="1082"/>
      <c r="AA199" s="1554"/>
      <c r="AB199" s="500"/>
      <c r="AC199" s="500"/>
      <c r="AD199" s="500"/>
      <c r="AE199" s="500"/>
      <c r="AF199" s="1563">
        <v>11</v>
      </c>
    </row>
    <row r="200" spans="1:32" s="1563" customFormat="1" ht="11.45" customHeight="1">
      <c r="A200" s="913"/>
      <c r="B200" s="1558"/>
      <c r="C200" s="1558"/>
      <c r="D200" s="285"/>
      <c r="K200" s="1082"/>
      <c r="L200" s="1558"/>
      <c r="M200" s="1558"/>
      <c r="N200" s="1082"/>
      <c r="O200" s="1082"/>
      <c r="P200" s="1082"/>
      <c r="Q200" s="1082"/>
      <c r="R200" s="1558"/>
      <c r="S200" s="1082"/>
      <c r="T200" s="1082"/>
      <c r="U200" s="478"/>
      <c r="V200" s="1082"/>
      <c r="W200" s="1082"/>
      <c r="X200" s="1082"/>
      <c r="Y200" s="1082"/>
      <c r="Z200" s="1082"/>
      <c r="AA200" s="1554"/>
      <c r="AB200" s="500"/>
      <c r="AC200" s="500"/>
      <c r="AD200" s="500"/>
      <c r="AE200" s="500"/>
      <c r="AF200" s="1563">
        <v>11</v>
      </c>
    </row>
    <row r="201" spans="1:32" s="1563" customFormat="1" ht="11.45" customHeight="1">
      <c r="A201" s="913"/>
      <c r="B201" s="1558"/>
      <c r="C201" s="1558"/>
      <c r="D201" s="285"/>
      <c r="K201" s="1082"/>
      <c r="L201" s="1558"/>
      <c r="M201" s="1558"/>
      <c r="N201" s="1082"/>
      <c r="O201" s="1082"/>
      <c r="P201" s="1082"/>
      <c r="Q201" s="1082"/>
      <c r="R201" s="1558"/>
      <c r="S201" s="1082"/>
      <c r="T201" s="1082"/>
      <c r="U201" s="478"/>
      <c r="V201" s="1082"/>
      <c r="W201" s="1082"/>
      <c r="X201" s="1082"/>
      <c r="Y201" s="1082"/>
      <c r="Z201" s="1082"/>
      <c r="AA201" s="1554"/>
      <c r="AB201" s="500"/>
      <c r="AC201" s="500"/>
      <c r="AD201" s="500"/>
      <c r="AE201" s="500"/>
      <c r="AF201" s="1563">
        <v>11</v>
      </c>
    </row>
    <row r="202" spans="1:32" s="1563" customFormat="1" ht="11.45" customHeight="1">
      <c r="A202" s="913"/>
      <c r="B202" s="1558"/>
      <c r="C202" s="1558"/>
      <c r="D202" s="285"/>
      <c r="K202" s="1082"/>
      <c r="L202" s="1558"/>
      <c r="M202" s="1558"/>
      <c r="N202" s="1082"/>
      <c r="O202" s="1082"/>
      <c r="P202" s="1082"/>
      <c r="Q202" s="1082"/>
      <c r="R202" s="1558"/>
      <c r="S202" s="1082"/>
      <c r="T202" s="1082"/>
      <c r="U202" s="478"/>
      <c r="V202" s="1082"/>
      <c r="W202" s="1082"/>
      <c r="X202" s="1082"/>
      <c r="Y202" s="1082"/>
      <c r="Z202" s="1082"/>
      <c r="AA202" s="1554"/>
      <c r="AB202" s="500"/>
      <c r="AC202" s="500"/>
      <c r="AD202" s="500"/>
      <c r="AE202" s="500"/>
      <c r="AF202" s="1563">
        <v>11</v>
      </c>
    </row>
    <row r="203" spans="1:32" s="1563" customFormat="1" ht="11.45" customHeight="1">
      <c r="A203" s="913"/>
      <c r="B203" s="1558"/>
      <c r="C203" s="1558"/>
      <c r="D203" s="285"/>
      <c r="K203" s="1082"/>
      <c r="L203" s="1558"/>
      <c r="M203" s="1558"/>
      <c r="N203" s="1082"/>
      <c r="O203" s="1082"/>
      <c r="P203" s="1082"/>
      <c r="Q203" s="1082"/>
      <c r="R203" s="1558"/>
      <c r="S203" s="1082"/>
      <c r="T203" s="1082"/>
      <c r="U203" s="478"/>
      <c r="V203" s="1082"/>
      <c r="W203" s="1082"/>
      <c r="X203" s="1082"/>
      <c r="Y203" s="1082"/>
      <c r="Z203" s="1082"/>
      <c r="AA203" s="1554"/>
      <c r="AB203" s="500"/>
      <c r="AC203" s="500"/>
      <c r="AD203" s="500"/>
      <c r="AE203" s="500"/>
      <c r="AF203" s="1563">
        <v>11</v>
      </c>
    </row>
    <row r="204" spans="1:32" s="1563" customFormat="1" ht="11.45" customHeight="1">
      <c r="A204" s="913"/>
      <c r="B204" s="1558"/>
      <c r="C204" s="1558"/>
      <c r="D204" s="285"/>
      <c r="K204" s="1082"/>
      <c r="L204" s="1558"/>
      <c r="M204" s="1558"/>
      <c r="N204" s="1082"/>
      <c r="O204" s="1082"/>
      <c r="P204" s="1082"/>
      <c r="Q204" s="1082"/>
      <c r="R204" s="1558"/>
      <c r="S204" s="1082"/>
      <c r="T204" s="1082"/>
      <c r="U204" s="478"/>
      <c r="V204" s="1082"/>
      <c r="W204" s="1082"/>
      <c r="X204" s="1082"/>
      <c r="Y204" s="1082"/>
      <c r="Z204" s="1082"/>
      <c r="AA204" s="1554"/>
      <c r="AB204" s="500"/>
      <c r="AC204" s="500"/>
      <c r="AD204" s="500"/>
      <c r="AE204" s="500"/>
      <c r="AF204" s="1563">
        <v>11</v>
      </c>
    </row>
    <row r="205" spans="1:32" ht="11.45" customHeight="1">
      <c r="AF205" s="1553">
        <v>11</v>
      </c>
    </row>
    <row r="206" spans="1:32" ht="11.45" customHeight="1">
      <c r="AF206" s="1553">
        <v>11</v>
      </c>
    </row>
    <row r="207" spans="1:32" ht="11.45" customHeight="1">
      <c r="AF207" s="1553">
        <v>11</v>
      </c>
    </row>
    <row r="208" spans="1:32" ht="11.45" customHeight="1">
      <c r="A208" s="916"/>
      <c r="B208" s="1553"/>
      <c r="D208" s="1553"/>
      <c r="K208" s="1553"/>
      <c r="N208" s="1553"/>
      <c r="O208" s="1553"/>
      <c r="P208" s="1553"/>
      <c r="Q208" s="1553"/>
      <c r="S208" s="1553"/>
      <c r="T208" s="1553"/>
      <c r="U208" s="1553"/>
      <c r="V208" s="1553"/>
      <c r="W208" s="1553"/>
      <c r="X208" s="1553"/>
      <c r="Y208" s="1553"/>
      <c r="Z208" s="1553"/>
      <c r="AA208" s="1553"/>
      <c r="AB208" s="1553"/>
      <c r="AC208" s="1553"/>
      <c r="AD208" s="1553"/>
      <c r="AE208" s="1553"/>
      <c r="AF208" s="1553">
        <v>11</v>
      </c>
    </row>
    <row r="209" spans="1:32" ht="11.45" customHeight="1">
      <c r="A209" s="916"/>
      <c r="B209" s="1553"/>
      <c r="D209" s="1553"/>
      <c r="K209" s="1553"/>
      <c r="N209" s="1553"/>
      <c r="O209" s="1553"/>
      <c r="P209" s="1553"/>
      <c r="Q209" s="1553"/>
      <c r="S209" s="1553"/>
      <c r="T209" s="1553"/>
      <c r="U209" s="1553"/>
      <c r="V209" s="1553"/>
      <c r="W209" s="1553"/>
      <c r="X209" s="1553"/>
      <c r="Y209" s="1553"/>
      <c r="Z209" s="1553"/>
      <c r="AA209" s="1553"/>
      <c r="AB209" s="1553"/>
      <c r="AC209" s="1553"/>
      <c r="AD209" s="1553"/>
      <c r="AE209" s="1553"/>
      <c r="AF209" s="1553">
        <v>11</v>
      </c>
    </row>
    <row r="210" spans="1:32" ht="11.45" customHeight="1">
      <c r="A210" s="916"/>
      <c r="B210" s="1553"/>
      <c r="D210" s="1553"/>
      <c r="K210" s="1553"/>
      <c r="N210" s="1553"/>
      <c r="O210" s="1553"/>
      <c r="P210" s="1553"/>
      <c r="Q210" s="1553"/>
      <c r="S210" s="1553"/>
      <c r="T210" s="1553"/>
      <c r="U210" s="1553"/>
      <c r="V210" s="1553"/>
      <c r="W210" s="1553"/>
      <c r="X210" s="1553"/>
      <c r="Y210" s="1553"/>
      <c r="Z210" s="1553"/>
      <c r="AA210" s="1553"/>
      <c r="AB210" s="1553"/>
      <c r="AC210" s="1553"/>
      <c r="AD210" s="1553"/>
      <c r="AE210" s="1553"/>
      <c r="AF210" s="1553">
        <v>11</v>
      </c>
    </row>
    <row r="211" spans="1:32" ht="11.45" customHeight="1">
      <c r="A211" s="916"/>
      <c r="B211" s="1553"/>
      <c r="D211" s="1553"/>
      <c r="K211" s="1553"/>
      <c r="N211" s="1553"/>
      <c r="O211" s="1553"/>
      <c r="P211" s="1553"/>
      <c r="Q211" s="1553"/>
      <c r="S211" s="1553"/>
      <c r="T211" s="1553"/>
      <c r="U211" s="1553"/>
      <c r="V211" s="1553"/>
      <c r="W211" s="1553"/>
      <c r="X211" s="1553"/>
      <c r="Y211" s="1553"/>
      <c r="Z211" s="1553"/>
      <c r="AA211" s="1553"/>
      <c r="AB211" s="1553"/>
      <c r="AC211" s="1553"/>
      <c r="AD211" s="1553"/>
      <c r="AE211" s="1553"/>
      <c r="AF211" s="1553">
        <v>11</v>
      </c>
    </row>
    <row r="212" spans="1:32" ht="11.45" customHeight="1">
      <c r="A212" s="916"/>
      <c r="B212" s="1553"/>
      <c r="D212" s="1553"/>
      <c r="K212" s="1553"/>
      <c r="N212" s="1553"/>
      <c r="O212" s="1553"/>
      <c r="P212" s="1553"/>
      <c r="Q212" s="1553"/>
      <c r="S212" s="1553"/>
      <c r="T212" s="1553"/>
      <c r="U212" s="1553"/>
      <c r="V212" s="1553"/>
      <c r="W212" s="1553"/>
      <c r="X212" s="1553"/>
      <c r="Y212" s="1553"/>
      <c r="Z212" s="1553"/>
      <c r="AA212" s="1553"/>
      <c r="AB212" s="1553"/>
      <c r="AC212" s="1553"/>
      <c r="AD212" s="1553"/>
      <c r="AE212" s="1553"/>
      <c r="AF212" s="1553">
        <v>11</v>
      </c>
    </row>
    <row r="213" spans="1:32" ht="11.45" customHeight="1">
      <c r="A213" s="916"/>
      <c r="B213" s="1553"/>
      <c r="D213" s="1553"/>
      <c r="K213" s="1553"/>
      <c r="N213" s="1553"/>
      <c r="O213" s="1553"/>
      <c r="P213" s="1553"/>
      <c r="Q213" s="1553"/>
      <c r="S213" s="1553"/>
      <c r="T213" s="1553"/>
      <c r="U213" s="1553"/>
      <c r="V213" s="1553"/>
      <c r="W213" s="1553"/>
      <c r="X213" s="1553"/>
      <c r="Y213" s="1553"/>
      <c r="Z213" s="1553"/>
      <c r="AA213" s="1553"/>
      <c r="AB213" s="1553"/>
      <c r="AC213" s="1553"/>
      <c r="AD213" s="1553"/>
      <c r="AE213" s="1553"/>
      <c r="AF213" s="1553">
        <v>11</v>
      </c>
    </row>
    <row r="214" spans="1:32" ht="11.45" customHeight="1">
      <c r="A214" s="916"/>
      <c r="B214" s="1553"/>
      <c r="D214" s="1553"/>
      <c r="K214" s="1553"/>
      <c r="N214" s="1553"/>
      <c r="O214" s="1553"/>
      <c r="P214" s="1553"/>
      <c r="Q214" s="1553"/>
      <c r="S214" s="1553"/>
      <c r="T214" s="1553"/>
      <c r="U214" s="1553"/>
      <c r="V214" s="1553"/>
      <c r="W214" s="1553"/>
      <c r="X214" s="1553"/>
      <c r="Y214" s="1553"/>
      <c r="Z214" s="1553"/>
      <c r="AA214" s="1553"/>
      <c r="AB214" s="1553"/>
      <c r="AC214" s="1553"/>
      <c r="AD214" s="1553"/>
      <c r="AE214" s="1553"/>
      <c r="AF214" s="1553">
        <v>11</v>
      </c>
    </row>
    <row r="215" spans="1:32" ht="11.45" customHeight="1">
      <c r="A215" s="916"/>
      <c r="B215" s="1553"/>
      <c r="D215" s="1553"/>
      <c r="K215" s="1553"/>
      <c r="N215" s="1553"/>
      <c r="O215" s="1553"/>
      <c r="P215" s="1553"/>
      <c r="Q215" s="1553"/>
      <c r="S215" s="1553"/>
      <c r="T215" s="1553"/>
      <c r="U215" s="1553"/>
      <c r="V215" s="1553"/>
      <c r="W215" s="1553"/>
      <c r="X215" s="1553"/>
      <c r="Y215" s="1553"/>
      <c r="Z215" s="1553"/>
      <c r="AA215" s="1553"/>
      <c r="AB215" s="1553"/>
      <c r="AC215" s="1553"/>
      <c r="AD215" s="1553"/>
      <c r="AE215" s="1553"/>
      <c r="AF215" s="1553">
        <v>11</v>
      </c>
    </row>
    <row r="216" spans="1:32" ht="11.45" customHeight="1">
      <c r="A216" s="916"/>
      <c r="B216" s="1553"/>
      <c r="D216" s="1553"/>
      <c r="K216" s="1553"/>
      <c r="N216" s="1553"/>
      <c r="O216" s="1553"/>
      <c r="P216" s="1553"/>
      <c r="Q216" s="1553"/>
      <c r="S216" s="1553"/>
      <c r="T216" s="1553"/>
      <c r="U216" s="1553"/>
      <c r="V216" s="1553"/>
      <c r="W216" s="1553"/>
      <c r="X216" s="1553"/>
      <c r="Y216" s="1553"/>
      <c r="Z216" s="1553"/>
      <c r="AA216" s="1553"/>
      <c r="AB216" s="1553"/>
      <c r="AC216" s="1553"/>
      <c r="AD216" s="1553"/>
      <c r="AE216" s="1553"/>
      <c r="AF216" s="1553">
        <v>11</v>
      </c>
    </row>
    <row r="217" spans="1:32" ht="11.45" customHeight="1">
      <c r="A217" s="916"/>
      <c r="B217" s="1553"/>
      <c r="D217" s="1553"/>
      <c r="K217" s="1553"/>
      <c r="N217" s="1553"/>
      <c r="O217" s="1553"/>
      <c r="P217" s="1553"/>
      <c r="Q217" s="1553"/>
      <c r="S217" s="1553"/>
      <c r="T217" s="1553"/>
      <c r="U217" s="1553"/>
      <c r="V217" s="1553"/>
      <c r="W217" s="1553"/>
      <c r="X217" s="1553"/>
      <c r="Y217" s="1553"/>
      <c r="Z217" s="1553"/>
      <c r="AA217" s="1553"/>
      <c r="AB217" s="1553"/>
      <c r="AC217" s="1553"/>
      <c r="AD217" s="1553"/>
      <c r="AE217" s="1553"/>
      <c r="AF217" s="1553">
        <v>11</v>
      </c>
    </row>
    <row r="218" spans="1:32" ht="11.45" customHeight="1">
      <c r="A218" s="916"/>
      <c r="B218" s="1553"/>
      <c r="D218" s="1553"/>
      <c r="K218" s="1553"/>
      <c r="N218" s="1553"/>
      <c r="O218" s="1553"/>
      <c r="P218" s="1553"/>
      <c r="Q218" s="1553"/>
      <c r="S218" s="1553"/>
      <c r="T218" s="1553"/>
      <c r="U218" s="1553"/>
      <c r="V218" s="1553"/>
      <c r="W218" s="1553"/>
      <c r="X218" s="1553"/>
      <c r="Y218" s="1553"/>
      <c r="Z218" s="1553"/>
      <c r="AA218" s="1553"/>
      <c r="AB218" s="1553"/>
      <c r="AC218" s="1553"/>
      <c r="AD218" s="1553"/>
      <c r="AE218" s="1553"/>
      <c r="AF218" s="1553">
        <v>11</v>
      </c>
    </row>
    <row r="219" spans="1:32" ht="11.25" hidden="1" customHeight="1">
      <c r="A219" s="913" t="s">
        <v>70</v>
      </c>
      <c r="B219" s="1082">
        <v>0</v>
      </c>
      <c r="C219" s="1558">
        <v>0</v>
      </c>
      <c r="D219" s="1557">
        <v>3</v>
      </c>
      <c r="E219" s="1553">
        <v>7</v>
      </c>
      <c r="F219" s="1553">
        <v>56</v>
      </c>
      <c r="G219" s="1553">
        <v>10</v>
      </c>
      <c r="H219" s="1553">
        <v>0</v>
      </c>
      <c r="I219" s="1553">
        <v>40</v>
      </c>
      <c r="J219" s="1553">
        <v>102</v>
      </c>
      <c r="K219" s="1082">
        <v>9</v>
      </c>
      <c r="L219" s="1558">
        <v>5</v>
      </c>
      <c r="M219" s="1558">
        <v>3</v>
      </c>
      <c r="N219" s="1082">
        <v>3</v>
      </c>
      <c r="O219" s="1082">
        <v>3</v>
      </c>
      <c r="P219" s="1082">
        <v>3</v>
      </c>
      <c r="Q219" s="1082">
        <v>3</v>
      </c>
      <c r="R219" s="1558">
        <v>10</v>
      </c>
      <c r="S219" s="1082">
        <v>34</v>
      </c>
      <c r="T219" s="1082">
        <v>9</v>
      </c>
      <c r="U219" s="478">
        <v>8</v>
      </c>
      <c r="V219" s="1082">
        <v>8</v>
      </c>
      <c r="W219" s="1082">
        <v>8</v>
      </c>
      <c r="X219" s="1082">
        <v>8</v>
      </c>
      <c r="Y219" s="1082">
        <v>8</v>
      </c>
      <c r="Z219" s="1082">
        <v>8</v>
      </c>
      <c r="AA219" s="1554">
        <v>8</v>
      </c>
      <c r="AB219" s="1554">
        <v>8</v>
      </c>
      <c r="AC219" s="1554">
        <v>8</v>
      </c>
      <c r="AD219" s="1554">
        <v>8</v>
      </c>
      <c r="AE219" s="1554">
        <v>8</v>
      </c>
      <c r="AF219" s="1553">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4" style="1557" customWidth="1"/>
    <col min="7" max="7" width="10" style="1557" customWidth="1"/>
    <col min="8" max="8" width="40.7109375" style="1557" hidden="1" customWidth="1"/>
    <col min="9" max="9" width="40" style="1557" customWidth="1"/>
    <col min="10" max="10" width="102" style="1557" customWidth="1"/>
    <col min="11" max="11" width="9" style="1288" customWidth="1"/>
    <col min="12" max="12" width="5" style="1564" customWidth="1"/>
    <col min="13" max="13" width="3" style="1564" customWidth="1"/>
    <col min="14" max="17" width="3" style="1288" customWidth="1"/>
    <col min="18" max="18" width="10" style="1564" customWidth="1"/>
    <col min="19" max="19" width="34" style="1288" customWidth="1"/>
    <col min="20" max="20" width="9" style="1288" customWidth="1"/>
    <col min="21" max="21" width="8" style="670" customWidth="1"/>
    <col min="22" max="26" width="8" style="1288" customWidth="1"/>
    <col min="27" max="31" width="8" style="1554" customWidth="1"/>
    <col min="32" max="32" width="9.140625" style="1557" hidden="1"/>
  </cols>
  <sheetData>
    <row r="1" spans="1:32" s="1288" customFormat="1" ht="22.5" hidden="1" customHeight="1">
      <c r="A1" s="913"/>
      <c r="C1" s="1558"/>
      <c r="D1" s="471"/>
      <c r="H1" s="1082">
        <v>4</v>
      </c>
      <c r="I1" s="1082">
        <v>4</v>
      </c>
      <c r="L1" s="1558"/>
      <c r="M1" s="1558"/>
      <c r="R1" s="1558"/>
      <c r="AF1" s="1082" t="s">
        <v>1</v>
      </c>
    </row>
    <row r="2" spans="1:32" s="1288" customFormat="1" ht="22.5" hidden="1" customHeight="1">
      <c r="A2" s="913"/>
      <c r="C2" s="1558"/>
      <c r="D2" s="472"/>
      <c r="E2" s="1580"/>
      <c r="F2" s="474"/>
      <c r="G2" s="1579" t="s">
        <v>595</v>
      </c>
      <c r="H2" s="475"/>
      <c r="I2" s="475"/>
      <c r="J2" s="476" t="s">
        <v>598</v>
      </c>
      <c r="K2" s="477"/>
      <c r="L2" s="1558"/>
      <c r="M2" s="1558"/>
      <c r="R2" s="1558"/>
      <c r="U2" s="478"/>
      <c r="AA2" s="1554"/>
      <c r="AB2" s="1554"/>
      <c r="AC2" s="1554"/>
      <c r="AD2" s="1554"/>
      <c r="AE2" s="1554"/>
      <c r="AF2" s="1082">
        <v>0</v>
      </c>
    </row>
    <row r="3" spans="1:32" ht="11.25" hidden="1" customHeight="1">
      <c r="AF3" s="1553">
        <v>0</v>
      </c>
    </row>
    <row r="4" spans="1:32" s="1554" customFormat="1" ht="11.25" hidden="1" customHeight="1">
      <c r="A4" s="913"/>
      <c r="B4" s="1082"/>
      <c r="C4" s="1558"/>
      <c r="D4" s="296"/>
      <c r="J4" s="1554">
        <v>4</v>
      </c>
      <c r="K4" s="1082"/>
      <c r="L4" s="1558"/>
      <c r="M4" s="1558"/>
      <c r="N4" s="1082"/>
      <c r="O4" s="1082"/>
      <c r="P4" s="1082"/>
      <c r="Q4" s="1082"/>
      <c r="R4" s="1558"/>
      <c r="S4" s="1082"/>
      <c r="T4" s="1082"/>
      <c r="U4" s="478"/>
      <c r="V4" s="1082"/>
      <c r="W4" s="1082"/>
      <c r="X4" s="1082"/>
      <c r="Y4" s="1082"/>
      <c r="Z4" s="1082"/>
      <c r="AF4" s="1554">
        <v>0</v>
      </c>
    </row>
    <row r="5" spans="1:32" ht="11.45" customHeight="1">
      <c r="AF5" s="1553">
        <v>11</v>
      </c>
    </row>
    <row r="6" spans="1:32" ht="33.75" customHeight="1">
      <c r="E6" s="3721" t="s">
        <v>1101</v>
      </c>
      <c r="F6" s="3721"/>
      <c r="G6" s="3721"/>
      <c r="H6" s="3721"/>
      <c r="I6" s="3721"/>
      <c r="J6" s="490"/>
      <c r="AF6" s="1553">
        <v>32</v>
      </c>
    </row>
    <row r="7" spans="1:32" ht="25.15" customHeight="1">
      <c r="E7" s="3667" t="str">
        <f>IF(org=0,"Не определено",org)</f>
        <v>ООО "Смоленскрегионтеплоэнерго"</v>
      </c>
      <c r="F7" s="3667"/>
      <c r="G7" s="3667"/>
      <c r="H7" s="3667"/>
      <c r="I7" s="3667"/>
      <c r="AF7" s="1553">
        <v>24</v>
      </c>
    </row>
    <row r="8" spans="1:32" ht="11.45" customHeight="1">
      <c r="E8" s="1058"/>
      <c r="F8" s="1058"/>
      <c r="G8" s="1058"/>
      <c r="H8" s="1058"/>
      <c r="I8" s="1058"/>
      <c r="AF8" s="1553">
        <v>11</v>
      </c>
    </row>
    <row r="9" spans="1:32" s="1564" customFormat="1" ht="1.1499999999999999" customHeight="1">
      <c r="A9" s="1089"/>
      <c r="H9" s="816"/>
      <c r="I9" s="816" t="s">
        <v>169</v>
      </c>
      <c r="AF9" s="1558">
        <v>1</v>
      </c>
    </row>
    <row r="10" spans="1:32" ht="11.45" customHeight="1">
      <c r="E10" s="645"/>
      <c r="F10" s="3822" t="s">
        <v>160</v>
      </c>
      <c r="G10" s="3823"/>
      <c r="H10" s="1581" t="str">
        <f>IF(H9="","",INDEX(DIFFERENTIATION_UNMERGE_VD,MATCH(H9,DIFFERENTIATION_ID_DIFF,0)))</f>
        <v/>
      </c>
      <c r="I10" s="1581"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3618" t="s">
        <v>346</v>
      </c>
      <c r="AF10" s="1553">
        <v>11</v>
      </c>
    </row>
    <row r="11" spans="1:32" ht="11.45" customHeight="1">
      <c r="E11" s="645"/>
      <c r="F11" s="3822" t="s">
        <v>607</v>
      </c>
      <c r="G11" s="3823"/>
      <c r="H11" s="1581" t="str">
        <f>IF(H9="","",INDEX(DIFFERENTIATION_UNMERGE_AREA,MATCH(H9,DIFFERENTIATION_ID_DIFF,0)))</f>
        <v/>
      </c>
      <c r="I11" s="1581" t="str">
        <f>IF(I9="","",INDEX(DIFFERENTIATION_UNMERGE_AREA,MATCH(I9,DIFFERENTIATION_ID_DIFF,0)))</f>
        <v>без дифференциации</v>
      </c>
      <c r="J11" s="3618"/>
      <c r="AF11" s="1553">
        <v>11</v>
      </c>
    </row>
    <row r="12" spans="1:32" ht="11.25" hidden="1" customHeight="1">
      <c r="E12" s="1584"/>
      <c r="F12" s="3844" t="s">
        <v>608</v>
      </c>
      <c r="G12" s="3845"/>
      <c r="H12" s="1585" t="str">
        <f>IF(H9="","",INDEX(DIFFERENTIATION_UNMERGE_SYSTEM,MATCH(H9,DIFFERENTIATION_ID_DIFF,0)))</f>
        <v/>
      </c>
      <c r="I12" s="1585" t="str">
        <f>IF(I9="","",INDEX(DIFFERENTIATION_UNMERGE_SYSTEM,MATCH(I9,DIFFERENTIATION_ID_DIFF,0)))</f>
        <v>без дифференциации</v>
      </c>
      <c r="J12" s="3618"/>
      <c r="AF12" s="1553">
        <v>0</v>
      </c>
    </row>
    <row r="13" spans="1:32" ht="11.45" customHeight="1">
      <c r="E13" s="3824" t="s">
        <v>345</v>
      </c>
      <c r="F13" s="3825"/>
      <c r="G13" s="3825"/>
      <c r="H13" s="1578"/>
      <c r="I13" s="1578"/>
      <c r="J13" s="3618"/>
      <c r="AF13" s="1553">
        <v>11</v>
      </c>
    </row>
    <row r="14" spans="1:32" ht="24" customHeight="1">
      <c r="E14" s="1579" t="s">
        <v>76</v>
      </c>
      <c r="F14" s="1582" t="s">
        <v>347</v>
      </c>
      <c r="G14" s="1582" t="s">
        <v>609</v>
      </c>
      <c r="H14" s="1582" t="s">
        <v>348</v>
      </c>
      <c r="I14" s="1582" t="s">
        <v>348</v>
      </c>
      <c r="J14" s="3618"/>
      <c r="AF14" s="1553">
        <v>23</v>
      </c>
    </row>
    <row r="15" spans="1:32" ht="19.899999999999999" customHeight="1">
      <c r="D15" s="1560"/>
      <c r="E15" s="1552" t="s">
        <v>164</v>
      </c>
      <c r="F15" s="641" t="s">
        <v>1102</v>
      </c>
      <c r="G15" s="1579" t="s">
        <v>595</v>
      </c>
      <c r="H15" s="491"/>
      <c r="I15" s="491"/>
      <c r="J15" s="224" t="s">
        <v>1103</v>
      </c>
      <c r="K15" s="477" t="s">
        <v>951</v>
      </c>
      <c r="AF15" s="1553">
        <v>19</v>
      </c>
    </row>
    <row r="16" spans="1:32" ht="24" customHeight="1">
      <c r="D16" s="1560"/>
      <c r="E16" s="1552" t="s">
        <v>89</v>
      </c>
      <c r="F16" s="1973" t="s">
        <v>1104</v>
      </c>
      <c r="G16" s="1579" t="s">
        <v>595</v>
      </c>
      <c r="H16" s="492">
        <f>SUM(H17,H20:H27)</f>
        <v>0</v>
      </c>
      <c r="I16" s="492">
        <f>SUM(I17,I20:I27)</f>
        <v>0</v>
      </c>
      <c r="J16" s="1970" t="s">
        <v>1105</v>
      </c>
      <c r="K16" s="477" t="s">
        <v>951</v>
      </c>
      <c r="AF16" s="1553">
        <v>23</v>
      </c>
    </row>
    <row r="17" spans="1:32" ht="35.65" customHeight="1">
      <c r="D17" s="1560"/>
      <c r="E17" s="1586" t="s">
        <v>1029</v>
      </c>
      <c r="F17" s="1588" t="s">
        <v>1106</v>
      </c>
      <c r="G17" s="1576" t="s">
        <v>595</v>
      </c>
      <c r="H17" s="491"/>
      <c r="I17" s="491"/>
      <c r="J17" s="224" t="s">
        <v>1107</v>
      </c>
      <c r="K17" s="477"/>
      <c r="AF17" s="1553">
        <v>34</v>
      </c>
    </row>
    <row r="18" spans="1:32" ht="19.899999999999999" customHeight="1">
      <c r="D18" s="1560"/>
      <c r="E18" s="1586" t="s">
        <v>1032</v>
      </c>
      <c r="F18" s="1589" t="s">
        <v>1108</v>
      </c>
      <c r="G18" s="1576" t="s">
        <v>595</v>
      </c>
      <c r="H18" s="491"/>
      <c r="I18" s="491"/>
      <c r="J18" s="224"/>
      <c r="K18" s="477"/>
      <c r="AF18" s="1553">
        <v>19</v>
      </c>
    </row>
    <row r="19" spans="1:32" ht="24" customHeight="1">
      <c r="D19" s="1560"/>
      <c r="E19" s="1586" t="s">
        <v>1035</v>
      </c>
      <c r="F19" s="1589" t="s">
        <v>1109</v>
      </c>
      <c r="G19" s="1576" t="s">
        <v>595</v>
      </c>
      <c r="H19" s="491"/>
      <c r="I19" s="491"/>
      <c r="J19" s="224"/>
      <c r="K19" s="477"/>
      <c r="AF19" s="1553">
        <v>23</v>
      </c>
    </row>
    <row r="20" spans="1:32" ht="35.65" customHeight="1">
      <c r="D20" s="1560"/>
      <c r="E20" s="1586" t="s">
        <v>352</v>
      </c>
      <c r="F20" s="1588" t="s">
        <v>1110</v>
      </c>
      <c r="G20" s="1576" t="s">
        <v>595</v>
      </c>
      <c r="H20" s="491"/>
      <c r="I20" s="491"/>
      <c r="J20" s="224"/>
      <c r="K20" s="477"/>
      <c r="AF20" s="1553">
        <v>34</v>
      </c>
    </row>
    <row r="21" spans="1:32" ht="48.2" customHeight="1">
      <c r="D21" s="1560"/>
      <c r="E21" s="1586" t="s">
        <v>355</v>
      </c>
      <c r="F21" s="1588" t="s">
        <v>1111</v>
      </c>
      <c r="G21" s="1576" t="s">
        <v>595</v>
      </c>
      <c r="H21" s="491"/>
      <c r="I21" s="491"/>
      <c r="J21" s="224"/>
      <c r="K21" s="477"/>
      <c r="AF21" s="1553">
        <v>46</v>
      </c>
    </row>
    <row r="22" spans="1:32" ht="60" customHeight="1">
      <c r="D22" s="1560"/>
      <c r="E22" s="1586" t="s">
        <v>1049</v>
      </c>
      <c r="F22" s="1588" t="s">
        <v>1112</v>
      </c>
      <c r="G22" s="1576" t="s">
        <v>595</v>
      </c>
      <c r="H22" s="491"/>
      <c r="I22" s="491"/>
      <c r="J22" s="224"/>
      <c r="K22" s="477"/>
      <c r="AF22" s="1553">
        <v>57</v>
      </c>
    </row>
    <row r="23" spans="1:32" ht="35.65" customHeight="1">
      <c r="D23" s="1560"/>
      <c r="E23" s="1586" t="s">
        <v>1056</v>
      </c>
      <c r="F23" s="1588" t="s">
        <v>1113</v>
      </c>
      <c r="G23" s="1576" t="s">
        <v>595</v>
      </c>
      <c r="H23" s="491"/>
      <c r="I23" s="491"/>
      <c r="J23" s="224"/>
      <c r="K23" s="477"/>
      <c r="AF23" s="1553">
        <v>34</v>
      </c>
    </row>
    <row r="24" spans="1:32" ht="35.65" customHeight="1">
      <c r="D24" s="1560"/>
      <c r="E24" s="1586" t="s">
        <v>1058</v>
      </c>
      <c r="F24" s="1588" t="s">
        <v>1114</v>
      </c>
      <c r="G24" s="1576" t="s">
        <v>595</v>
      </c>
      <c r="H24" s="491"/>
      <c r="I24" s="491"/>
      <c r="J24" s="224"/>
      <c r="K24" s="477"/>
      <c r="AF24" s="1553">
        <v>34</v>
      </c>
    </row>
    <row r="25" spans="1:32" ht="24" customHeight="1">
      <c r="D25" s="1560"/>
      <c r="E25" s="1586" t="s">
        <v>1060</v>
      </c>
      <c r="F25" s="1588" t="s">
        <v>1115</v>
      </c>
      <c r="G25" s="1576" t="s">
        <v>595</v>
      </c>
      <c r="H25" s="491"/>
      <c r="I25" s="491"/>
      <c r="J25" s="224"/>
      <c r="K25" s="477"/>
      <c r="AF25" s="1553">
        <v>23</v>
      </c>
    </row>
    <row r="26" spans="1:32" ht="76.5" customHeight="1">
      <c r="D26" s="1560"/>
      <c r="E26" s="1586" t="s">
        <v>1062</v>
      </c>
      <c r="F26" s="1588" t="s">
        <v>1116</v>
      </c>
      <c r="G26" s="1576" t="s">
        <v>595</v>
      </c>
      <c r="H26" s="491"/>
      <c r="I26" s="491"/>
      <c r="J26" s="224"/>
      <c r="K26" s="477"/>
      <c r="AF26" s="1553">
        <v>73</v>
      </c>
    </row>
    <row r="27" spans="1:32" s="1288" customFormat="1" ht="35.65" customHeight="1">
      <c r="A27" s="913"/>
      <c r="C27" s="1558"/>
      <c r="D27" s="1560"/>
      <c r="E27" s="1551" t="s">
        <v>1066</v>
      </c>
      <c r="F27" s="1550" t="s">
        <v>1117</v>
      </c>
      <c r="G27" s="1577" t="s">
        <v>595</v>
      </c>
      <c r="H27" s="513">
        <f>SUM(H28:H29)</f>
        <v>0</v>
      </c>
      <c r="I27" s="513">
        <f>SUM(I28:I29)</f>
        <v>0</v>
      </c>
      <c r="J27" s="224" t="s">
        <v>1064</v>
      </c>
      <c r="K27" s="477"/>
      <c r="L27" s="1558"/>
      <c r="M27" s="1558"/>
      <c r="R27" s="1558"/>
      <c r="U27" s="478"/>
      <c r="AA27" s="1554"/>
      <c r="AB27" s="1554"/>
      <c r="AC27" s="1554"/>
      <c r="AD27" s="1554"/>
      <c r="AE27" s="1554"/>
      <c r="AF27" s="1082">
        <v>34</v>
      </c>
    </row>
    <row r="28" spans="1:32" s="1564" customFormat="1" ht="1.1499999999999999" customHeight="1">
      <c r="A28" s="1089"/>
      <c r="D28" s="482"/>
      <c r="E28" s="730" t="str">
        <f>E27&amp;".0"</f>
        <v>2.9.0</v>
      </c>
      <c r="F28" s="917"/>
      <c r="G28" s="485"/>
      <c r="H28" s="918"/>
      <c r="I28" s="918"/>
      <c r="J28" s="919"/>
      <c r="AF28" s="1558">
        <v>1</v>
      </c>
    </row>
    <row r="29" spans="1:32" s="1288" customFormat="1" ht="19.899999999999999" customHeight="1">
      <c r="A29" s="913"/>
      <c r="C29" s="1558"/>
      <c r="D29" s="1555"/>
      <c r="E29" s="504"/>
      <c r="F29" s="1587" t="s">
        <v>631</v>
      </c>
      <c r="G29" s="506"/>
      <c r="H29" s="507"/>
      <c r="I29" s="507"/>
      <c r="J29" s="236" t="s">
        <v>1065</v>
      </c>
      <c r="K29" s="477"/>
      <c r="L29" s="1558"/>
      <c r="M29" s="1558"/>
      <c r="R29" s="1558"/>
      <c r="U29" s="478"/>
      <c r="AA29" s="1554"/>
      <c r="AB29" s="1554"/>
      <c r="AC29" s="1554"/>
      <c r="AD29" s="1554"/>
      <c r="AE29" s="1554"/>
      <c r="AF29" s="1082">
        <v>19</v>
      </c>
    </row>
    <row r="30" spans="1:32" ht="76.5" customHeight="1">
      <c r="D30" s="1964"/>
      <c r="E30" s="1586" t="s">
        <v>1118</v>
      </c>
      <c r="F30" s="1972" t="s">
        <v>1073</v>
      </c>
      <c r="G30" s="1963" t="s">
        <v>595</v>
      </c>
      <c r="H30" s="491"/>
      <c r="I30" s="491"/>
      <c r="J30" s="1970" t="s">
        <v>1119</v>
      </c>
      <c r="K30" s="477"/>
      <c r="AF30" s="1553">
        <v>73</v>
      </c>
    </row>
    <row r="31" spans="1:32" s="1288" customFormat="1" ht="24" customHeight="1">
      <c r="A31" s="913"/>
      <c r="C31" s="1558"/>
      <c r="D31" s="1560"/>
      <c r="E31" s="1586" t="s">
        <v>78</v>
      </c>
      <c r="F31" s="1583" t="s">
        <v>1120</v>
      </c>
      <c r="G31" s="1576" t="s">
        <v>595</v>
      </c>
      <c r="H31" s="491"/>
      <c r="I31" s="491"/>
      <c r="J31" s="224"/>
      <c r="K31" s="477"/>
      <c r="L31" s="1558"/>
      <c r="M31" s="1558"/>
      <c r="R31" s="1558"/>
      <c r="U31" s="478"/>
      <c r="AA31" s="1554"/>
      <c r="AB31" s="1554"/>
      <c r="AC31" s="1554"/>
      <c r="AD31" s="1554"/>
      <c r="AE31" s="1554"/>
      <c r="AF31" s="1082">
        <v>23</v>
      </c>
    </row>
    <row r="32" spans="1:32" s="1288" customFormat="1" ht="35.65" customHeight="1">
      <c r="A32" s="913"/>
      <c r="C32" s="1558"/>
      <c r="D32" s="509"/>
      <c r="E32" s="1586" t="s">
        <v>79</v>
      </c>
      <c r="F32" s="1583" t="s">
        <v>1121</v>
      </c>
      <c r="G32" s="1576" t="s">
        <v>595</v>
      </c>
      <c r="H32" s="491"/>
      <c r="I32" s="491"/>
      <c r="J32" s="224" t="s">
        <v>1122</v>
      </c>
      <c r="K32" s="477"/>
      <c r="L32" s="1558"/>
      <c r="M32" s="1558"/>
      <c r="R32" s="1558"/>
      <c r="U32" s="478"/>
      <c r="AA32" s="1554"/>
      <c r="AB32" s="1554"/>
      <c r="AC32" s="1554"/>
      <c r="AD32" s="1554"/>
      <c r="AE32" s="1554"/>
      <c r="AF32" s="1082">
        <v>34</v>
      </c>
    </row>
    <row r="33" spans="1:32" s="1288" customFormat="1" ht="24" customHeight="1">
      <c r="A33" s="913"/>
      <c r="C33" s="1558"/>
      <c r="D33" s="1560"/>
      <c r="E33" s="1586" t="s">
        <v>1080</v>
      </c>
      <c r="F33" s="624" t="s">
        <v>1084</v>
      </c>
      <c r="G33" s="1576" t="s">
        <v>595</v>
      </c>
      <c r="H33" s="491"/>
      <c r="I33" s="491"/>
      <c r="J33" s="224" t="s">
        <v>1123</v>
      </c>
      <c r="K33" s="477"/>
      <c r="L33" s="1558"/>
      <c r="M33" s="1558"/>
      <c r="R33" s="1558"/>
      <c r="U33" s="478"/>
      <c r="AA33" s="1554"/>
      <c r="AB33" s="1554"/>
      <c r="AC33" s="1554"/>
      <c r="AD33" s="1554"/>
      <c r="AE33" s="1554"/>
      <c r="AF33" s="1082">
        <v>23</v>
      </c>
    </row>
    <row r="34" spans="1:32" s="1288" customFormat="1" ht="24" customHeight="1">
      <c r="A34" s="913"/>
      <c r="C34" s="1558"/>
      <c r="D34" s="1560"/>
      <c r="E34" s="1586" t="s">
        <v>1124</v>
      </c>
      <c r="F34" s="624" t="s">
        <v>1125</v>
      </c>
      <c r="G34" s="1576" t="s">
        <v>595</v>
      </c>
      <c r="H34" s="491"/>
      <c r="I34" s="491"/>
      <c r="J34" s="224" t="s">
        <v>1126</v>
      </c>
      <c r="K34" s="477"/>
      <c r="L34" s="1558"/>
      <c r="M34" s="1558"/>
      <c r="R34" s="1558"/>
      <c r="U34" s="478"/>
      <c r="AA34" s="1554"/>
      <c r="AB34" s="1554"/>
      <c r="AC34" s="1554"/>
      <c r="AD34" s="1554"/>
      <c r="AE34" s="1554"/>
      <c r="AF34" s="1082">
        <v>23</v>
      </c>
    </row>
    <row r="35" spans="1:32" s="1288" customFormat="1" ht="24" customHeight="1">
      <c r="A35" s="913"/>
      <c r="C35" s="1558"/>
      <c r="D35" s="1560"/>
      <c r="E35" s="1586" t="s">
        <v>1127</v>
      </c>
      <c r="F35" s="624" t="s">
        <v>1090</v>
      </c>
      <c r="G35" s="1576" t="s">
        <v>595</v>
      </c>
      <c r="H35" s="491"/>
      <c r="I35" s="491"/>
      <c r="J35" s="224" t="s">
        <v>1128</v>
      </c>
      <c r="K35" s="477"/>
      <c r="L35" s="1558"/>
      <c r="M35" s="1558"/>
      <c r="R35" s="1558"/>
      <c r="U35" s="478"/>
      <c r="AA35" s="1554"/>
      <c r="AB35" s="1554"/>
      <c r="AC35" s="1554"/>
      <c r="AD35" s="1554"/>
      <c r="AE35" s="1554"/>
      <c r="AF35" s="1082">
        <v>23</v>
      </c>
    </row>
    <row r="36" spans="1:32" s="1288" customFormat="1" ht="35.65" customHeight="1">
      <c r="A36" s="913"/>
      <c r="C36" s="1558" t="s">
        <v>634</v>
      </c>
      <c r="D36" s="1560"/>
      <c r="E36" s="1586" t="s">
        <v>100</v>
      </c>
      <c r="F36" s="1583" t="s">
        <v>950</v>
      </c>
      <c r="G36" s="1579" t="s">
        <v>351</v>
      </c>
      <c r="H36" s="335"/>
      <c r="I36" s="335"/>
      <c r="J36" s="224" t="s">
        <v>1129</v>
      </c>
      <c r="K36" s="477"/>
      <c r="L36" s="1558"/>
      <c r="M36" s="1558"/>
      <c r="R36" s="1558"/>
      <c r="U36" s="478"/>
      <c r="AA36" s="1554"/>
      <c r="AB36" s="1554"/>
      <c r="AC36" s="1554"/>
      <c r="AD36" s="1554"/>
      <c r="AE36" s="1554"/>
      <c r="AF36" s="1082">
        <v>34</v>
      </c>
    </row>
    <row r="37" spans="1:32" s="1288" customFormat="1" ht="35.65" customHeight="1">
      <c r="A37" s="913"/>
      <c r="C37" s="1558"/>
      <c r="D37" s="1560"/>
      <c r="E37" s="1586" t="s">
        <v>80</v>
      </c>
      <c r="F37" s="1583" t="s">
        <v>1130</v>
      </c>
      <c r="G37" s="1576" t="s">
        <v>1095</v>
      </c>
      <c r="H37" s="1971"/>
      <c r="I37" s="1971"/>
      <c r="J37" s="224" t="s">
        <v>1096</v>
      </c>
      <c r="K37" s="477"/>
      <c r="L37" s="1558"/>
      <c r="M37" s="1558"/>
      <c r="R37" s="1558"/>
      <c r="U37" s="478"/>
      <c r="AA37" s="1554"/>
      <c r="AB37" s="1554"/>
      <c r="AC37" s="1554"/>
      <c r="AD37" s="1554"/>
      <c r="AE37" s="1554"/>
      <c r="AF37" s="1082">
        <v>34</v>
      </c>
    </row>
    <row r="38" spans="1:32" s="1288" customFormat="1" ht="33.75" customHeight="1">
      <c r="A38" s="913"/>
      <c r="C38" s="1558"/>
      <c r="D38" s="1964"/>
      <c r="E38" s="1586" t="s">
        <v>973</v>
      </c>
      <c r="F38" s="1972" t="s">
        <v>1131</v>
      </c>
      <c r="G38" s="1963" t="s">
        <v>1095</v>
      </c>
      <c r="H38" s="479"/>
      <c r="I38" s="479"/>
      <c r="J38" s="1970" t="s">
        <v>1132</v>
      </c>
      <c r="K38" s="477"/>
      <c r="L38" s="1558"/>
      <c r="M38" s="1558"/>
      <c r="R38" s="1558"/>
      <c r="U38" s="478"/>
      <c r="AA38" s="1554"/>
      <c r="AB38" s="1554"/>
      <c r="AC38" s="1554"/>
      <c r="AD38" s="1554"/>
      <c r="AE38" s="1554"/>
    </row>
    <row r="39" spans="1:32" s="1288" customFormat="1" ht="33.75" customHeight="1">
      <c r="A39" s="913"/>
      <c r="C39" s="1558"/>
      <c r="D39" s="1964"/>
      <c r="E39" s="1586" t="s">
        <v>977</v>
      </c>
      <c r="F39" s="1972" t="s">
        <v>1133</v>
      </c>
      <c r="G39" s="1963" t="s">
        <v>1095</v>
      </c>
      <c r="H39" s="479"/>
      <c r="I39" s="479"/>
      <c r="J39" s="1970" t="s">
        <v>1134</v>
      </c>
      <c r="K39" s="477"/>
      <c r="L39" s="1558"/>
      <c r="M39" s="1558"/>
      <c r="R39" s="1558"/>
      <c r="U39" s="478"/>
      <c r="AA39" s="1554"/>
      <c r="AB39" s="1554"/>
      <c r="AC39" s="1554"/>
      <c r="AD39" s="1554"/>
      <c r="AE39" s="1554"/>
    </row>
    <row r="40" spans="1:32" s="1288" customFormat="1" ht="24" customHeight="1">
      <c r="A40" s="913"/>
      <c r="C40" s="1558"/>
      <c r="D40" s="1560"/>
      <c r="E40" s="1586" t="s">
        <v>81</v>
      </c>
      <c r="F40" s="1583" t="s">
        <v>1135</v>
      </c>
      <c r="G40" s="1576" t="s">
        <v>1098</v>
      </c>
      <c r="H40" s="1971"/>
      <c r="I40" s="1971"/>
      <c r="J40" s="224" t="s">
        <v>1099</v>
      </c>
      <c r="K40" s="477"/>
      <c r="L40" s="1558"/>
      <c r="M40" s="1558"/>
      <c r="R40" s="1558"/>
      <c r="U40" s="478"/>
      <c r="AA40" s="1554"/>
      <c r="AB40" s="1554"/>
      <c r="AC40" s="1554"/>
      <c r="AD40" s="1554"/>
      <c r="AE40" s="1554"/>
      <c r="AF40" s="1082">
        <v>23</v>
      </c>
    </row>
    <row r="41" spans="1:32" s="1288" customFormat="1" ht="24" customHeight="1">
      <c r="A41" s="913"/>
      <c r="C41" s="1558"/>
      <c r="D41" s="1964"/>
      <c r="E41" s="1586" t="s">
        <v>1136</v>
      </c>
      <c r="F41" s="1972" t="s">
        <v>1137</v>
      </c>
      <c r="G41" s="1963" t="s">
        <v>1098</v>
      </c>
      <c r="H41" s="479"/>
      <c r="I41" s="479"/>
      <c r="J41" s="1970" t="s">
        <v>1138</v>
      </c>
      <c r="K41" s="477"/>
      <c r="L41" s="1558"/>
      <c r="M41" s="1558"/>
      <c r="R41" s="1558"/>
      <c r="U41" s="478"/>
      <c r="AA41" s="1554"/>
      <c r="AB41" s="1554"/>
      <c r="AC41" s="1554"/>
      <c r="AD41" s="1554"/>
      <c r="AE41" s="1554"/>
      <c r="AF41" s="1288">
        <v>23</v>
      </c>
    </row>
    <row r="42" spans="1:32" s="1288" customFormat="1" ht="24" customHeight="1">
      <c r="A42" s="913"/>
      <c r="C42" s="1558"/>
      <c r="D42" s="1964"/>
      <c r="E42" s="1586" t="s">
        <v>1139</v>
      </c>
      <c r="F42" s="1972" t="s">
        <v>1140</v>
      </c>
      <c r="G42" s="1963" t="s">
        <v>1098</v>
      </c>
      <c r="H42" s="479"/>
      <c r="I42" s="479"/>
      <c r="J42" s="1970" t="s">
        <v>1141</v>
      </c>
      <c r="K42" s="477"/>
      <c r="L42" s="1558"/>
      <c r="M42" s="1558"/>
      <c r="R42" s="1558"/>
      <c r="U42" s="478"/>
      <c r="AA42" s="1554"/>
      <c r="AB42" s="1554"/>
      <c r="AC42" s="1554"/>
      <c r="AD42" s="1554"/>
      <c r="AE42" s="1554"/>
      <c r="AF42" s="1288">
        <v>23</v>
      </c>
    </row>
    <row r="43" spans="1:32" ht="11.45" customHeight="1">
      <c r="D43" s="1560"/>
      <c r="AF43" s="1553">
        <v>11</v>
      </c>
    </row>
    <row r="44" spans="1:32" ht="27.4" customHeight="1">
      <c r="D44" s="1560"/>
      <c r="E44" s="1175" t="s">
        <v>1142</v>
      </c>
      <c r="F44" s="3757" t="s">
        <v>1143</v>
      </c>
      <c r="G44" s="3757"/>
      <c r="H44" s="303"/>
      <c r="I44" s="303"/>
      <c r="J44" s="303"/>
      <c r="AF44" s="1553">
        <v>26</v>
      </c>
    </row>
    <row r="45" spans="1:32" s="1563" customFormat="1" ht="39.75" customHeight="1">
      <c r="A45" s="913"/>
      <c r="B45" s="1558"/>
      <c r="C45" s="1558"/>
      <c r="D45" s="285"/>
      <c r="F45" s="3757" t="s">
        <v>1144</v>
      </c>
      <c r="G45" s="3757"/>
      <c r="H45" s="303"/>
      <c r="I45" s="303"/>
      <c r="J45" s="303"/>
      <c r="K45" s="1082"/>
      <c r="L45" s="1558"/>
      <c r="M45" s="1558"/>
      <c r="N45" s="1082"/>
      <c r="O45" s="1082"/>
      <c r="P45" s="1082"/>
      <c r="Q45" s="1082"/>
      <c r="R45" s="1558"/>
      <c r="S45" s="1082"/>
      <c r="T45" s="1082"/>
      <c r="U45" s="478"/>
      <c r="V45" s="1082"/>
      <c r="W45" s="1082"/>
      <c r="X45" s="1082"/>
      <c r="Y45" s="1082"/>
      <c r="Z45" s="1082"/>
      <c r="AA45" s="1554"/>
      <c r="AB45" s="500"/>
      <c r="AC45" s="500"/>
      <c r="AD45" s="500"/>
      <c r="AE45" s="500"/>
      <c r="AF45" s="1563">
        <v>38</v>
      </c>
    </row>
    <row r="46" spans="1:32" s="1563" customFormat="1" ht="11.45" customHeight="1">
      <c r="A46" s="913"/>
      <c r="B46" s="1558"/>
      <c r="C46" s="1558"/>
      <c r="D46" s="285"/>
      <c r="K46" s="1082"/>
      <c r="L46" s="1558"/>
      <c r="M46" s="1558"/>
      <c r="N46" s="1082"/>
      <c r="O46" s="1082"/>
      <c r="P46" s="1082"/>
      <c r="Q46" s="1082"/>
      <c r="R46" s="1558"/>
      <c r="S46" s="1082"/>
      <c r="T46" s="1082"/>
      <c r="U46" s="478"/>
      <c r="V46" s="1082"/>
      <c r="W46" s="1082"/>
      <c r="X46" s="1082"/>
      <c r="Y46" s="1082"/>
      <c r="Z46" s="1082"/>
      <c r="AA46" s="1554"/>
      <c r="AB46" s="500"/>
      <c r="AC46" s="500"/>
      <c r="AD46" s="500"/>
      <c r="AE46" s="500"/>
      <c r="AF46" s="1563">
        <v>11</v>
      </c>
    </row>
    <row r="47" spans="1:32" s="1563" customFormat="1" ht="11.45" customHeight="1">
      <c r="A47" s="913"/>
      <c r="B47" s="1558"/>
      <c r="C47" s="1558"/>
      <c r="D47" s="285"/>
      <c r="K47" s="1082"/>
      <c r="L47" s="1558"/>
      <c r="M47" s="1558"/>
      <c r="N47" s="1082"/>
      <c r="O47" s="1082"/>
      <c r="P47" s="1082"/>
      <c r="Q47" s="1082"/>
      <c r="R47" s="1558"/>
      <c r="S47" s="1082"/>
      <c r="T47" s="1082"/>
      <c r="U47" s="478"/>
      <c r="V47" s="1082"/>
      <c r="W47" s="1082"/>
      <c r="X47" s="1082"/>
      <c r="Y47" s="1082"/>
      <c r="Z47" s="1082"/>
      <c r="AA47" s="1554"/>
      <c r="AB47" s="500"/>
      <c r="AC47" s="500"/>
      <c r="AD47" s="500"/>
      <c r="AE47" s="500"/>
      <c r="AF47" s="1563">
        <v>11</v>
      </c>
    </row>
    <row r="48" spans="1:32" s="1563" customFormat="1" ht="11.45" customHeight="1">
      <c r="A48" s="913"/>
      <c r="B48" s="1558"/>
      <c r="C48" s="1558"/>
      <c r="D48" s="285"/>
      <c r="H48" s="500"/>
      <c r="I48" s="500"/>
      <c r="K48" s="1082"/>
      <c r="L48" s="1558"/>
      <c r="M48" s="1558"/>
      <c r="N48" s="1082"/>
      <c r="O48" s="1082"/>
      <c r="P48" s="1082"/>
      <c r="Q48" s="1082"/>
      <c r="R48" s="1558"/>
      <c r="S48" s="1082"/>
      <c r="T48" s="1082"/>
      <c r="U48" s="478"/>
      <c r="V48" s="1082"/>
      <c r="W48" s="1082"/>
      <c r="X48" s="1082"/>
      <c r="Y48" s="1082"/>
      <c r="Z48" s="1082"/>
      <c r="AA48" s="1554"/>
      <c r="AB48" s="500"/>
      <c r="AC48" s="500"/>
      <c r="AD48" s="500"/>
      <c r="AE48" s="500"/>
      <c r="AF48" s="1563">
        <v>11</v>
      </c>
    </row>
    <row r="49" spans="1:32" s="1563" customFormat="1" ht="11.45" customHeight="1">
      <c r="A49" s="913"/>
      <c r="B49" s="1558"/>
      <c r="C49" s="1558"/>
      <c r="D49" s="285"/>
      <c r="K49" s="1082"/>
      <c r="L49" s="1558"/>
      <c r="M49" s="1558"/>
      <c r="N49" s="1082"/>
      <c r="O49" s="1082"/>
      <c r="P49" s="1082"/>
      <c r="Q49" s="1082"/>
      <c r="R49" s="1558"/>
      <c r="S49" s="1082"/>
      <c r="T49" s="1082"/>
      <c r="U49" s="478"/>
      <c r="V49" s="1082"/>
      <c r="W49" s="1082"/>
      <c r="X49" s="1082"/>
      <c r="Y49" s="1082"/>
      <c r="Z49" s="1082"/>
      <c r="AA49" s="1554"/>
      <c r="AB49" s="500"/>
      <c r="AC49" s="500"/>
      <c r="AD49" s="500"/>
      <c r="AE49" s="500"/>
      <c r="AF49" s="1563">
        <v>11</v>
      </c>
    </row>
    <row r="50" spans="1:32" s="1563" customFormat="1" ht="11.45" customHeight="1">
      <c r="A50" s="913"/>
      <c r="B50" s="1558"/>
      <c r="C50" s="1558"/>
      <c r="D50" s="285"/>
      <c r="K50" s="1082"/>
      <c r="L50" s="1558"/>
      <c r="M50" s="1558"/>
      <c r="N50" s="1082"/>
      <c r="O50" s="1082"/>
      <c r="P50" s="1082"/>
      <c r="Q50" s="1082"/>
      <c r="R50" s="1558"/>
      <c r="S50" s="1082"/>
      <c r="T50" s="1082"/>
      <c r="U50" s="478"/>
      <c r="V50" s="1082"/>
      <c r="W50" s="1082"/>
      <c r="X50" s="1082"/>
      <c r="Y50" s="1082"/>
      <c r="Z50" s="1082"/>
      <c r="AA50" s="1554"/>
      <c r="AB50" s="500"/>
      <c r="AC50" s="500"/>
      <c r="AD50" s="500"/>
      <c r="AE50" s="500"/>
      <c r="AF50" s="1563">
        <v>11</v>
      </c>
    </row>
    <row r="51" spans="1:32" s="1563" customFormat="1" ht="11.45" customHeight="1">
      <c r="A51" s="913"/>
      <c r="B51" s="1558"/>
      <c r="C51" s="1558"/>
      <c r="D51" s="285"/>
      <c r="K51" s="1082"/>
      <c r="L51" s="1558"/>
      <c r="M51" s="1558"/>
      <c r="N51" s="1082"/>
      <c r="O51" s="1082"/>
      <c r="P51" s="1082"/>
      <c r="Q51" s="1082"/>
      <c r="R51" s="1558"/>
      <c r="S51" s="1082"/>
      <c r="T51" s="1082"/>
      <c r="U51" s="478"/>
      <c r="V51" s="1082"/>
      <c r="W51" s="1082"/>
      <c r="X51" s="1082"/>
      <c r="Y51" s="1082"/>
      <c r="Z51" s="1082"/>
      <c r="AA51" s="1554"/>
      <c r="AB51" s="500"/>
      <c r="AC51" s="500"/>
      <c r="AD51" s="500"/>
      <c r="AE51" s="500"/>
      <c r="AF51" s="1563">
        <v>11</v>
      </c>
    </row>
    <row r="52" spans="1:32" s="1563" customFormat="1" ht="11.45" customHeight="1">
      <c r="A52" s="913"/>
      <c r="B52" s="1558"/>
      <c r="C52" s="1558"/>
      <c r="D52" s="285"/>
      <c r="K52" s="1082"/>
      <c r="L52" s="1558"/>
      <c r="M52" s="1558"/>
      <c r="N52" s="1082"/>
      <c r="O52" s="1082"/>
      <c r="P52" s="1082"/>
      <c r="Q52" s="1082"/>
      <c r="R52" s="1558"/>
      <c r="S52" s="1082"/>
      <c r="T52" s="1082"/>
      <c r="U52" s="478"/>
      <c r="V52" s="1082"/>
      <c r="W52" s="1082"/>
      <c r="X52" s="1082"/>
      <c r="Y52" s="1082"/>
      <c r="Z52" s="1082"/>
      <c r="AA52" s="1554"/>
      <c r="AB52" s="500"/>
      <c r="AC52" s="500"/>
      <c r="AD52" s="500"/>
      <c r="AE52" s="500"/>
      <c r="AF52" s="1563">
        <v>11</v>
      </c>
    </row>
    <row r="53" spans="1:32" s="1563" customFormat="1" ht="11.45" customHeight="1">
      <c r="A53" s="913"/>
      <c r="B53" s="1558"/>
      <c r="C53" s="1558"/>
      <c r="D53" s="285"/>
      <c r="K53" s="1082"/>
      <c r="L53" s="1558"/>
      <c r="M53" s="1558"/>
      <c r="N53" s="1082"/>
      <c r="O53" s="1082"/>
      <c r="P53" s="1082"/>
      <c r="Q53" s="1082"/>
      <c r="R53" s="1558"/>
      <c r="S53" s="1082"/>
      <c r="T53" s="1082"/>
      <c r="U53" s="478"/>
      <c r="V53" s="1082"/>
      <c r="W53" s="1082"/>
      <c r="X53" s="1082"/>
      <c r="Y53" s="1082"/>
      <c r="Z53" s="1082"/>
      <c r="AA53" s="1554"/>
      <c r="AB53" s="500"/>
      <c r="AC53" s="500"/>
      <c r="AD53" s="500"/>
      <c r="AE53" s="500"/>
      <c r="AF53" s="1563">
        <v>11</v>
      </c>
    </row>
    <row r="54" spans="1:32" s="1563" customFormat="1" ht="11.45" customHeight="1">
      <c r="A54" s="913"/>
      <c r="B54" s="1558"/>
      <c r="C54" s="1558"/>
      <c r="D54" s="285"/>
      <c r="K54" s="1082"/>
      <c r="L54" s="1558"/>
      <c r="M54" s="1558"/>
      <c r="N54" s="1082"/>
      <c r="O54" s="1082"/>
      <c r="P54" s="1082"/>
      <c r="Q54" s="1082"/>
      <c r="R54" s="1558"/>
      <c r="S54" s="1082"/>
      <c r="T54" s="1082"/>
      <c r="U54" s="478"/>
      <c r="V54" s="1082"/>
      <c r="W54" s="1082"/>
      <c r="X54" s="1082"/>
      <c r="Y54" s="1082"/>
      <c r="Z54" s="1082"/>
      <c r="AA54" s="1554"/>
      <c r="AB54" s="500"/>
      <c r="AC54" s="500"/>
      <c r="AD54" s="500"/>
      <c r="AE54" s="500"/>
      <c r="AF54" s="1563">
        <v>11</v>
      </c>
    </row>
    <row r="55" spans="1:32" s="1563" customFormat="1" ht="11.45" customHeight="1">
      <c r="A55" s="913"/>
      <c r="B55" s="1558"/>
      <c r="C55" s="1558"/>
      <c r="D55" s="285"/>
      <c r="K55" s="1082"/>
      <c r="L55" s="1558"/>
      <c r="M55" s="1558"/>
      <c r="N55" s="1082"/>
      <c r="O55" s="1082"/>
      <c r="P55" s="1082"/>
      <c r="Q55" s="1082"/>
      <c r="R55" s="1558"/>
      <c r="S55" s="1082"/>
      <c r="T55" s="1082"/>
      <c r="U55" s="478"/>
      <c r="V55" s="1082"/>
      <c r="W55" s="1082"/>
      <c r="X55" s="1082"/>
      <c r="Y55" s="1082"/>
      <c r="Z55" s="1082"/>
      <c r="AA55" s="1554"/>
      <c r="AB55" s="500"/>
      <c r="AC55" s="500"/>
      <c r="AD55" s="500"/>
      <c r="AE55" s="500"/>
      <c r="AF55" s="1563">
        <v>11</v>
      </c>
    </row>
    <row r="56" spans="1:32" s="1563" customFormat="1" ht="11.45" customHeight="1">
      <c r="A56" s="913"/>
      <c r="B56" s="1558"/>
      <c r="C56" s="1558"/>
      <c r="D56" s="285"/>
      <c r="K56" s="1082"/>
      <c r="L56" s="1558"/>
      <c r="M56" s="1558"/>
      <c r="N56" s="1082"/>
      <c r="O56" s="1082"/>
      <c r="P56" s="1082"/>
      <c r="Q56" s="1082"/>
      <c r="R56" s="1558"/>
      <c r="S56" s="1082"/>
      <c r="T56" s="1082"/>
      <c r="U56" s="478"/>
      <c r="V56" s="1082"/>
      <c r="W56" s="1082"/>
      <c r="X56" s="1082"/>
      <c r="Y56" s="1082"/>
      <c r="Z56" s="1082"/>
      <c r="AA56" s="1554"/>
      <c r="AB56" s="500"/>
      <c r="AC56" s="500"/>
      <c r="AD56" s="500"/>
      <c r="AE56" s="500"/>
      <c r="AF56" s="1563">
        <v>11</v>
      </c>
    </row>
    <row r="57" spans="1:32" s="1563" customFormat="1" ht="11.45" customHeight="1">
      <c r="A57" s="913"/>
      <c r="B57" s="1558"/>
      <c r="C57" s="1558"/>
      <c r="D57" s="285"/>
      <c r="K57" s="1082"/>
      <c r="L57" s="1558"/>
      <c r="M57" s="1558"/>
      <c r="N57" s="1082"/>
      <c r="O57" s="1082"/>
      <c r="P57" s="1082"/>
      <c r="Q57" s="1082"/>
      <c r="R57" s="1558"/>
      <c r="S57" s="1082"/>
      <c r="T57" s="1082"/>
      <c r="U57" s="478"/>
      <c r="V57" s="1082"/>
      <c r="W57" s="1082"/>
      <c r="X57" s="1082"/>
      <c r="Y57" s="1082"/>
      <c r="Z57" s="1082"/>
      <c r="AA57" s="1554"/>
      <c r="AB57" s="500"/>
      <c r="AC57" s="500"/>
      <c r="AD57" s="500"/>
      <c r="AE57" s="500"/>
      <c r="AF57" s="1563">
        <v>11</v>
      </c>
    </row>
    <row r="58" spans="1:32" s="1563" customFormat="1" ht="11.45" customHeight="1">
      <c r="A58" s="913"/>
      <c r="B58" s="1558"/>
      <c r="C58" s="1558"/>
      <c r="D58" s="285"/>
      <c r="K58" s="1082"/>
      <c r="L58" s="1558"/>
      <c r="M58" s="1558"/>
      <c r="N58" s="1082"/>
      <c r="O58" s="1082"/>
      <c r="P58" s="1082"/>
      <c r="Q58" s="1082"/>
      <c r="R58" s="1558"/>
      <c r="S58" s="1082"/>
      <c r="T58" s="1082"/>
      <c r="U58" s="478"/>
      <c r="V58" s="1082"/>
      <c r="W58" s="1082"/>
      <c r="X58" s="1082"/>
      <c r="Y58" s="1082"/>
      <c r="Z58" s="1082"/>
      <c r="AA58" s="1554"/>
      <c r="AB58" s="500"/>
      <c r="AC58" s="500"/>
      <c r="AD58" s="500"/>
      <c r="AE58" s="500"/>
      <c r="AF58" s="1563">
        <v>11</v>
      </c>
    </row>
    <row r="59" spans="1:32" s="1563" customFormat="1" ht="11.45" customHeight="1">
      <c r="A59" s="913"/>
      <c r="B59" s="1558"/>
      <c r="C59" s="1558"/>
      <c r="D59" s="285"/>
      <c r="K59" s="1082"/>
      <c r="L59" s="1558"/>
      <c r="M59" s="1558"/>
      <c r="N59" s="1082"/>
      <c r="O59" s="1082"/>
      <c r="P59" s="1082"/>
      <c r="Q59" s="1082"/>
      <c r="R59" s="1558"/>
      <c r="S59" s="1082"/>
      <c r="T59" s="1082"/>
      <c r="U59" s="478"/>
      <c r="V59" s="1082"/>
      <c r="W59" s="1082"/>
      <c r="X59" s="1082"/>
      <c r="Y59" s="1082"/>
      <c r="Z59" s="1082"/>
      <c r="AA59" s="1554"/>
      <c r="AB59" s="500"/>
      <c r="AC59" s="500"/>
      <c r="AD59" s="500"/>
      <c r="AE59" s="500"/>
      <c r="AF59" s="1563">
        <v>11</v>
      </c>
    </row>
    <row r="60" spans="1:32" s="1563" customFormat="1" ht="11.45" customHeight="1">
      <c r="A60" s="913"/>
      <c r="B60" s="1558"/>
      <c r="C60" s="1558"/>
      <c r="D60" s="285"/>
      <c r="K60" s="1082"/>
      <c r="L60" s="1558"/>
      <c r="M60" s="1558"/>
      <c r="N60" s="1082"/>
      <c r="O60" s="1082"/>
      <c r="P60" s="1082"/>
      <c r="Q60" s="1082"/>
      <c r="R60" s="1558"/>
      <c r="S60" s="1082"/>
      <c r="T60" s="1082"/>
      <c r="U60" s="478"/>
      <c r="V60" s="1082"/>
      <c r="W60" s="1082"/>
      <c r="X60" s="1082"/>
      <c r="Y60" s="1082"/>
      <c r="Z60" s="1082"/>
      <c r="AA60" s="1554"/>
      <c r="AB60" s="500"/>
      <c r="AC60" s="500"/>
      <c r="AD60" s="500"/>
      <c r="AE60" s="500"/>
      <c r="AF60" s="1563">
        <v>11</v>
      </c>
    </row>
    <row r="61" spans="1:32" s="1563" customFormat="1" ht="11.45" customHeight="1">
      <c r="A61" s="913"/>
      <c r="B61" s="1558"/>
      <c r="C61" s="1558"/>
      <c r="D61" s="285"/>
      <c r="K61" s="1082"/>
      <c r="L61" s="1558"/>
      <c r="M61" s="1558"/>
      <c r="N61" s="1082"/>
      <c r="O61" s="1082"/>
      <c r="P61" s="1082"/>
      <c r="Q61" s="1082"/>
      <c r="R61" s="1558"/>
      <c r="S61" s="1082"/>
      <c r="T61" s="1082"/>
      <c r="U61" s="478"/>
      <c r="V61" s="1082"/>
      <c r="W61" s="1082"/>
      <c r="X61" s="1082"/>
      <c r="Y61" s="1082"/>
      <c r="Z61" s="1082"/>
      <c r="AA61" s="1554"/>
      <c r="AB61" s="500"/>
      <c r="AC61" s="500"/>
      <c r="AD61" s="500"/>
      <c r="AE61" s="500"/>
      <c r="AF61" s="1563">
        <v>11</v>
      </c>
    </row>
    <row r="62" spans="1:32" s="1563" customFormat="1" ht="11.45" customHeight="1">
      <c r="A62" s="913"/>
      <c r="B62" s="1558"/>
      <c r="C62" s="1558"/>
      <c r="D62" s="285"/>
      <c r="K62" s="1082"/>
      <c r="L62" s="1558"/>
      <c r="M62" s="1558"/>
      <c r="N62" s="1082"/>
      <c r="O62" s="1082"/>
      <c r="P62" s="1082"/>
      <c r="Q62" s="1082"/>
      <c r="R62" s="1558"/>
      <c r="S62" s="1082"/>
      <c r="T62" s="1082"/>
      <c r="U62" s="478"/>
      <c r="V62" s="1082"/>
      <c r="W62" s="1082"/>
      <c r="X62" s="1082"/>
      <c r="Y62" s="1082"/>
      <c r="Z62" s="1082"/>
      <c r="AA62" s="1554"/>
      <c r="AB62" s="500"/>
      <c r="AC62" s="500"/>
      <c r="AD62" s="500"/>
      <c r="AE62" s="500"/>
      <c r="AF62" s="1563">
        <v>11</v>
      </c>
    </row>
    <row r="63" spans="1:32" s="1563" customFormat="1" ht="11.45" customHeight="1">
      <c r="A63" s="913"/>
      <c r="B63" s="1558"/>
      <c r="C63" s="1558"/>
      <c r="D63" s="285"/>
      <c r="K63" s="1082"/>
      <c r="L63" s="1558"/>
      <c r="M63" s="1558"/>
      <c r="N63" s="1082"/>
      <c r="O63" s="1082"/>
      <c r="P63" s="1082"/>
      <c r="Q63" s="1082"/>
      <c r="R63" s="1558"/>
      <c r="S63" s="1082"/>
      <c r="T63" s="1082"/>
      <c r="U63" s="478"/>
      <c r="V63" s="1082"/>
      <c r="W63" s="1082"/>
      <c r="X63" s="1082"/>
      <c r="Y63" s="1082"/>
      <c r="Z63" s="1082"/>
      <c r="AA63" s="1554"/>
      <c r="AB63" s="500"/>
      <c r="AC63" s="500"/>
      <c r="AD63" s="500"/>
      <c r="AE63" s="500"/>
      <c r="AF63" s="1563">
        <v>11</v>
      </c>
    </row>
    <row r="64" spans="1:32" s="1563" customFormat="1" ht="11.45" customHeight="1">
      <c r="A64" s="913"/>
      <c r="B64" s="1558"/>
      <c r="C64" s="1558"/>
      <c r="D64" s="285"/>
      <c r="K64" s="1082"/>
      <c r="L64" s="1558"/>
      <c r="M64" s="1558"/>
      <c r="N64" s="1082"/>
      <c r="O64" s="1082"/>
      <c r="P64" s="1082"/>
      <c r="Q64" s="1082"/>
      <c r="R64" s="1558"/>
      <c r="S64" s="1082"/>
      <c r="T64" s="1082"/>
      <c r="U64" s="478"/>
      <c r="V64" s="1082"/>
      <c r="W64" s="1082"/>
      <c r="X64" s="1082"/>
      <c r="Y64" s="1082"/>
      <c r="Z64" s="1082"/>
      <c r="AA64" s="1554"/>
      <c r="AB64" s="500"/>
      <c r="AC64" s="500"/>
      <c r="AD64" s="500"/>
      <c r="AE64" s="500"/>
      <c r="AF64" s="1563">
        <v>11</v>
      </c>
    </row>
    <row r="65" spans="1:32" s="1563" customFormat="1" ht="11.45" customHeight="1">
      <c r="A65" s="913"/>
      <c r="B65" s="1558"/>
      <c r="C65" s="1558"/>
      <c r="D65" s="285"/>
      <c r="K65" s="1082"/>
      <c r="L65" s="1558"/>
      <c r="M65" s="1558"/>
      <c r="N65" s="1082"/>
      <c r="O65" s="1082"/>
      <c r="P65" s="1082"/>
      <c r="Q65" s="1082"/>
      <c r="R65" s="1558"/>
      <c r="S65" s="1082"/>
      <c r="T65" s="1082"/>
      <c r="U65" s="478"/>
      <c r="V65" s="1082"/>
      <c r="W65" s="1082"/>
      <c r="X65" s="1082"/>
      <c r="Y65" s="1082"/>
      <c r="Z65" s="1082"/>
      <c r="AA65" s="1554"/>
      <c r="AB65" s="500"/>
      <c r="AC65" s="500"/>
      <c r="AD65" s="500"/>
      <c r="AE65" s="500"/>
      <c r="AF65" s="1563">
        <v>11</v>
      </c>
    </row>
    <row r="66" spans="1:32" s="1563" customFormat="1" ht="11.45" customHeight="1">
      <c r="A66" s="913"/>
      <c r="B66" s="1558"/>
      <c r="C66" s="1558"/>
      <c r="D66" s="285"/>
      <c r="K66" s="1082"/>
      <c r="L66" s="1558"/>
      <c r="M66" s="1558"/>
      <c r="N66" s="1082"/>
      <c r="O66" s="1082"/>
      <c r="P66" s="1082"/>
      <c r="Q66" s="1082"/>
      <c r="R66" s="1558"/>
      <c r="S66" s="1082"/>
      <c r="T66" s="1082"/>
      <c r="U66" s="478"/>
      <c r="V66" s="1082"/>
      <c r="W66" s="1082"/>
      <c r="X66" s="1082"/>
      <c r="Y66" s="1082"/>
      <c r="Z66" s="1082"/>
      <c r="AA66" s="1554"/>
      <c r="AB66" s="500"/>
      <c r="AC66" s="500"/>
      <c r="AD66" s="500"/>
      <c r="AE66" s="500"/>
      <c r="AF66" s="1563">
        <v>11</v>
      </c>
    </row>
    <row r="67" spans="1:32" s="1563" customFormat="1" ht="11.45" customHeight="1">
      <c r="A67" s="913"/>
      <c r="B67" s="1558"/>
      <c r="C67" s="1558"/>
      <c r="D67" s="285"/>
      <c r="K67" s="1082"/>
      <c r="L67" s="1558"/>
      <c r="M67" s="1558"/>
      <c r="N67" s="1082"/>
      <c r="O67" s="1082"/>
      <c r="P67" s="1082"/>
      <c r="Q67" s="1082"/>
      <c r="R67" s="1558"/>
      <c r="S67" s="1082"/>
      <c r="T67" s="1082"/>
      <c r="U67" s="478"/>
      <c r="V67" s="1082"/>
      <c r="W67" s="1082"/>
      <c r="X67" s="1082"/>
      <c r="Y67" s="1082"/>
      <c r="Z67" s="1082"/>
      <c r="AA67" s="1554"/>
      <c r="AB67" s="500"/>
      <c r="AC67" s="500"/>
      <c r="AD67" s="500"/>
      <c r="AE67" s="500"/>
      <c r="AF67" s="1563">
        <v>11</v>
      </c>
    </row>
    <row r="68" spans="1:32" s="1563" customFormat="1" ht="11.45" customHeight="1">
      <c r="A68" s="913"/>
      <c r="B68" s="1558"/>
      <c r="C68" s="1558"/>
      <c r="D68" s="285"/>
      <c r="K68" s="1082"/>
      <c r="L68" s="1558"/>
      <c r="M68" s="1558"/>
      <c r="N68" s="1082"/>
      <c r="O68" s="1082"/>
      <c r="P68" s="1082"/>
      <c r="Q68" s="1082"/>
      <c r="R68" s="1558"/>
      <c r="S68" s="1082"/>
      <c r="T68" s="1082"/>
      <c r="U68" s="478"/>
      <c r="V68" s="1082"/>
      <c r="W68" s="1082"/>
      <c r="X68" s="1082"/>
      <c r="Y68" s="1082"/>
      <c r="Z68" s="1082"/>
      <c r="AA68" s="1554"/>
      <c r="AB68" s="500"/>
      <c r="AC68" s="500"/>
      <c r="AD68" s="500"/>
      <c r="AE68" s="500"/>
      <c r="AF68" s="1563">
        <v>11</v>
      </c>
    </row>
    <row r="69" spans="1:32" s="1563" customFormat="1" ht="11.45" customHeight="1">
      <c r="A69" s="913"/>
      <c r="B69" s="1558"/>
      <c r="C69" s="1558"/>
      <c r="D69" s="285"/>
      <c r="K69" s="1082"/>
      <c r="L69" s="1558"/>
      <c r="M69" s="1558"/>
      <c r="N69" s="1082"/>
      <c r="O69" s="1082"/>
      <c r="P69" s="1082"/>
      <c r="Q69" s="1082"/>
      <c r="R69" s="1558"/>
      <c r="S69" s="1082"/>
      <c r="T69" s="1082"/>
      <c r="U69" s="478"/>
      <c r="V69" s="1082"/>
      <c r="W69" s="1082"/>
      <c r="X69" s="1082"/>
      <c r="Y69" s="1082"/>
      <c r="Z69" s="1082"/>
      <c r="AA69" s="1554"/>
      <c r="AB69" s="500"/>
      <c r="AC69" s="500"/>
      <c r="AD69" s="500"/>
      <c r="AE69" s="500"/>
      <c r="AF69" s="1563">
        <v>11</v>
      </c>
    </row>
    <row r="70" spans="1:32" s="1563" customFormat="1" ht="11.45" customHeight="1">
      <c r="A70" s="913"/>
      <c r="B70" s="1558"/>
      <c r="C70" s="1558"/>
      <c r="D70" s="285"/>
      <c r="K70" s="1082"/>
      <c r="L70" s="1558"/>
      <c r="M70" s="1558"/>
      <c r="N70" s="1082"/>
      <c r="O70" s="1082"/>
      <c r="P70" s="1082"/>
      <c r="Q70" s="1082"/>
      <c r="R70" s="1558"/>
      <c r="S70" s="1082"/>
      <c r="T70" s="1082"/>
      <c r="U70" s="478"/>
      <c r="V70" s="1082"/>
      <c r="W70" s="1082"/>
      <c r="X70" s="1082"/>
      <c r="Y70" s="1082"/>
      <c r="Z70" s="1082"/>
      <c r="AA70" s="1554"/>
      <c r="AB70" s="500"/>
      <c r="AC70" s="500"/>
      <c r="AD70" s="500"/>
      <c r="AE70" s="500"/>
      <c r="AF70" s="1563">
        <v>11</v>
      </c>
    </row>
    <row r="71" spans="1:32" s="1563" customFormat="1" ht="11.45" customHeight="1">
      <c r="A71" s="913"/>
      <c r="B71" s="1558"/>
      <c r="C71" s="1558"/>
      <c r="D71" s="285"/>
      <c r="K71" s="1082"/>
      <c r="L71" s="1558"/>
      <c r="M71" s="1558"/>
      <c r="N71" s="1082"/>
      <c r="O71" s="1082"/>
      <c r="P71" s="1082"/>
      <c r="Q71" s="1082"/>
      <c r="R71" s="1558"/>
      <c r="S71" s="1082"/>
      <c r="T71" s="1082"/>
      <c r="U71" s="478"/>
      <c r="V71" s="1082"/>
      <c r="W71" s="1082"/>
      <c r="X71" s="1082"/>
      <c r="Y71" s="1082"/>
      <c r="Z71" s="1082"/>
      <c r="AA71" s="1554"/>
      <c r="AB71" s="500"/>
      <c r="AC71" s="500"/>
      <c r="AD71" s="500"/>
      <c r="AE71" s="500"/>
      <c r="AF71" s="1563">
        <v>11</v>
      </c>
    </row>
    <row r="72" spans="1:32" s="1563" customFormat="1" ht="11.45" customHeight="1">
      <c r="A72" s="913"/>
      <c r="B72" s="1558"/>
      <c r="C72" s="1558"/>
      <c r="D72" s="285"/>
      <c r="K72" s="1082"/>
      <c r="L72" s="1558"/>
      <c r="M72" s="1558"/>
      <c r="N72" s="1082"/>
      <c r="O72" s="1082"/>
      <c r="P72" s="1082"/>
      <c r="Q72" s="1082"/>
      <c r="R72" s="1558"/>
      <c r="S72" s="1082"/>
      <c r="T72" s="1082"/>
      <c r="U72" s="478"/>
      <c r="V72" s="1082"/>
      <c r="W72" s="1082"/>
      <c r="X72" s="1082"/>
      <c r="Y72" s="1082"/>
      <c r="Z72" s="1082"/>
      <c r="AA72" s="1554"/>
      <c r="AB72" s="500"/>
      <c r="AC72" s="500"/>
      <c r="AD72" s="500"/>
      <c r="AE72" s="500"/>
      <c r="AF72" s="1563">
        <v>11</v>
      </c>
    </row>
    <row r="73" spans="1:32" s="1563" customFormat="1" ht="11.45" customHeight="1">
      <c r="A73" s="913"/>
      <c r="B73" s="1558"/>
      <c r="C73" s="1558"/>
      <c r="D73" s="285"/>
      <c r="K73" s="1082"/>
      <c r="L73" s="1558"/>
      <c r="M73" s="1558"/>
      <c r="N73" s="1082"/>
      <c r="O73" s="1082"/>
      <c r="P73" s="1082"/>
      <c r="Q73" s="1082"/>
      <c r="R73" s="1558"/>
      <c r="S73" s="1082"/>
      <c r="T73" s="1082"/>
      <c r="U73" s="478"/>
      <c r="V73" s="1082"/>
      <c r="W73" s="1082"/>
      <c r="X73" s="1082"/>
      <c r="Y73" s="1082"/>
      <c r="Z73" s="1082"/>
      <c r="AA73" s="1554"/>
      <c r="AB73" s="500"/>
      <c r="AC73" s="500"/>
      <c r="AD73" s="500"/>
      <c r="AE73" s="500"/>
      <c r="AF73" s="1563">
        <v>11</v>
      </c>
    </row>
    <row r="74" spans="1:32" s="1563" customFormat="1" ht="11.45" customHeight="1">
      <c r="A74" s="913"/>
      <c r="B74" s="1558"/>
      <c r="C74" s="1558"/>
      <c r="D74" s="285"/>
      <c r="K74" s="1082"/>
      <c r="L74" s="1558"/>
      <c r="M74" s="1558"/>
      <c r="N74" s="1082"/>
      <c r="O74" s="1082"/>
      <c r="P74" s="1082"/>
      <c r="Q74" s="1082"/>
      <c r="R74" s="1558"/>
      <c r="S74" s="1082"/>
      <c r="T74" s="1082"/>
      <c r="U74" s="478"/>
      <c r="V74" s="1082"/>
      <c r="W74" s="1082"/>
      <c r="X74" s="1082"/>
      <c r="Y74" s="1082"/>
      <c r="Z74" s="1082"/>
      <c r="AA74" s="1554"/>
      <c r="AB74" s="500"/>
      <c r="AC74" s="500"/>
      <c r="AD74" s="500"/>
      <c r="AE74" s="500"/>
      <c r="AF74" s="1563">
        <v>11</v>
      </c>
    </row>
    <row r="75" spans="1:32" s="1563" customFormat="1" ht="11.45" customHeight="1">
      <c r="A75" s="913"/>
      <c r="B75" s="1558"/>
      <c r="C75" s="1558"/>
      <c r="D75" s="285"/>
      <c r="K75" s="1082"/>
      <c r="L75" s="1558"/>
      <c r="M75" s="1558"/>
      <c r="N75" s="1082"/>
      <c r="O75" s="1082"/>
      <c r="P75" s="1082"/>
      <c r="Q75" s="1082"/>
      <c r="R75" s="1558"/>
      <c r="S75" s="1082"/>
      <c r="T75" s="1082"/>
      <c r="U75" s="478"/>
      <c r="V75" s="1082"/>
      <c r="W75" s="1082"/>
      <c r="X75" s="1082"/>
      <c r="Y75" s="1082"/>
      <c r="Z75" s="1082"/>
      <c r="AA75" s="1554"/>
      <c r="AB75" s="500"/>
      <c r="AC75" s="500"/>
      <c r="AD75" s="500"/>
      <c r="AE75" s="500"/>
      <c r="AF75" s="1563">
        <v>11</v>
      </c>
    </row>
    <row r="76" spans="1:32" s="1563" customFormat="1" ht="11.45" customHeight="1">
      <c r="A76" s="913"/>
      <c r="B76" s="1558"/>
      <c r="C76" s="1558"/>
      <c r="D76" s="285"/>
      <c r="K76" s="1082"/>
      <c r="L76" s="1558"/>
      <c r="M76" s="1558"/>
      <c r="N76" s="1082"/>
      <c r="O76" s="1082"/>
      <c r="P76" s="1082"/>
      <c r="Q76" s="1082"/>
      <c r="R76" s="1558"/>
      <c r="S76" s="1082"/>
      <c r="T76" s="1082"/>
      <c r="U76" s="478"/>
      <c r="V76" s="1082"/>
      <c r="W76" s="1082"/>
      <c r="X76" s="1082"/>
      <c r="Y76" s="1082"/>
      <c r="Z76" s="1082"/>
      <c r="AA76" s="1554"/>
      <c r="AB76" s="500"/>
      <c r="AC76" s="500"/>
      <c r="AD76" s="500"/>
      <c r="AE76" s="500"/>
      <c r="AF76" s="1563">
        <v>11</v>
      </c>
    </row>
    <row r="77" spans="1:32" s="1563" customFormat="1" ht="11.45" customHeight="1">
      <c r="A77" s="913"/>
      <c r="B77" s="1558"/>
      <c r="C77" s="1558"/>
      <c r="D77" s="285"/>
      <c r="K77" s="1082"/>
      <c r="L77" s="1558"/>
      <c r="M77" s="1558"/>
      <c r="N77" s="1082"/>
      <c r="O77" s="1082"/>
      <c r="P77" s="1082"/>
      <c r="Q77" s="1082"/>
      <c r="R77" s="1558"/>
      <c r="S77" s="1082"/>
      <c r="T77" s="1082"/>
      <c r="U77" s="478"/>
      <c r="V77" s="1082"/>
      <c r="W77" s="1082"/>
      <c r="X77" s="1082"/>
      <c r="Y77" s="1082"/>
      <c r="Z77" s="1082"/>
      <c r="AA77" s="1554"/>
      <c r="AB77" s="500"/>
      <c r="AC77" s="500"/>
      <c r="AD77" s="500"/>
      <c r="AE77" s="500"/>
      <c r="AF77" s="1563">
        <v>11</v>
      </c>
    </row>
    <row r="78" spans="1:32" s="1563" customFormat="1" ht="11.45" customHeight="1">
      <c r="A78" s="913"/>
      <c r="B78" s="1558"/>
      <c r="C78" s="1558"/>
      <c r="D78" s="285"/>
      <c r="K78" s="1082"/>
      <c r="L78" s="1558"/>
      <c r="M78" s="1558"/>
      <c r="N78" s="1082"/>
      <c r="O78" s="1082"/>
      <c r="P78" s="1082"/>
      <c r="Q78" s="1082"/>
      <c r="R78" s="1558"/>
      <c r="S78" s="1082"/>
      <c r="T78" s="1082"/>
      <c r="U78" s="478"/>
      <c r="V78" s="1082"/>
      <c r="W78" s="1082"/>
      <c r="X78" s="1082"/>
      <c r="Y78" s="1082"/>
      <c r="Z78" s="1082"/>
      <c r="AA78" s="1554"/>
      <c r="AB78" s="500"/>
      <c r="AC78" s="500"/>
      <c r="AD78" s="500"/>
      <c r="AE78" s="500"/>
      <c r="AF78" s="1563">
        <v>11</v>
      </c>
    </row>
    <row r="79" spans="1:32" s="1563" customFormat="1" ht="11.45" customHeight="1">
      <c r="A79" s="913"/>
      <c r="B79" s="1558"/>
      <c r="C79" s="1558"/>
      <c r="D79" s="285"/>
      <c r="K79" s="1082"/>
      <c r="L79" s="1558"/>
      <c r="M79" s="1558"/>
      <c r="N79" s="1082"/>
      <c r="O79" s="1082"/>
      <c r="P79" s="1082"/>
      <c r="Q79" s="1082"/>
      <c r="R79" s="1558"/>
      <c r="S79" s="1082"/>
      <c r="T79" s="1082"/>
      <c r="U79" s="478"/>
      <c r="V79" s="1082"/>
      <c r="W79" s="1082"/>
      <c r="X79" s="1082"/>
      <c r="Y79" s="1082"/>
      <c r="Z79" s="1082"/>
      <c r="AA79" s="1554"/>
      <c r="AB79" s="500"/>
      <c r="AC79" s="500"/>
      <c r="AD79" s="500"/>
      <c r="AE79" s="500"/>
      <c r="AF79" s="1563">
        <v>11</v>
      </c>
    </row>
    <row r="80" spans="1:32" s="1563" customFormat="1" ht="11.45" customHeight="1">
      <c r="A80" s="913"/>
      <c r="B80" s="1558"/>
      <c r="C80" s="1558"/>
      <c r="D80" s="285"/>
      <c r="K80" s="1082"/>
      <c r="L80" s="1558"/>
      <c r="M80" s="1558"/>
      <c r="N80" s="1082"/>
      <c r="O80" s="1082"/>
      <c r="P80" s="1082"/>
      <c r="Q80" s="1082"/>
      <c r="R80" s="1558"/>
      <c r="S80" s="1082"/>
      <c r="T80" s="1082"/>
      <c r="U80" s="478"/>
      <c r="V80" s="1082"/>
      <c r="W80" s="1082"/>
      <c r="X80" s="1082"/>
      <c r="Y80" s="1082"/>
      <c r="Z80" s="1082"/>
      <c r="AA80" s="1554"/>
      <c r="AB80" s="500"/>
      <c r="AC80" s="500"/>
      <c r="AD80" s="500"/>
      <c r="AE80" s="500"/>
      <c r="AF80" s="1563">
        <v>11</v>
      </c>
    </row>
    <row r="81" spans="1:32" s="1563" customFormat="1" ht="11.45" customHeight="1">
      <c r="A81" s="913"/>
      <c r="B81" s="1558"/>
      <c r="C81" s="1558"/>
      <c r="D81" s="285"/>
      <c r="K81" s="1082"/>
      <c r="L81" s="1558"/>
      <c r="M81" s="1558"/>
      <c r="N81" s="1082"/>
      <c r="O81" s="1082"/>
      <c r="P81" s="1082"/>
      <c r="Q81" s="1082"/>
      <c r="R81" s="1558"/>
      <c r="S81" s="1082"/>
      <c r="T81" s="1082"/>
      <c r="U81" s="478"/>
      <c r="V81" s="1082"/>
      <c r="W81" s="1082"/>
      <c r="X81" s="1082"/>
      <c r="Y81" s="1082"/>
      <c r="Z81" s="1082"/>
      <c r="AA81" s="1554"/>
      <c r="AB81" s="500"/>
      <c r="AC81" s="500"/>
      <c r="AD81" s="500"/>
      <c r="AE81" s="500"/>
      <c r="AF81" s="1563">
        <v>11</v>
      </c>
    </row>
    <row r="82" spans="1:32" s="1563" customFormat="1" ht="11.45" customHeight="1">
      <c r="A82" s="913"/>
      <c r="B82" s="1558"/>
      <c r="C82" s="1558"/>
      <c r="D82" s="285"/>
      <c r="K82" s="1082"/>
      <c r="L82" s="1558"/>
      <c r="M82" s="1558"/>
      <c r="N82" s="1082"/>
      <c r="O82" s="1082"/>
      <c r="P82" s="1082"/>
      <c r="Q82" s="1082"/>
      <c r="R82" s="1558"/>
      <c r="S82" s="1082"/>
      <c r="T82" s="1082"/>
      <c r="U82" s="478"/>
      <c r="V82" s="1082"/>
      <c r="W82" s="1082"/>
      <c r="X82" s="1082"/>
      <c r="Y82" s="1082"/>
      <c r="Z82" s="1082"/>
      <c r="AA82" s="1554"/>
      <c r="AB82" s="500"/>
      <c r="AC82" s="500"/>
      <c r="AD82" s="500"/>
      <c r="AE82" s="500"/>
      <c r="AF82" s="1563">
        <v>11</v>
      </c>
    </row>
    <row r="83" spans="1:32" s="1563" customFormat="1" ht="11.45" customHeight="1">
      <c r="A83" s="913"/>
      <c r="B83" s="1558"/>
      <c r="C83" s="1558"/>
      <c r="D83" s="285"/>
      <c r="K83" s="1082"/>
      <c r="L83" s="1558"/>
      <c r="M83" s="1558"/>
      <c r="N83" s="1082"/>
      <c r="O83" s="1082"/>
      <c r="P83" s="1082"/>
      <c r="Q83" s="1082"/>
      <c r="R83" s="1558"/>
      <c r="S83" s="1082"/>
      <c r="T83" s="1082"/>
      <c r="U83" s="478"/>
      <c r="V83" s="1082"/>
      <c r="W83" s="1082"/>
      <c r="X83" s="1082"/>
      <c r="Y83" s="1082"/>
      <c r="Z83" s="1082"/>
      <c r="AA83" s="1554"/>
      <c r="AB83" s="500"/>
      <c r="AC83" s="500"/>
      <c r="AD83" s="500"/>
      <c r="AE83" s="500"/>
      <c r="AF83" s="1563">
        <v>11</v>
      </c>
    </row>
    <row r="84" spans="1:32" s="1563" customFormat="1" ht="11.45" customHeight="1">
      <c r="A84" s="913"/>
      <c r="B84" s="1558"/>
      <c r="C84" s="1558"/>
      <c r="D84" s="285"/>
      <c r="K84" s="1082"/>
      <c r="L84" s="1558"/>
      <c r="M84" s="1558"/>
      <c r="N84" s="1082"/>
      <c r="O84" s="1082"/>
      <c r="P84" s="1082"/>
      <c r="Q84" s="1082"/>
      <c r="R84" s="1558"/>
      <c r="S84" s="1082"/>
      <c r="T84" s="1082"/>
      <c r="U84" s="478"/>
      <c r="V84" s="1082"/>
      <c r="W84" s="1082"/>
      <c r="X84" s="1082"/>
      <c r="Y84" s="1082"/>
      <c r="Z84" s="1082"/>
      <c r="AA84" s="1554"/>
      <c r="AB84" s="500"/>
      <c r="AC84" s="500"/>
      <c r="AD84" s="500"/>
      <c r="AE84" s="500"/>
      <c r="AF84" s="1563">
        <v>11</v>
      </c>
    </row>
    <row r="85" spans="1:32" s="1563" customFormat="1" ht="11.45" customHeight="1">
      <c r="A85" s="913"/>
      <c r="B85" s="1558"/>
      <c r="C85" s="1558"/>
      <c r="D85" s="285"/>
      <c r="K85" s="1082"/>
      <c r="L85" s="1558"/>
      <c r="M85" s="1558"/>
      <c r="N85" s="1082"/>
      <c r="O85" s="1082"/>
      <c r="P85" s="1082"/>
      <c r="Q85" s="1082"/>
      <c r="R85" s="1558"/>
      <c r="S85" s="1082"/>
      <c r="T85" s="1082"/>
      <c r="U85" s="478"/>
      <c r="V85" s="1082"/>
      <c r="W85" s="1082"/>
      <c r="X85" s="1082"/>
      <c r="Y85" s="1082"/>
      <c r="Z85" s="1082"/>
      <c r="AA85" s="1554"/>
      <c r="AB85" s="500"/>
      <c r="AC85" s="500"/>
      <c r="AD85" s="500"/>
      <c r="AE85" s="500"/>
      <c r="AF85" s="1563">
        <v>11</v>
      </c>
    </row>
    <row r="86" spans="1:32" s="1563" customFormat="1" ht="11.45" customHeight="1">
      <c r="A86" s="913"/>
      <c r="B86" s="1558"/>
      <c r="C86" s="1558"/>
      <c r="D86" s="285"/>
      <c r="K86" s="1082"/>
      <c r="L86" s="1558"/>
      <c r="M86" s="1558"/>
      <c r="N86" s="1082"/>
      <c r="O86" s="1082"/>
      <c r="P86" s="1082"/>
      <c r="Q86" s="1082"/>
      <c r="R86" s="1558"/>
      <c r="S86" s="1082"/>
      <c r="T86" s="1082"/>
      <c r="U86" s="478"/>
      <c r="V86" s="1082"/>
      <c r="W86" s="1082"/>
      <c r="X86" s="1082"/>
      <c r="Y86" s="1082"/>
      <c r="Z86" s="1082"/>
      <c r="AA86" s="1554"/>
      <c r="AB86" s="500"/>
      <c r="AC86" s="500"/>
      <c r="AD86" s="500"/>
      <c r="AE86" s="500"/>
      <c r="AF86" s="1563">
        <v>11</v>
      </c>
    </row>
    <row r="87" spans="1:32" s="1563" customFormat="1" ht="11.45" customHeight="1">
      <c r="A87" s="913"/>
      <c r="B87" s="1558"/>
      <c r="C87" s="1558"/>
      <c r="D87" s="285"/>
      <c r="K87" s="1082"/>
      <c r="L87" s="1558"/>
      <c r="M87" s="1558"/>
      <c r="N87" s="1082"/>
      <c r="O87" s="1082"/>
      <c r="P87" s="1082"/>
      <c r="Q87" s="1082"/>
      <c r="R87" s="1558"/>
      <c r="S87" s="1082"/>
      <c r="T87" s="1082"/>
      <c r="U87" s="478"/>
      <c r="V87" s="1082"/>
      <c r="W87" s="1082"/>
      <c r="X87" s="1082"/>
      <c r="Y87" s="1082"/>
      <c r="Z87" s="1082"/>
      <c r="AA87" s="1554"/>
      <c r="AB87" s="500"/>
      <c r="AC87" s="500"/>
      <c r="AD87" s="500"/>
      <c r="AE87" s="500"/>
      <c r="AF87" s="1563">
        <v>11</v>
      </c>
    </row>
    <row r="88" spans="1:32" s="1563" customFormat="1" ht="11.45" customHeight="1">
      <c r="A88" s="913"/>
      <c r="B88" s="1558"/>
      <c r="C88" s="1558"/>
      <c r="D88" s="285"/>
      <c r="K88" s="1082"/>
      <c r="L88" s="1558"/>
      <c r="M88" s="1558"/>
      <c r="N88" s="1082"/>
      <c r="O88" s="1082"/>
      <c r="P88" s="1082"/>
      <c r="Q88" s="1082"/>
      <c r="R88" s="1558"/>
      <c r="S88" s="1082"/>
      <c r="T88" s="1082"/>
      <c r="U88" s="478"/>
      <c r="V88" s="1082"/>
      <c r="W88" s="1082"/>
      <c r="X88" s="1082"/>
      <c r="Y88" s="1082"/>
      <c r="Z88" s="1082"/>
      <c r="AA88" s="1554"/>
      <c r="AB88" s="500"/>
      <c r="AC88" s="500"/>
      <c r="AD88" s="500"/>
      <c r="AE88" s="500"/>
      <c r="AF88" s="1563">
        <v>11</v>
      </c>
    </row>
    <row r="89" spans="1:32" s="1563" customFormat="1" ht="11.45" customHeight="1">
      <c r="A89" s="913"/>
      <c r="B89" s="1558"/>
      <c r="C89" s="1558"/>
      <c r="D89" s="285"/>
      <c r="K89" s="1082"/>
      <c r="L89" s="1558"/>
      <c r="M89" s="1558"/>
      <c r="N89" s="1082"/>
      <c r="O89" s="1082"/>
      <c r="P89" s="1082"/>
      <c r="Q89" s="1082"/>
      <c r="R89" s="1558"/>
      <c r="S89" s="1082"/>
      <c r="T89" s="1082"/>
      <c r="U89" s="478"/>
      <c r="V89" s="1082"/>
      <c r="W89" s="1082"/>
      <c r="X89" s="1082"/>
      <c r="Y89" s="1082"/>
      <c r="Z89" s="1082"/>
      <c r="AA89" s="1554"/>
      <c r="AB89" s="500"/>
      <c r="AC89" s="500"/>
      <c r="AD89" s="500"/>
      <c r="AE89" s="500"/>
      <c r="AF89" s="1563">
        <v>11</v>
      </c>
    </row>
    <row r="90" spans="1:32" s="1563" customFormat="1" ht="11.45" customHeight="1">
      <c r="A90" s="913"/>
      <c r="B90" s="1558"/>
      <c r="C90" s="1558"/>
      <c r="D90" s="285"/>
      <c r="K90" s="1082"/>
      <c r="L90" s="1558"/>
      <c r="M90" s="1558"/>
      <c r="N90" s="1082"/>
      <c r="O90" s="1082"/>
      <c r="P90" s="1082"/>
      <c r="Q90" s="1082"/>
      <c r="R90" s="1558"/>
      <c r="S90" s="1082"/>
      <c r="T90" s="1082"/>
      <c r="U90" s="478"/>
      <c r="V90" s="1082"/>
      <c r="W90" s="1082"/>
      <c r="X90" s="1082"/>
      <c r="Y90" s="1082"/>
      <c r="Z90" s="1082"/>
      <c r="AA90" s="1554"/>
      <c r="AB90" s="500"/>
      <c r="AC90" s="500"/>
      <c r="AD90" s="500"/>
      <c r="AE90" s="500"/>
      <c r="AF90" s="1563">
        <v>11</v>
      </c>
    </row>
    <row r="91" spans="1:32" s="1563" customFormat="1" ht="11.45" customHeight="1">
      <c r="A91" s="913"/>
      <c r="B91" s="1558"/>
      <c r="C91" s="1558"/>
      <c r="D91" s="285"/>
      <c r="K91" s="1082"/>
      <c r="L91" s="1558"/>
      <c r="M91" s="1558"/>
      <c r="N91" s="1082"/>
      <c r="O91" s="1082"/>
      <c r="P91" s="1082"/>
      <c r="Q91" s="1082"/>
      <c r="R91" s="1558"/>
      <c r="S91" s="1082"/>
      <c r="T91" s="1082"/>
      <c r="U91" s="478"/>
      <c r="V91" s="1082"/>
      <c r="W91" s="1082"/>
      <c r="X91" s="1082"/>
      <c r="Y91" s="1082"/>
      <c r="Z91" s="1082"/>
      <c r="AA91" s="1554"/>
      <c r="AB91" s="500"/>
      <c r="AC91" s="500"/>
      <c r="AD91" s="500"/>
      <c r="AE91" s="500"/>
      <c r="AF91" s="1563">
        <v>11</v>
      </c>
    </row>
    <row r="92" spans="1:32" s="1563" customFormat="1" ht="11.45" customHeight="1">
      <c r="A92" s="913"/>
      <c r="B92" s="1558"/>
      <c r="C92" s="1558"/>
      <c r="D92" s="285"/>
      <c r="K92" s="1082"/>
      <c r="L92" s="1558"/>
      <c r="M92" s="1558"/>
      <c r="N92" s="1082"/>
      <c r="O92" s="1082"/>
      <c r="P92" s="1082"/>
      <c r="Q92" s="1082"/>
      <c r="R92" s="1558"/>
      <c r="S92" s="1082"/>
      <c r="T92" s="1082"/>
      <c r="U92" s="478"/>
      <c r="V92" s="1082"/>
      <c r="W92" s="1082"/>
      <c r="X92" s="1082"/>
      <c r="Y92" s="1082"/>
      <c r="Z92" s="1082"/>
      <c r="AA92" s="1554"/>
      <c r="AB92" s="500"/>
      <c r="AC92" s="500"/>
      <c r="AD92" s="500"/>
      <c r="AE92" s="500"/>
      <c r="AF92" s="1563">
        <v>11</v>
      </c>
    </row>
    <row r="93" spans="1:32" s="1563" customFormat="1" ht="11.45" customHeight="1">
      <c r="A93" s="913"/>
      <c r="B93" s="1558"/>
      <c r="C93" s="1558"/>
      <c r="D93" s="285"/>
      <c r="K93" s="1082"/>
      <c r="L93" s="1558"/>
      <c r="M93" s="1558"/>
      <c r="N93" s="1082"/>
      <c r="O93" s="1082"/>
      <c r="P93" s="1082"/>
      <c r="Q93" s="1082"/>
      <c r="R93" s="1558"/>
      <c r="S93" s="1082"/>
      <c r="T93" s="1082"/>
      <c r="U93" s="478"/>
      <c r="V93" s="1082"/>
      <c r="W93" s="1082"/>
      <c r="X93" s="1082"/>
      <c r="Y93" s="1082"/>
      <c r="Z93" s="1082"/>
      <c r="AA93" s="1554"/>
      <c r="AB93" s="500"/>
      <c r="AC93" s="500"/>
      <c r="AD93" s="500"/>
      <c r="AE93" s="500"/>
      <c r="AF93" s="1563">
        <v>11</v>
      </c>
    </row>
    <row r="94" spans="1:32" s="1563" customFormat="1" ht="11.45" customHeight="1">
      <c r="A94" s="913"/>
      <c r="B94" s="1558"/>
      <c r="C94" s="1558"/>
      <c r="D94" s="285"/>
      <c r="K94" s="1082"/>
      <c r="L94" s="1558"/>
      <c r="M94" s="1558"/>
      <c r="N94" s="1082"/>
      <c r="O94" s="1082"/>
      <c r="P94" s="1082"/>
      <c r="Q94" s="1082"/>
      <c r="R94" s="1558"/>
      <c r="S94" s="1082"/>
      <c r="T94" s="1082"/>
      <c r="U94" s="478"/>
      <c r="V94" s="1082"/>
      <c r="W94" s="1082"/>
      <c r="X94" s="1082"/>
      <c r="Y94" s="1082"/>
      <c r="Z94" s="1082"/>
      <c r="AA94" s="1554"/>
      <c r="AB94" s="500"/>
      <c r="AC94" s="500"/>
      <c r="AD94" s="500"/>
      <c r="AE94" s="500"/>
      <c r="AF94" s="1563">
        <v>11</v>
      </c>
    </row>
    <row r="95" spans="1:32" s="1563" customFormat="1" ht="11.45" customHeight="1">
      <c r="A95" s="913"/>
      <c r="B95" s="1558"/>
      <c r="C95" s="1558"/>
      <c r="D95" s="285"/>
      <c r="K95" s="1082"/>
      <c r="L95" s="1558"/>
      <c r="M95" s="1558"/>
      <c r="N95" s="1082"/>
      <c r="O95" s="1082"/>
      <c r="P95" s="1082"/>
      <c r="Q95" s="1082"/>
      <c r="R95" s="1558"/>
      <c r="S95" s="1082"/>
      <c r="T95" s="1082"/>
      <c r="U95" s="478"/>
      <c r="V95" s="1082"/>
      <c r="W95" s="1082"/>
      <c r="X95" s="1082"/>
      <c r="Y95" s="1082"/>
      <c r="Z95" s="1082"/>
      <c r="AA95" s="1554"/>
      <c r="AB95" s="500"/>
      <c r="AC95" s="500"/>
      <c r="AD95" s="500"/>
      <c r="AE95" s="500"/>
      <c r="AF95" s="1563">
        <v>11</v>
      </c>
    </row>
    <row r="96" spans="1:32" s="1563" customFormat="1" ht="11.45" customHeight="1">
      <c r="A96" s="913"/>
      <c r="B96" s="1558"/>
      <c r="C96" s="1558"/>
      <c r="D96" s="285"/>
      <c r="K96" s="1082"/>
      <c r="L96" s="1558"/>
      <c r="M96" s="1558"/>
      <c r="N96" s="1082"/>
      <c r="O96" s="1082"/>
      <c r="P96" s="1082"/>
      <c r="Q96" s="1082"/>
      <c r="R96" s="1558"/>
      <c r="S96" s="1082"/>
      <c r="T96" s="1082"/>
      <c r="U96" s="478"/>
      <c r="V96" s="1082"/>
      <c r="W96" s="1082"/>
      <c r="X96" s="1082"/>
      <c r="Y96" s="1082"/>
      <c r="Z96" s="1082"/>
      <c r="AA96" s="1554"/>
      <c r="AB96" s="500"/>
      <c r="AC96" s="500"/>
      <c r="AD96" s="500"/>
      <c r="AE96" s="500"/>
      <c r="AF96" s="1563">
        <v>11</v>
      </c>
    </row>
    <row r="97" spans="1:32" s="1563" customFormat="1" ht="11.45" customHeight="1">
      <c r="A97" s="913"/>
      <c r="B97" s="1558"/>
      <c r="C97" s="1558"/>
      <c r="D97" s="285"/>
      <c r="K97" s="1082"/>
      <c r="L97" s="1558"/>
      <c r="M97" s="1558"/>
      <c r="N97" s="1082"/>
      <c r="O97" s="1082"/>
      <c r="P97" s="1082"/>
      <c r="Q97" s="1082"/>
      <c r="R97" s="1558"/>
      <c r="S97" s="1082"/>
      <c r="T97" s="1082"/>
      <c r="U97" s="478"/>
      <c r="V97" s="1082"/>
      <c r="W97" s="1082"/>
      <c r="X97" s="1082"/>
      <c r="Y97" s="1082"/>
      <c r="Z97" s="1082"/>
      <c r="AA97" s="1554"/>
      <c r="AB97" s="500"/>
      <c r="AC97" s="500"/>
      <c r="AD97" s="500"/>
      <c r="AE97" s="500"/>
      <c r="AF97" s="1563">
        <v>11</v>
      </c>
    </row>
    <row r="98" spans="1:32" s="1563" customFormat="1" ht="11.45" customHeight="1">
      <c r="A98" s="913"/>
      <c r="B98" s="1558"/>
      <c r="C98" s="1558"/>
      <c r="D98" s="285"/>
      <c r="K98" s="1082"/>
      <c r="L98" s="1558"/>
      <c r="M98" s="1558"/>
      <c r="N98" s="1082"/>
      <c r="O98" s="1082"/>
      <c r="P98" s="1082"/>
      <c r="Q98" s="1082"/>
      <c r="R98" s="1558"/>
      <c r="S98" s="1082"/>
      <c r="T98" s="1082"/>
      <c r="U98" s="478"/>
      <c r="V98" s="1082"/>
      <c r="W98" s="1082"/>
      <c r="X98" s="1082"/>
      <c r="Y98" s="1082"/>
      <c r="Z98" s="1082"/>
      <c r="AA98" s="1554"/>
      <c r="AB98" s="500"/>
      <c r="AC98" s="500"/>
      <c r="AD98" s="500"/>
      <c r="AE98" s="500"/>
      <c r="AF98" s="1563">
        <v>11</v>
      </c>
    </row>
    <row r="99" spans="1:32" s="1563" customFormat="1" ht="11.45" customHeight="1">
      <c r="A99" s="913"/>
      <c r="B99" s="1558"/>
      <c r="C99" s="1558"/>
      <c r="D99" s="285"/>
      <c r="K99" s="1082"/>
      <c r="L99" s="1558"/>
      <c r="M99" s="1558"/>
      <c r="N99" s="1082"/>
      <c r="O99" s="1082"/>
      <c r="P99" s="1082"/>
      <c r="Q99" s="1082"/>
      <c r="R99" s="1558"/>
      <c r="S99" s="1082"/>
      <c r="T99" s="1082"/>
      <c r="U99" s="478"/>
      <c r="V99" s="1082"/>
      <c r="W99" s="1082"/>
      <c r="X99" s="1082"/>
      <c r="Y99" s="1082"/>
      <c r="Z99" s="1082"/>
      <c r="AA99" s="1554"/>
      <c r="AB99" s="500"/>
      <c r="AC99" s="500"/>
      <c r="AD99" s="500"/>
      <c r="AE99" s="500"/>
      <c r="AF99" s="1563">
        <v>11</v>
      </c>
    </row>
    <row r="100" spans="1:32" s="1563" customFormat="1" ht="11.45" customHeight="1">
      <c r="A100" s="913"/>
      <c r="B100" s="1558"/>
      <c r="C100" s="1558"/>
      <c r="D100" s="285"/>
      <c r="K100" s="1082"/>
      <c r="L100" s="1558"/>
      <c r="M100" s="1558"/>
      <c r="N100" s="1082"/>
      <c r="O100" s="1082"/>
      <c r="P100" s="1082"/>
      <c r="Q100" s="1082"/>
      <c r="R100" s="1558"/>
      <c r="S100" s="1082"/>
      <c r="T100" s="1082"/>
      <c r="U100" s="478"/>
      <c r="V100" s="1082"/>
      <c r="W100" s="1082"/>
      <c r="X100" s="1082"/>
      <c r="Y100" s="1082"/>
      <c r="Z100" s="1082"/>
      <c r="AA100" s="1554"/>
      <c r="AB100" s="500"/>
      <c r="AC100" s="500"/>
      <c r="AD100" s="500"/>
      <c r="AE100" s="500"/>
      <c r="AF100" s="1563">
        <v>11</v>
      </c>
    </row>
    <row r="101" spans="1:32" s="1563" customFormat="1" ht="11.45" customHeight="1">
      <c r="A101" s="913"/>
      <c r="B101" s="1558"/>
      <c r="C101" s="1558"/>
      <c r="D101" s="285"/>
      <c r="K101" s="1082"/>
      <c r="L101" s="1558"/>
      <c r="M101" s="1558"/>
      <c r="N101" s="1082"/>
      <c r="O101" s="1082"/>
      <c r="P101" s="1082"/>
      <c r="Q101" s="1082"/>
      <c r="R101" s="1558"/>
      <c r="S101" s="1082"/>
      <c r="T101" s="1082"/>
      <c r="U101" s="478"/>
      <c r="V101" s="1082"/>
      <c r="W101" s="1082"/>
      <c r="X101" s="1082"/>
      <c r="Y101" s="1082"/>
      <c r="Z101" s="1082"/>
      <c r="AA101" s="1554"/>
      <c r="AB101" s="500"/>
      <c r="AC101" s="500"/>
      <c r="AD101" s="500"/>
      <c r="AE101" s="500"/>
      <c r="AF101" s="1563">
        <v>11</v>
      </c>
    </row>
    <row r="102" spans="1:32" s="1563" customFormat="1" ht="11.45" customHeight="1">
      <c r="A102" s="913"/>
      <c r="B102" s="1558"/>
      <c r="C102" s="1558"/>
      <c r="D102" s="285"/>
      <c r="K102" s="1082"/>
      <c r="L102" s="1558"/>
      <c r="M102" s="1558"/>
      <c r="N102" s="1082"/>
      <c r="O102" s="1082"/>
      <c r="P102" s="1082"/>
      <c r="Q102" s="1082"/>
      <c r="R102" s="1558"/>
      <c r="S102" s="1082"/>
      <c r="T102" s="1082"/>
      <c r="U102" s="478"/>
      <c r="V102" s="1082"/>
      <c r="W102" s="1082"/>
      <c r="X102" s="1082"/>
      <c r="Y102" s="1082"/>
      <c r="Z102" s="1082"/>
      <c r="AA102" s="1554"/>
      <c r="AB102" s="500"/>
      <c r="AC102" s="500"/>
      <c r="AD102" s="500"/>
      <c r="AE102" s="500"/>
      <c r="AF102" s="1563">
        <v>11</v>
      </c>
    </row>
    <row r="103" spans="1:32" s="1563" customFormat="1" ht="11.45" customHeight="1">
      <c r="A103" s="913"/>
      <c r="B103" s="1558"/>
      <c r="C103" s="1558"/>
      <c r="D103" s="285"/>
      <c r="K103" s="1082"/>
      <c r="L103" s="1558"/>
      <c r="M103" s="1558"/>
      <c r="N103" s="1082"/>
      <c r="O103" s="1082"/>
      <c r="P103" s="1082"/>
      <c r="Q103" s="1082"/>
      <c r="R103" s="1558"/>
      <c r="S103" s="1082"/>
      <c r="T103" s="1082"/>
      <c r="U103" s="478"/>
      <c r="V103" s="1082"/>
      <c r="W103" s="1082"/>
      <c r="X103" s="1082"/>
      <c r="Y103" s="1082"/>
      <c r="Z103" s="1082"/>
      <c r="AA103" s="1554"/>
      <c r="AB103" s="500"/>
      <c r="AC103" s="500"/>
      <c r="AD103" s="500"/>
      <c r="AE103" s="500"/>
      <c r="AF103" s="1563">
        <v>11</v>
      </c>
    </row>
    <row r="104" spans="1:32" s="1563" customFormat="1" ht="11.45" customHeight="1">
      <c r="A104" s="913"/>
      <c r="B104" s="1558"/>
      <c r="C104" s="1558"/>
      <c r="D104" s="285"/>
      <c r="K104" s="1082"/>
      <c r="L104" s="1558"/>
      <c r="M104" s="1558"/>
      <c r="N104" s="1082"/>
      <c r="O104" s="1082"/>
      <c r="P104" s="1082"/>
      <c r="Q104" s="1082"/>
      <c r="R104" s="1558"/>
      <c r="S104" s="1082"/>
      <c r="T104" s="1082"/>
      <c r="U104" s="478"/>
      <c r="V104" s="1082"/>
      <c r="W104" s="1082"/>
      <c r="X104" s="1082"/>
      <c r="Y104" s="1082"/>
      <c r="Z104" s="1082"/>
      <c r="AA104" s="1554"/>
      <c r="AB104" s="500"/>
      <c r="AC104" s="500"/>
      <c r="AD104" s="500"/>
      <c r="AE104" s="500"/>
      <c r="AF104" s="1563">
        <v>11</v>
      </c>
    </row>
    <row r="105" spans="1:32" s="1563" customFormat="1" ht="11.45" customHeight="1">
      <c r="A105" s="913"/>
      <c r="B105" s="1558"/>
      <c r="C105" s="1558"/>
      <c r="D105" s="285"/>
      <c r="K105" s="1082"/>
      <c r="L105" s="1558"/>
      <c r="M105" s="1558"/>
      <c r="N105" s="1082"/>
      <c r="O105" s="1082"/>
      <c r="P105" s="1082"/>
      <c r="Q105" s="1082"/>
      <c r="R105" s="1558"/>
      <c r="S105" s="1082"/>
      <c r="T105" s="1082"/>
      <c r="U105" s="478"/>
      <c r="V105" s="1082"/>
      <c r="W105" s="1082"/>
      <c r="X105" s="1082"/>
      <c r="Y105" s="1082"/>
      <c r="Z105" s="1082"/>
      <c r="AA105" s="1554"/>
      <c r="AB105" s="500"/>
      <c r="AC105" s="500"/>
      <c r="AD105" s="500"/>
      <c r="AE105" s="500"/>
      <c r="AF105" s="1563">
        <v>11</v>
      </c>
    </row>
    <row r="106" spans="1:32" s="1563" customFormat="1" ht="11.45" customHeight="1">
      <c r="A106" s="913"/>
      <c r="B106" s="1558"/>
      <c r="C106" s="1558"/>
      <c r="D106" s="285"/>
      <c r="K106" s="1082"/>
      <c r="L106" s="1558"/>
      <c r="M106" s="1558"/>
      <c r="N106" s="1082"/>
      <c r="O106" s="1082"/>
      <c r="P106" s="1082"/>
      <c r="Q106" s="1082"/>
      <c r="R106" s="1558"/>
      <c r="S106" s="1082"/>
      <c r="T106" s="1082"/>
      <c r="U106" s="478"/>
      <c r="V106" s="1082"/>
      <c r="W106" s="1082"/>
      <c r="X106" s="1082"/>
      <c r="Y106" s="1082"/>
      <c r="Z106" s="1082"/>
      <c r="AA106" s="1554"/>
      <c r="AB106" s="500"/>
      <c r="AC106" s="500"/>
      <c r="AD106" s="500"/>
      <c r="AE106" s="500"/>
      <c r="AF106" s="1563">
        <v>11</v>
      </c>
    </row>
    <row r="107" spans="1:32" s="1563" customFormat="1" ht="11.45" customHeight="1">
      <c r="A107" s="913"/>
      <c r="B107" s="1558"/>
      <c r="C107" s="1558"/>
      <c r="D107" s="285"/>
      <c r="K107" s="1082"/>
      <c r="L107" s="1558"/>
      <c r="M107" s="1558"/>
      <c r="N107" s="1082"/>
      <c r="O107" s="1082"/>
      <c r="P107" s="1082"/>
      <c r="Q107" s="1082"/>
      <c r="R107" s="1558"/>
      <c r="S107" s="1082"/>
      <c r="T107" s="1082"/>
      <c r="U107" s="478"/>
      <c r="V107" s="1082"/>
      <c r="W107" s="1082"/>
      <c r="X107" s="1082"/>
      <c r="Y107" s="1082"/>
      <c r="Z107" s="1082"/>
      <c r="AA107" s="1554"/>
      <c r="AB107" s="500"/>
      <c r="AC107" s="500"/>
      <c r="AD107" s="500"/>
      <c r="AE107" s="500"/>
      <c r="AF107" s="1563">
        <v>11</v>
      </c>
    </row>
    <row r="108" spans="1:32" s="1563" customFormat="1" ht="11.45" customHeight="1">
      <c r="A108" s="913"/>
      <c r="B108" s="1558"/>
      <c r="C108" s="1558"/>
      <c r="D108" s="285"/>
      <c r="K108" s="1082"/>
      <c r="L108" s="1558"/>
      <c r="M108" s="1558"/>
      <c r="N108" s="1082"/>
      <c r="O108" s="1082"/>
      <c r="P108" s="1082"/>
      <c r="Q108" s="1082"/>
      <c r="R108" s="1558"/>
      <c r="S108" s="1082"/>
      <c r="T108" s="1082"/>
      <c r="U108" s="478"/>
      <c r="V108" s="1082"/>
      <c r="W108" s="1082"/>
      <c r="X108" s="1082"/>
      <c r="Y108" s="1082"/>
      <c r="Z108" s="1082"/>
      <c r="AA108" s="1554"/>
      <c r="AB108" s="500"/>
      <c r="AC108" s="500"/>
      <c r="AD108" s="500"/>
      <c r="AE108" s="500"/>
      <c r="AF108" s="1563">
        <v>11</v>
      </c>
    </row>
    <row r="109" spans="1:32" s="1563" customFormat="1" ht="11.45" customHeight="1">
      <c r="A109" s="913"/>
      <c r="B109" s="1558"/>
      <c r="C109" s="1558"/>
      <c r="D109" s="285"/>
      <c r="K109" s="1082"/>
      <c r="L109" s="1558"/>
      <c r="M109" s="1558"/>
      <c r="N109" s="1082"/>
      <c r="O109" s="1082"/>
      <c r="P109" s="1082"/>
      <c r="Q109" s="1082"/>
      <c r="R109" s="1558"/>
      <c r="S109" s="1082"/>
      <c r="T109" s="1082"/>
      <c r="U109" s="478"/>
      <c r="V109" s="1082"/>
      <c r="W109" s="1082"/>
      <c r="X109" s="1082"/>
      <c r="Y109" s="1082"/>
      <c r="Z109" s="1082"/>
      <c r="AA109" s="1554"/>
      <c r="AB109" s="500"/>
      <c r="AC109" s="500"/>
      <c r="AD109" s="500"/>
      <c r="AE109" s="500"/>
      <c r="AF109" s="1563">
        <v>11</v>
      </c>
    </row>
    <row r="110" spans="1:32" s="1563" customFormat="1" ht="11.45" customHeight="1">
      <c r="A110" s="913"/>
      <c r="B110" s="1558"/>
      <c r="C110" s="1558"/>
      <c r="D110" s="285"/>
      <c r="K110" s="1082"/>
      <c r="L110" s="1558"/>
      <c r="M110" s="1558"/>
      <c r="N110" s="1082"/>
      <c r="O110" s="1082"/>
      <c r="P110" s="1082"/>
      <c r="Q110" s="1082"/>
      <c r="R110" s="1558"/>
      <c r="S110" s="1082"/>
      <c r="T110" s="1082"/>
      <c r="U110" s="478"/>
      <c r="V110" s="1082"/>
      <c r="W110" s="1082"/>
      <c r="X110" s="1082"/>
      <c r="Y110" s="1082"/>
      <c r="Z110" s="1082"/>
      <c r="AA110" s="1554"/>
      <c r="AB110" s="500"/>
      <c r="AC110" s="500"/>
      <c r="AD110" s="500"/>
      <c r="AE110" s="500"/>
      <c r="AF110" s="1563">
        <v>11</v>
      </c>
    </row>
    <row r="111" spans="1:32" s="1563" customFormat="1" ht="11.45" customHeight="1">
      <c r="A111" s="913"/>
      <c r="B111" s="1558"/>
      <c r="C111" s="1558"/>
      <c r="D111" s="285"/>
      <c r="K111" s="1082"/>
      <c r="L111" s="1558"/>
      <c r="M111" s="1558"/>
      <c r="N111" s="1082"/>
      <c r="O111" s="1082"/>
      <c r="P111" s="1082"/>
      <c r="Q111" s="1082"/>
      <c r="R111" s="1558"/>
      <c r="S111" s="1082"/>
      <c r="T111" s="1082"/>
      <c r="U111" s="478"/>
      <c r="V111" s="1082"/>
      <c r="W111" s="1082"/>
      <c r="X111" s="1082"/>
      <c r="Y111" s="1082"/>
      <c r="Z111" s="1082"/>
      <c r="AA111" s="1554"/>
      <c r="AB111" s="500"/>
      <c r="AC111" s="500"/>
      <c r="AD111" s="500"/>
      <c r="AE111" s="500"/>
      <c r="AF111" s="1563">
        <v>11</v>
      </c>
    </row>
    <row r="112" spans="1:32" s="1563" customFormat="1" ht="11.45" customHeight="1">
      <c r="A112" s="913"/>
      <c r="B112" s="1558"/>
      <c r="C112" s="1558"/>
      <c r="D112" s="285"/>
      <c r="K112" s="1082"/>
      <c r="L112" s="1558"/>
      <c r="M112" s="1558"/>
      <c r="N112" s="1082"/>
      <c r="O112" s="1082"/>
      <c r="P112" s="1082"/>
      <c r="Q112" s="1082"/>
      <c r="R112" s="1558"/>
      <c r="S112" s="1082"/>
      <c r="T112" s="1082"/>
      <c r="U112" s="478"/>
      <c r="V112" s="1082"/>
      <c r="W112" s="1082"/>
      <c r="X112" s="1082"/>
      <c r="Y112" s="1082"/>
      <c r="Z112" s="1082"/>
      <c r="AA112" s="1554"/>
      <c r="AB112" s="500"/>
      <c r="AC112" s="500"/>
      <c r="AD112" s="500"/>
      <c r="AE112" s="500"/>
      <c r="AF112" s="1563">
        <v>11</v>
      </c>
    </row>
    <row r="113" spans="1:32" s="1563" customFormat="1" ht="11.45" customHeight="1">
      <c r="A113" s="913"/>
      <c r="B113" s="1558"/>
      <c r="C113" s="1558"/>
      <c r="D113" s="285"/>
      <c r="K113" s="1082"/>
      <c r="L113" s="1558"/>
      <c r="M113" s="1558"/>
      <c r="N113" s="1082"/>
      <c r="O113" s="1082"/>
      <c r="P113" s="1082"/>
      <c r="Q113" s="1082"/>
      <c r="R113" s="1558"/>
      <c r="S113" s="1082"/>
      <c r="T113" s="1082"/>
      <c r="U113" s="478"/>
      <c r="V113" s="1082"/>
      <c r="W113" s="1082"/>
      <c r="X113" s="1082"/>
      <c r="Y113" s="1082"/>
      <c r="Z113" s="1082"/>
      <c r="AA113" s="1554"/>
      <c r="AB113" s="500"/>
      <c r="AC113" s="500"/>
      <c r="AD113" s="500"/>
      <c r="AE113" s="500"/>
      <c r="AF113" s="1563">
        <v>11</v>
      </c>
    </row>
    <row r="114" spans="1:32" s="1563" customFormat="1" ht="11.45" customHeight="1">
      <c r="A114" s="913"/>
      <c r="B114" s="1558"/>
      <c r="C114" s="1558"/>
      <c r="D114" s="285"/>
      <c r="K114" s="1082"/>
      <c r="L114" s="1558"/>
      <c r="M114" s="1558"/>
      <c r="N114" s="1082"/>
      <c r="O114" s="1082"/>
      <c r="P114" s="1082"/>
      <c r="Q114" s="1082"/>
      <c r="R114" s="1558"/>
      <c r="S114" s="1082"/>
      <c r="T114" s="1082"/>
      <c r="U114" s="478"/>
      <c r="V114" s="1082"/>
      <c r="W114" s="1082"/>
      <c r="X114" s="1082"/>
      <c r="Y114" s="1082"/>
      <c r="Z114" s="1082"/>
      <c r="AA114" s="1554"/>
      <c r="AB114" s="500"/>
      <c r="AC114" s="500"/>
      <c r="AD114" s="500"/>
      <c r="AE114" s="500"/>
      <c r="AF114" s="1563">
        <v>11</v>
      </c>
    </row>
    <row r="115" spans="1:32" s="1563" customFormat="1" ht="11.45" customHeight="1">
      <c r="A115" s="913"/>
      <c r="B115" s="1558"/>
      <c r="C115" s="1558"/>
      <c r="D115" s="285"/>
      <c r="K115" s="1082"/>
      <c r="L115" s="1558"/>
      <c r="M115" s="1558"/>
      <c r="N115" s="1082"/>
      <c r="O115" s="1082"/>
      <c r="P115" s="1082"/>
      <c r="Q115" s="1082"/>
      <c r="R115" s="1558"/>
      <c r="S115" s="1082"/>
      <c r="T115" s="1082"/>
      <c r="U115" s="478"/>
      <c r="V115" s="1082"/>
      <c r="W115" s="1082"/>
      <c r="X115" s="1082"/>
      <c r="Y115" s="1082"/>
      <c r="Z115" s="1082"/>
      <c r="AA115" s="1554"/>
      <c r="AB115" s="500"/>
      <c r="AC115" s="500"/>
      <c r="AD115" s="500"/>
      <c r="AE115" s="500"/>
      <c r="AF115" s="1563">
        <v>11</v>
      </c>
    </row>
    <row r="116" spans="1:32" s="1563" customFormat="1" ht="11.45" customHeight="1">
      <c r="A116" s="913"/>
      <c r="B116" s="1558"/>
      <c r="C116" s="1558"/>
      <c r="D116" s="285"/>
      <c r="K116" s="1082"/>
      <c r="L116" s="1558"/>
      <c r="M116" s="1558"/>
      <c r="N116" s="1082"/>
      <c r="O116" s="1082"/>
      <c r="P116" s="1082"/>
      <c r="Q116" s="1082"/>
      <c r="R116" s="1558"/>
      <c r="S116" s="1082"/>
      <c r="T116" s="1082"/>
      <c r="U116" s="478"/>
      <c r="V116" s="1082"/>
      <c r="W116" s="1082"/>
      <c r="X116" s="1082"/>
      <c r="Y116" s="1082"/>
      <c r="Z116" s="1082"/>
      <c r="AA116" s="1554"/>
      <c r="AB116" s="500"/>
      <c r="AC116" s="500"/>
      <c r="AD116" s="500"/>
      <c r="AE116" s="500"/>
      <c r="AF116" s="1563">
        <v>11</v>
      </c>
    </row>
    <row r="117" spans="1:32" s="1563" customFormat="1" ht="11.45" customHeight="1">
      <c r="A117" s="913"/>
      <c r="B117" s="1558"/>
      <c r="C117" s="1558"/>
      <c r="D117" s="285"/>
      <c r="K117" s="1082"/>
      <c r="L117" s="1558"/>
      <c r="M117" s="1558"/>
      <c r="N117" s="1082"/>
      <c r="O117" s="1082"/>
      <c r="P117" s="1082"/>
      <c r="Q117" s="1082"/>
      <c r="R117" s="1558"/>
      <c r="S117" s="1082"/>
      <c r="T117" s="1082"/>
      <c r="U117" s="478"/>
      <c r="V117" s="1082"/>
      <c r="W117" s="1082"/>
      <c r="X117" s="1082"/>
      <c r="Y117" s="1082"/>
      <c r="Z117" s="1082"/>
      <c r="AA117" s="1554"/>
      <c r="AB117" s="500"/>
      <c r="AC117" s="500"/>
      <c r="AD117" s="500"/>
      <c r="AE117" s="500"/>
      <c r="AF117" s="1563">
        <v>11</v>
      </c>
    </row>
    <row r="118" spans="1:32" s="1563" customFormat="1" ht="11.45" customHeight="1">
      <c r="A118" s="913"/>
      <c r="B118" s="1558"/>
      <c r="C118" s="1558"/>
      <c r="D118" s="285"/>
      <c r="K118" s="1082"/>
      <c r="L118" s="1558"/>
      <c r="M118" s="1558"/>
      <c r="N118" s="1082"/>
      <c r="O118" s="1082"/>
      <c r="P118" s="1082"/>
      <c r="Q118" s="1082"/>
      <c r="R118" s="1558"/>
      <c r="S118" s="1082"/>
      <c r="T118" s="1082"/>
      <c r="U118" s="478"/>
      <c r="V118" s="1082"/>
      <c r="W118" s="1082"/>
      <c r="X118" s="1082"/>
      <c r="Y118" s="1082"/>
      <c r="Z118" s="1082"/>
      <c r="AA118" s="1554"/>
      <c r="AB118" s="500"/>
      <c r="AC118" s="500"/>
      <c r="AD118" s="500"/>
      <c r="AE118" s="500"/>
      <c r="AF118" s="1563">
        <v>11</v>
      </c>
    </row>
    <row r="119" spans="1:32" s="1563" customFormat="1" ht="11.45" customHeight="1">
      <c r="A119" s="913"/>
      <c r="B119" s="1558"/>
      <c r="C119" s="1558"/>
      <c r="D119" s="285"/>
      <c r="K119" s="1082"/>
      <c r="L119" s="1558"/>
      <c r="M119" s="1558"/>
      <c r="N119" s="1082"/>
      <c r="O119" s="1082"/>
      <c r="P119" s="1082"/>
      <c r="Q119" s="1082"/>
      <c r="R119" s="1558"/>
      <c r="S119" s="1082"/>
      <c r="T119" s="1082"/>
      <c r="U119" s="478"/>
      <c r="V119" s="1082"/>
      <c r="W119" s="1082"/>
      <c r="X119" s="1082"/>
      <c r="Y119" s="1082"/>
      <c r="Z119" s="1082"/>
      <c r="AA119" s="1554"/>
      <c r="AB119" s="500"/>
      <c r="AC119" s="500"/>
      <c r="AD119" s="500"/>
      <c r="AE119" s="500"/>
      <c r="AF119" s="1563">
        <v>11</v>
      </c>
    </row>
    <row r="120" spans="1:32" s="1563" customFormat="1" ht="11.45" customHeight="1">
      <c r="A120" s="913"/>
      <c r="B120" s="1558"/>
      <c r="C120" s="1558"/>
      <c r="D120" s="285"/>
      <c r="K120" s="1082"/>
      <c r="L120" s="1558"/>
      <c r="M120" s="1558"/>
      <c r="N120" s="1082"/>
      <c r="O120" s="1082"/>
      <c r="P120" s="1082"/>
      <c r="Q120" s="1082"/>
      <c r="R120" s="1558"/>
      <c r="S120" s="1082"/>
      <c r="T120" s="1082"/>
      <c r="U120" s="478"/>
      <c r="V120" s="1082"/>
      <c r="W120" s="1082"/>
      <c r="X120" s="1082"/>
      <c r="Y120" s="1082"/>
      <c r="Z120" s="1082"/>
      <c r="AA120" s="1554"/>
      <c r="AB120" s="500"/>
      <c r="AC120" s="500"/>
      <c r="AD120" s="500"/>
      <c r="AE120" s="500"/>
      <c r="AF120" s="1563">
        <v>11</v>
      </c>
    </row>
    <row r="121" spans="1:32" s="1563" customFormat="1" ht="11.45" customHeight="1">
      <c r="A121" s="913"/>
      <c r="B121" s="1558"/>
      <c r="C121" s="1558"/>
      <c r="D121" s="285"/>
      <c r="K121" s="1082"/>
      <c r="L121" s="1558"/>
      <c r="M121" s="1558"/>
      <c r="N121" s="1082"/>
      <c r="O121" s="1082"/>
      <c r="P121" s="1082"/>
      <c r="Q121" s="1082"/>
      <c r="R121" s="1558"/>
      <c r="S121" s="1082"/>
      <c r="T121" s="1082"/>
      <c r="U121" s="478"/>
      <c r="V121" s="1082"/>
      <c r="W121" s="1082"/>
      <c r="X121" s="1082"/>
      <c r="Y121" s="1082"/>
      <c r="Z121" s="1082"/>
      <c r="AA121" s="1554"/>
      <c r="AB121" s="500"/>
      <c r="AC121" s="500"/>
      <c r="AD121" s="500"/>
      <c r="AE121" s="500"/>
      <c r="AF121" s="1563">
        <v>11</v>
      </c>
    </row>
    <row r="122" spans="1:32" s="1563" customFormat="1" ht="11.45" customHeight="1">
      <c r="A122" s="913"/>
      <c r="B122" s="1558"/>
      <c r="C122" s="1558"/>
      <c r="D122" s="285"/>
      <c r="K122" s="1082"/>
      <c r="L122" s="1558"/>
      <c r="M122" s="1558"/>
      <c r="N122" s="1082"/>
      <c r="O122" s="1082"/>
      <c r="P122" s="1082"/>
      <c r="Q122" s="1082"/>
      <c r="R122" s="1558"/>
      <c r="S122" s="1082"/>
      <c r="T122" s="1082"/>
      <c r="U122" s="478"/>
      <c r="V122" s="1082"/>
      <c r="W122" s="1082"/>
      <c r="X122" s="1082"/>
      <c r="Y122" s="1082"/>
      <c r="Z122" s="1082"/>
      <c r="AA122" s="1554"/>
      <c r="AB122" s="500"/>
      <c r="AC122" s="500"/>
      <c r="AD122" s="500"/>
      <c r="AE122" s="500"/>
      <c r="AF122" s="1563">
        <v>11</v>
      </c>
    </row>
    <row r="123" spans="1:32" s="1563" customFormat="1" ht="11.45" customHeight="1">
      <c r="A123" s="913"/>
      <c r="B123" s="1558"/>
      <c r="C123" s="1558"/>
      <c r="D123" s="285"/>
      <c r="K123" s="1082"/>
      <c r="L123" s="1558"/>
      <c r="M123" s="1558"/>
      <c r="N123" s="1082"/>
      <c r="O123" s="1082"/>
      <c r="P123" s="1082"/>
      <c r="Q123" s="1082"/>
      <c r="R123" s="1558"/>
      <c r="S123" s="1082"/>
      <c r="T123" s="1082"/>
      <c r="U123" s="478"/>
      <c r="V123" s="1082"/>
      <c r="W123" s="1082"/>
      <c r="X123" s="1082"/>
      <c r="Y123" s="1082"/>
      <c r="Z123" s="1082"/>
      <c r="AA123" s="1554"/>
      <c r="AB123" s="500"/>
      <c r="AC123" s="500"/>
      <c r="AD123" s="500"/>
      <c r="AE123" s="500"/>
      <c r="AF123" s="1563">
        <v>11</v>
      </c>
    </row>
    <row r="124" spans="1:32" s="1563" customFormat="1" ht="11.45" customHeight="1">
      <c r="A124" s="913"/>
      <c r="B124" s="1558"/>
      <c r="C124" s="1558"/>
      <c r="D124" s="285"/>
      <c r="K124" s="1082"/>
      <c r="L124" s="1558"/>
      <c r="M124" s="1558"/>
      <c r="N124" s="1082"/>
      <c r="O124" s="1082"/>
      <c r="P124" s="1082"/>
      <c r="Q124" s="1082"/>
      <c r="R124" s="1558"/>
      <c r="S124" s="1082"/>
      <c r="T124" s="1082"/>
      <c r="U124" s="478"/>
      <c r="V124" s="1082"/>
      <c r="W124" s="1082"/>
      <c r="X124" s="1082"/>
      <c r="Y124" s="1082"/>
      <c r="Z124" s="1082"/>
      <c r="AA124" s="1554"/>
      <c r="AB124" s="500"/>
      <c r="AC124" s="500"/>
      <c r="AD124" s="500"/>
      <c r="AE124" s="500"/>
      <c r="AF124" s="1563">
        <v>11</v>
      </c>
    </row>
    <row r="125" spans="1:32" s="1563" customFormat="1" ht="11.45" customHeight="1">
      <c r="A125" s="913"/>
      <c r="B125" s="1558"/>
      <c r="C125" s="1558"/>
      <c r="D125" s="285"/>
      <c r="K125" s="1082"/>
      <c r="L125" s="1558"/>
      <c r="M125" s="1558"/>
      <c r="N125" s="1082"/>
      <c r="O125" s="1082"/>
      <c r="P125" s="1082"/>
      <c r="Q125" s="1082"/>
      <c r="R125" s="1558"/>
      <c r="S125" s="1082"/>
      <c r="T125" s="1082"/>
      <c r="U125" s="478"/>
      <c r="V125" s="1082"/>
      <c r="W125" s="1082"/>
      <c r="X125" s="1082"/>
      <c r="Y125" s="1082"/>
      <c r="Z125" s="1082"/>
      <c r="AA125" s="1554"/>
      <c r="AB125" s="500"/>
      <c r="AC125" s="500"/>
      <c r="AD125" s="500"/>
      <c r="AE125" s="500"/>
      <c r="AF125" s="1563">
        <v>11</v>
      </c>
    </row>
    <row r="126" spans="1:32" s="1563" customFormat="1" ht="11.45" customHeight="1">
      <c r="A126" s="913"/>
      <c r="B126" s="1558"/>
      <c r="C126" s="1558"/>
      <c r="D126" s="285"/>
      <c r="K126" s="1082"/>
      <c r="L126" s="1558"/>
      <c r="M126" s="1558"/>
      <c r="N126" s="1082"/>
      <c r="O126" s="1082"/>
      <c r="P126" s="1082"/>
      <c r="Q126" s="1082"/>
      <c r="R126" s="1558"/>
      <c r="S126" s="1082"/>
      <c r="T126" s="1082"/>
      <c r="U126" s="478"/>
      <c r="V126" s="1082"/>
      <c r="W126" s="1082"/>
      <c r="X126" s="1082"/>
      <c r="Y126" s="1082"/>
      <c r="Z126" s="1082"/>
      <c r="AA126" s="1554"/>
      <c r="AB126" s="500"/>
      <c r="AC126" s="500"/>
      <c r="AD126" s="500"/>
      <c r="AE126" s="500"/>
      <c r="AF126" s="1563">
        <v>11</v>
      </c>
    </row>
    <row r="127" spans="1:32" s="1563" customFormat="1" ht="11.45" customHeight="1">
      <c r="A127" s="913"/>
      <c r="B127" s="1558"/>
      <c r="C127" s="1558"/>
      <c r="D127" s="285"/>
      <c r="K127" s="1082"/>
      <c r="L127" s="1558"/>
      <c r="M127" s="1558"/>
      <c r="N127" s="1082"/>
      <c r="O127" s="1082"/>
      <c r="P127" s="1082"/>
      <c r="Q127" s="1082"/>
      <c r="R127" s="1558"/>
      <c r="S127" s="1082"/>
      <c r="T127" s="1082"/>
      <c r="U127" s="478"/>
      <c r="V127" s="1082"/>
      <c r="W127" s="1082"/>
      <c r="X127" s="1082"/>
      <c r="Y127" s="1082"/>
      <c r="Z127" s="1082"/>
      <c r="AA127" s="1554"/>
      <c r="AB127" s="500"/>
      <c r="AC127" s="500"/>
      <c r="AD127" s="500"/>
      <c r="AE127" s="500"/>
      <c r="AF127" s="1563">
        <v>11</v>
      </c>
    </row>
    <row r="128" spans="1:32" s="1563" customFormat="1" ht="11.45" customHeight="1">
      <c r="A128" s="913"/>
      <c r="B128" s="1558"/>
      <c r="C128" s="1558"/>
      <c r="D128" s="285"/>
      <c r="K128" s="1082"/>
      <c r="L128" s="1558"/>
      <c r="M128" s="1558"/>
      <c r="N128" s="1082"/>
      <c r="O128" s="1082"/>
      <c r="P128" s="1082"/>
      <c r="Q128" s="1082"/>
      <c r="R128" s="1558"/>
      <c r="S128" s="1082"/>
      <c r="T128" s="1082"/>
      <c r="U128" s="478"/>
      <c r="V128" s="1082"/>
      <c r="W128" s="1082"/>
      <c r="X128" s="1082"/>
      <c r="Y128" s="1082"/>
      <c r="Z128" s="1082"/>
      <c r="AA128" s="1554"/>
      <c r="AB128" s="500"/>
      <c r="AC128" s="500"/>
      <c r="AD128" s="500"/>
      <c r="AE128" s="500"/>
      <c r="AF128" s="1563">
        <v>11</v>
      </c>
    </row>
    <row r="129" spans="1:32" s="1563" customFormat="1" ht="11.45" customHeight="1">
      <c r="A129" s="913"/>
      <c r="B129" s="1558"/>
      <c r="C129" s="1558"/>
      <c r="D129" s="285"/>
      <c r="K129" s="1082"/>
      <c r="L129" s="1558"/>
      <c r="M129" s="1558"/>
      <c r="N129" s="1082"/>
      <c r="O129" s="1082"/>
      <c r="P129" s="1082"/>
      <c r="Q129" s="1082"/>
      <c r="R129" s="1558"/>
      <c r="S129" s="1082"/>
      <c r="T129" s="1082"/>
      <c r="U129" s="478"/>
      <c r="V129" s="1082"/>
      <c r="W129" s="1082"/>
      <c r="X129" s="1082"/>
      <c r="Y129" s="1082"/>
      <c r="Z129" s="1082"/>
      <c r="AA129" s="1554"/>
      <c r="AB129" s="500"/>
      <c r="AC129" s="500"/>
      <c r="AD129" s="500"/>
      <c r="AE129" s="500"/>
      <c r="AF129" s="1563">
        <v>11</v>
      </c>
    </row>
    <row r="130" spans="1:32" s="1563" customFormat="1" ht="11.45" customHeight="1">
      <c r="A130" s="913"/>
      <c r="B130" s="1558"/>
      <c r="C130" s="1558"/>
      <c r="D130" s="285"/>
      <c r="K130" s="1082"/>
      <c r="L130" s="1558"/>
      <c r="M130" s="1558"/>
      <c r="N130" s="1082"/>
      <c r="O130" s="1082"/>
      <c r="P130" s="1082"/>
      <c r="Q130" s="1082"/>
      <c r="R130" s="1558"/>
      <c r="S130" s="1082"/>
      <c r="T130" s="1082"/>
      <c r="U130" s="478"/>
      <c r="V130" s="1082"/>
      <c r="W130" s="1082"/>
      <c r="X130" s="1082"/>
      <c r="Y130" s="1082"/>
      <c r="Z130" s="1082"/>
      <c r="AA130" s="1554"/>
      <c r="AB130" s="500"/>
      <c r="AC130" s="500"/>
      <c r="AD130" s="500"/>
      <c r="AE130" s="500"/>
      <c r="AF130" s="1563">
        <v>11</v>
      </c>
    </row>
    <row r="131" spans="1:32" s="1563" customFormat="1" ht="11.45" customHeight="1">
      <c r="A131" s="913"/>
      <c r="B131" s="1558"/>
      <c r="C131" s="1558"/>
      <c r="D131" s="285"/>
      <c r="K131" s="1082"/>
      <c r="L131" s="1558"/>
      <c r="M131" s="1558"/>
      <c r="N131" s="1082"/>
      <c r="O131" s="1082"/>
      <c r="P131" s="1082"/>
      <c r="Q131" s="1082"/>
      <c r="R131" s="1558"/>
      <c r="S131" s="1082"/>
      <c r="T131" s="1082"/>
      <c r="U131" s="478"/>
      <c r="V131" s="1082"/>
      <c r="W131" s="1082"/>
      <c r="X131" s="1082"/>
      <c r="Y131" s="1082"/>
      <c r="Z131" s="1082"/>
      <c r="AA131" s="1554"/>
      <c r="AB131" s="500"/>
      <c r="AC131" s="500"/>
      <c r="AD131" s="500"/>
      <c r="AE131" s="500"/>
      <c r="AF131" s="1563">
        <v>11</v>
      </c>
    </row>
    <row r="132" spans="1:32" s="1563" customFormat="1" ht="11.45" customHeight="1">
      <c r="A132" s="913"/>
      <c r="B132" s="1558"/>
      <c r="C132" s="1558"/>
      <c r="D132" s="285"/>
      <c r="K132" s="1082"/>
      <c r="L132" s="1558"/>
      <c r="M132" s="1558"/>
      <c r="N132" s="1082"/>
      <c r="O132" s="1082"/>
      <c r="P132" s="1082"/>
      <c r="Q132" s="1082"/>
      <c r="R132" s="1558"/>
      <c r="S132" s="1082"/>
      <c r="T132" s="1082"/>
      <c r="U132" s="478"/>
      <c r="V132" s="1082"/>
      <c r="W132" s="1082"/>
      <c r="X132" s="1082"/>
      <c r="Y132" s="1082"/>
      <c r="Z132" s="1082"/>
      <c r="AA132" s="1554"/>
      <c r="AB132" s="500"/>
      <c r="AC132" s="500"/>
      <c r="AD132" s="500"/>
      <c r="AE132" s="500"/>
      <c r="AF132" s="1563">
        <v>11</v>
      </c>
    </row>
    <row r="133" spans="1:32" s="1563" customFormat="1" ht="11.45" customHeight="1">
      <c r="A133" s="913"/>
      <c r="B133" s="1558"/>
      <c r="C133" s="1558"/>
      <c r="D133" s="285"/>
      <c r="K133" s="1082"/>
      <c r="L133" s="1558"/>
      <c r="M133" s="1558"/>
      <c r="N133" s="1082"/>
      <c r="O133" s="1082"/>
      <c r="P133" s="1082"/>
      <c r="Q133" s="1082"/>
      <c r="R133" s="1558"/>
      <c r="S133" s="1082"/>
      <c r="T133" s="1082"/>
      <c r="U133" s="478"/>
      <c r="V133" s="1082"/>
      <c r="W133" s="1082"/>
      <c r="X133" s="1082"/>
      <c r="Y133" s="1082"/>
      <c r="Z133" s="1082"/>
      <c r="AA133" s="1554"/>
      <c r="AB133" s="500"/>
      <c r="AC133" s="500"/>
      <c r="AD133" s="500"/>
      <c r="AE133" s="500"/>
      <c r="AF133" s="1563">
        <v>11</v>
      </c>
    </row>
    <row r="134" spans="1:32" s="1563" customFormat="1" ht="11.45" customHeight="1">
      <c r="A134" s="913"/>
      <c r="B134" s="1558"/>
      <c r="C134" s="1558"/>
      <c r="D134" s="285"/>
      <c r="K134" s="1082"/>
      <c r="L134" s="1558"/>
      <c r="M134" s="1558"/>
      <c r="N134" s="1082"/>
      <c r="O134" s="1082"/>
      <c r="P134" s="1082"/>
      <c r="Q134" s="1082"/>
      <c r="R134" s="1558"/>
      <c r="S134" s="1082"/>
      <c r="T134" s="1082"/>
      <c r="U134" s="478"/>
      <c r="V134" s="1082"/>
      <c r="W134" s="1082"/>
      <c r="X134" s="1082"/>
      <c r="Y134" s="1082"/>
      <c r="Z134" s="1082"/>
      <c r="AA134" s="1554"/>
      <c r="AB134" s="500"/>
      <c r="AC134" s="500"/>
      <c r="AD134" s="500"/>
      <c r="AE134" s="500"/>
      <c r="AF134" s="1563">
        <v>11</v>
      </c>
    </row>
    <row r="135" spans="1:32" s="1563" customFormat="1" ht="11.45" customHeight="1">
      <c r="A135" s="913"/>
      <c r="B135" s="1558"/>
      <c r="C135" s="1558"/>
      <c r="D135" s="285"/>
      <c r="K135" s="1082"/>
      <c r="L135" s="1558"/>
      <c r="M135" s="1558"/>
      <c r="N135" s="1082"/>
      <c r="O135" s="1082"/>
      <c r="P135" s="1082"/>
      <c r="Q135" s="1082"/>
      <c r="R135" s="1558"/>
      <c r="S135" s="1082"/>
      <c r="T135" s="1082"/>
      <c r="U135" s="478"/>
      <c r="V135" s="1082"/>
      <c r="W135" s="1082"/>
      <c r="X135" s="1082"/>
      <c r="Y135" s="1082"/>
      <c r="Z135" s="1082"/>
      <c r="AA135" s="1554"/>
      <c r="AB135" s="500"/>
      <c r="AC135" s="500"/>
      <c r="AD135" s="500"/>
      <c r="AE135" s="500"/>
      <c r="AF135" s="1563">
        <v>11</v>
      </c>
    </row>
    <row r="136" spans="1:32" s="1563" customFormat="1" ht="11.45" customHeight="1">
      <c r="A136" s="913"/>
      <c r="B136" s="1558"/>
      <c r="C136" s="1558"/>
      <c r="D136" s="285"/>
      <c r="K136" s="1082"/>
      <c r="L136" s="1558"/>
      <c r="M136" s="1558"/>
      <c r="N136" s="1082"/>
      <c r="O136" s="1082"/>
      <c r="P136" s="1082"/>
      <c r="Q136" s="1082"/>
      <c r="R136" s="1558"/>
      <c r="S136" s="1082"/>
      <c r="T136" s="1082"/>
      <c r="U136" s="478"/>
      <c r="V136" s="1082"/>
      <c r="W136" s="1082"/>
      <c r="X136" s="1082"/>
      <c r="Y136" s="1082"/>
      <c r="Z136" s="1082"/>
      <c r="AA136" s="1554"/>
      <c r="AB136" s="500"/>
      <c r="AC136" s="500"/>
      <c r="AD136" s="500"/>
      <c r="AE136" s="500"/>
      <c r="AF136" s="1563">
        <v>11</v>
      </c>
    </row>
    <row r="137" spans="1:32" s="1563" customFormat="1" ht="11.45" customHeight="1">
      <c r="A137" s="913"/>
      <c r="B137" s="1558"/>
      <c r="C137" s="1558"/>
      <c r="D137" s="285"/>
      <c r="K137" s="1082"/>
      <c r="L137" s="1558"/>
      <c r="M137" s="1558"/>
      <c r="N137" s="1082"/>
      <c r="O137" s="1082"/>
      <c r="P137" s="1082"/>
      <c r="Q137" s="1082"/>
      <c r="R137" s="1558"/>
      <c r="S137" s="1082"/>
      <c r="T137" s="1082"/>
      <c r="U137" s="478"/>
      <c r="V137" s="1082"/>
      <c r="W137" s="1082"/>
      <c r="X137" s="1082"/>
      <c r="Y137" s="1082"/>
      <c r="Z137" s="1082"/>
      <c r="AA137" s="1554"/>
      <c r="AB137" s="500"/>
      <c r="AC137" s="500"/>
      <c r="AD137" s="500"/>
      <c r="AE137" s="500"/>
      <c r="AF137" s="1563">
        <v>11</v>
      </c>
    </row>
    <row r="138" spans="1:32" s="1563" customFormat="1" ht="11.45" customHeight="1">
      <c r="A138" s="913"/>
      <c r="B138" s="1558"/>
      <c r="C138" s="1558"/>
      <c r="D138" s="285"/>
      <c r="K138" s="1082"/>
      <c r="L138" s="1558"/>
      <c r="M138" s="1558"/>
      <c r="N138" s="1082"/>
      <c r="O138" s="1082"/>
      <c r="P138" s="1082"/>
      <c r="Q138" s="1082"/>
      <c r="R138" s="1558"/>
      <c r="S138" s="1082"/>
      <c r="T138" s="1082"/>
      <c r="U138" s="478"/>
      <c r="V138" s="1082"/>
      <c r="W138" s="1082"/>
      <c r="X138" s="1082"/>
      <c r="Y138" s="1082"/>
      <c r="Z138" s="1082"/>
      <c r="AA138" s="1554"/>
      <c r="AB138" s="500"/>
      <c r="AC138" s="500"/>
      <c r="AD138" s="500"/>
      <c r="AE138" s="500"/>
      <c r="AF138" s="1563">
        <v>11</v>
      </c>
    </row>
    <row r="139" spans="1:32" s="1563" customFormat="1" ht="11.45" customHeight="1">
      <c r="A139" s="913"/>
      <c r="B139" s="1558"/>
      <c r="C139" s="1558"/>
      <c r="D139" s="285"/>
      <c r="K139" s="1082"/>
      <c r="L139" s="1558"/>
      <c r="M139" s="1558"/>
      <c r="N139" s="1082"/>
      <c r="O139" s="1082"/>
      <c r="P139" s="1082"/>
      <c r="Q139" s="1082"/>
      <c r="R139" s="1558"/>
      <c r="S139" s="1082"/>
      <c r="T139" s="1082"/>
      <c r="U139" s="478"/>
      <c r="V139" s="1082"/>
      <c r="W139" s="1082"/>
      <c r="X139" s="1082"/>
      <c r="Y139" s="1082"/>
      <c r="Z139" s="1082"/>
      <c r="AA139" s="1554"/>
      <c r="AB139" s="500"/>
      <c r="AC139" s="500"/>
      <c r="AD139" s="500"/>
      <c r="AE139" s="500"/>
      <c r="AF139" s="1563">
        <v>11</v>
      </c>
    </row>
    <row r="140" spans="1:32" s="1563" customFormat="1" ht="11.45" customHeight="1">
      <c r="A140" s="913"/>
      <c r="B140" s="1558"/>
      <c r="C140" s="1558"/>
      <c r="D140" s="285"/>
      <c r="K140" s="1082"/>
      <c r="L140" s="1558"/>
      <c r="M140" s="1558"/>
      <c r="N140" s="1082"/>
      <c r="O140" s="1082"/>
      <c r="P140" s="1082"/>
      <c r="Q140" s="1082"/>
      <c r="R140" s="1558"/>
      <c r="S140" s="1082"/>
      <c r="T140" s="1082"/>
      <c r="U140" s="478"/>
      <c r="V140" s="1082"/>
      <c r="W140" s="1082"/>
      <c r="X140" s="1082"/>
      <c r="Y140" s="1082"/>
      <c r="Z140" s="1082"/>
      <c r="AA140" s="1554"/>
      <c r="AB140" s="500"/>
      <c r="AC140" s="500"/>
      <c r="AD140" s="500"/>
      <c r="AE140" s="500"/>
      <c r="AF140" s="1563">
        <v>11</v>
      </c>
    </row>
    <row r="141" spans="1:32" s="1563" customFormat="1" ht="11.45" customHeight="1">
      <c r="A141" s="913"/>
      <c r="B141" s="1558"/>
      <c r="C141" s="1558"/>
      <c r="D141" s="285"/>
      <c r="K141" s="1082"/>
      <c r="L141" s="1558"/>
      <c r="M141" s="1558"/>
      <c r="N141" s="1082"/>
      <c r="O141" s="1082"/>
      <c r="P141" s="1082"/>
      <c r="Q141" s="1082"/>
      <c r="R141" s="1558"/>
      <c r="S141" s="1082"/>
      <c r="T141" s="1082"/>
      <c r="U141" s="478"/>
      <c r="V141" s="1082"/>
      <c r="W141" s="1082"/>
      <c r="X141" s="1082"/>
      <c r="Y141" s="1082"/>
      <c r="Z141" s="1082"/>
      <c r="AA141" s="1554"/>
      <c r="AB141" s="500"/>
      <c r="AC141" s="500"/>
      <c r="AD141" s="500"/>
      <c r="AE141" s="500"/>
      <c r="AF141" s="1563">
        <v>11</v>
      </c>
    </row>
    <row r="142" spans="1:32" s="1563" customFormat="1" ht="11.45" customHeight="1">
      <c r="A142" s="913"/>
      <c r="B142" s="1558"/>
      <c r="C142" s="1558"/>
      <c r="D142" s="285"/>
      <c r="K142" s="1082"/>
      <c r="L142" s="1558"/>
      <c r="M142" s="1558"/>
      <c r="N142" s="1082"/>
      <c r="O142" s="1082"/>
      <c r="P142" s="1082"/>
      <c r="Q142" s="1082"/>
      <c r="R142" s="1558"/>
      <c r="S142" s="1082"/>
      <c r="T142" s="1082"/>
      <c r="U142" s="478"/>
      <c r="V142" s="1082"/>
      <c r="W142" s="1082"/>
      <c r="X142" s="1082"/>
      <c r="Y142" s="1082"/>
      <c r="Z142" s="1082"/>
      <c r="AA142" s="1554"/>
      <c r="AB142" s="500"/>
      <c r="AC142" s="500"/>
      <c r="AD142" s="500"/>
      <c r="AE142" s="500"/>
      <c r="AF142" s="1563">
        <v>11</v>
      </c>
    </row>
    <row r="143" spans="1:32" s="1563" customFormat="1" ht="11.45" customHeight="1">
      <c r="A143" s="913"/>
      <c r="B143" s="1558"/>
      <c r="C143" s="1558"/>
      <c r="D143" s="285"/>
      <c r="K143" s="1082"/>
      <c r="L143" s="1558"/>
      <c r="M143" s="1558"/>
      <c r="N143" s="1082"/>
      <c r="O143" s="1082"/>
      <c r="P143" s="1082"/>
      <c r="Q143" s="1082"/>
      <c r="R143" s="1558"/>
      <c r="S143" s="1082"/>
      <c r="T143" s="1082"/>
      <c r="U143" s="478"/>
      <c r="V143" s="1082"/>
      <c r="W143" s="1082"/>
      <c r="X143" s="1082"/>
      <c r="Y143" s="1082"/>
      <c r="Z143" s="1082"/>
      <c r="AA143" s="1554"/>
      <c r="AB143" s="500"/>
      <c r="AC143" s="500"/>
      <c r="AD143" s="500"/>
      <c r="AE143" s="500"/>
      <c r="AF143" s="1563">
        <v>11</v>
      </c>
    </row>
    <row r="144" spans="1:32" s="1563" customFormat="1" ht="11.45" customHeight="1">
      <c r="A144" s="913"/>
      <c r="B144" s="1558"/>
      <c r="C144" s="1558"/>
      <c r="D144" s="285"/>
      <c r="K144" s="1082"/>
      <c r="L144" s="1558"/>
      <c r="M144" s="1558"/>
      <c r="N144" s="1082"/>
      <c r="O144" s="1082"/>
      <c r="P144" s="1082"/>
      <c r="Q144" s="1082"/>
      <c r="R144" s="1558"/>
      <c r="S144" s="1082"/>
      <c r="T144" s="1082"/>
      <c r="U144" s="478"/>
      <c r="V144" s="1082"/>
      <c r="W144" s="1082"/>
      <c r="X144" s="1082"/>
      <c r="Y144" s="1082"/>
      <c r="Z144" s="1082"/>
      <c r="AA144" s="1554"/>
      <c r="AB144" s="500"/>
      <c r="AC144" s="500"/>
      <c r="AD144" s="500"/>
      <c r="AE144" s="500"/>
      <c r="AF144" s="1563">
        <v>11</v>
      </c>
    </row>
    <row r="145" spans="1:32" s="1563" customFormat="1" ht="11.45" customHeight="1">
      <c r="A145" s="913"/>
      <c r="B145" s="1558"/>
      <c r="C145" s="1558"/>
      <c r="D145" s="285"/>
      <c r="K145" s="1082"/>
      <c r="L145" s="1558"/>
      <c r="M145" s="1558"/>
      <c r="N145" s="1082"/>
      <c r="O145" s="1082"/>
      <c r="P145" s="1082"/>
      <c r="Q145" s="1082"/>
      <c r="R145" s="1558"/>
      <c r="S145" s="1082"/>
      <c r="T145" s="1082"/>
      <c r="U145" s="478"/>
      <c r="V145" s="1082"/>
      <c r="W145" s="1082"/>
      <c r="X145" s="1082"/>
      <c r="Y145" s="1082"/>
      <c r="Z145" s="1082"/>
      <c r="AA145" s="1554"/>
      <c r="AB145" s="500"/>
      <c r="AC145" s="500"/>
      <c r="AD145" s="500"/>
      <c r="AE145" s="500"/>
      <c r="AF145" s="1563">
        <v>11</v>
      </c>
    </row>
    <row r="146" spans="1:32" s="1563" customFormat="1" ht="11.45" customHeight="1">
      <c r="A146" s="913"/>
      <c r="B146" s="1558"/>
      <c r="C146" s="1558"/>
      <c r="D146" s="285"/>
      <c r="K146" s="1082"/>
      <c r="L146" s="1558"/>
      <c r="M146" s="1558"/>
      <c r="N146" s="1082"/>
      <c r="O146" s="1082"/>
      <c r="P146" s="1082"/>
      <c r="Q146" s="1082"/>
      <c r="R146" s="1558"/>
      <c r="S146" s="1082"/>
      <c r="T146" s="1082"/>
      <c r="U146" s="478"/>
      <c r="V146" s="1082"/>
      <c r="W146" s="1082"/>
      <c r="X146" s="1082"/>
      <c r="Y146" s="1082"/>
      <c r="Z146" s="1082"/>
      <c r="AA146" s="1554"/>
      <c r="AB146" s="500"/>
      <c r="AC146" s="500"/>
      <c r="AD146" s="500"/>
      <c r="AE146" s="500"/>
      <c r="AF146" s="1563">
        <v>11</v>
      </c>
    </row>
    <row r="147" spans="1:32" s="1563" customFormat="1" ht="11.45" customHeight="1">
      <c r="A147" s="913"/>
      <c r="B147" s="1558"/>
      <c r="C147" s="1558"/>
      <c r="D147" s="285"/>
      <c r="K147" s="1082"/>
      <c r="L147" s="1558"/>
      <c r="M147" s="1558"/>
      <c r="N147" s="1082"/>
      <c r="O147" s="1082"/>
      <c r="P147" s="1082"/>
      <c r="Q147" s="1082"/>
      <c r="R147" s="1558"/>
      <c r="S147" s="1082"/>
      <c r="T147" s="1082"/>
      <c r="U147" s="478"/>
      <c r="V147" s="1082"/>
      <c r="W147" s="1082"/>
      <c r="X147" s="1082"/>
      <c r="Y147" s="1082"/>
      <c r="Z147" s="1082"/>
      <c r="AA147" s="1554"/>
      <c r="AB147" s="500"/>
      <c r="AC147" s="500"/>
      <c r="AD147" s="500"/>
      <c r="AE147" s="500"/>
      <c r="AF147" s="1563">
        <v>11</v>
      </c>
    </row>
    <row r="148" spans="1:32" s="1563" customFormat="1" ht="11.45" customHeight="1">
      <c r="A148" s="913"/>
      <c r="B148" s="1558"/>
      <c r="C148" s="1558"/>
      <c r="D148" s="285"/>
      <c r="K148" s="1082"/>
      <c r="L148" s="1558"/>
      <c r="M148" s="1558"/>
      <c r="N148" s="1082"/>
      <c r="O148" s="1082"/>
      <c r="P148" s="1082"/>
      <c r="Q148" s="1082"/>
      <c r="R148" s="1558"/>
      <c r="S148" s="1082"/>
      <c r="T148" s="1082"/>
      <c r="U148" s="478"/>
      <c r="V148" s="1082"/>
      <c r="W148" s="1082"/>
      <c r="X148" s="1082"/>
      <c r="Y148" s="1082"/>
      <c r="Z148" s="1082"/>
      <c r="AA148" s="1554"/>
      <c r="AB148" s="500"/>
      <c r="AC148" s="500"/>
      <c r="AD148" s="500"/>
      <c r="AE148" s="500"/>
      <c r="AF148" s="1563">
        <v>11</v>
      </c>
    </row>
    <row r="149" spans="1:32" s="1563" customFormat="1" ht="11.45" customHeight="1">
      <c r="A149" s="913"/>
      <c r="B149" s="1558"/>
      <c r="C149" s="1558"/>
      <c r="D149" s="285"/>
      <c r="K149" s="1082"/>
      <c r="L149" s="1558"/>
      <c r="M149" s="1558"/>
      <c r="N149" s="1082"/>
      <c r="O149" s="1082"/>
      <c r="P149" s="1082"/>
      <c r="Q149" s="1082"/>
      <c r="R149" s="1558"/>
      <c r="S149" s="1082"/>
      <c r="T149" s="1082"/>
      <c r="U149" s="478"/>
      <c r="V149" s="1082"/>
      <c r="W149" s="1082"/>
      <c r="X149" s="1082"/>
      <c r="Y149" s="1082"/>
      <c r="Z149" s="1082"/>
      <c r="AA149" s="1554"/>
      <c r="AB149" s="500"/>
      <c r="AC149" s="500"/>
      <c r="AD149" s="500"/>
      <c r="AE149" s="500"/>
      <c r="AF149" s="1563">
        <v>11</v>
      </c>
    </row>
    <row r="150" spans="1:32" s="1563" customFormat="1" ht="11.45" customHeight="1">
      <c r="A150" s="913"/>
      <c r="B150" s="1558"/>
      <c r="C150" s="1558"/>
      <c r="D150" s="285"/>
      <c r="K150" s="1082"/>
      <c r="L150" s="1558"/>
      <c r="M150" s="1558"/>
      <c r="N150" s="1082"/>
      <c r="O150" s="1082"/>
      <c r="P150" s="1082"/>
      <c r="Q150" s="1082"/>
      <c r="R150" s="1558"/>
      <c r="S150" s="1082"/>
      <c r="T150" s="1082"/>
      <c r="U150" s="478"/>
      <c r="V150" s="1082"/>
      <c r="W150" s="1082"/>
      <c r="X150" s="1082"/>
      <c r="Y150" s="1082"/>
      <c r="Z150" s="1082"/>
      <c r="AA150" s="1554"/>
      <c r="AB150" s="500"/>
      <c r="AC150" s="500"/>
      <c r="AD150" s="500"/>
      <c r="AE150" s="500"/>
      <c r="AF150" s="1563">
        <v>11</v>
      </c>
    </row>
    <row r="151" spans="1:32" s="1563" customFormat="1" ht="11.45" customHeight="1">
      <c r="A151" s="913"/>
      <c r="B151" s="1558"/>
      <c r="C151" s="1558"/>
      <c r="D151" s="285"/>
      <c r="K151" s="1082"/>
      <c r="L151" s="1558"/>
      <c r="M151" s="1558"/>
      <c r="N151" s="1082"/>
      <c r="O151" s="1082"/>
      <c r="P151" s="1082"/>
      <c r="Q151" s="1082"/>
      <c r="R151" s="1558"/>
      <c r="S151" s="1082"/>
      <c r="T151" s="1082"/>
      <c r="U151" s="478"/>
      <c r="V151" s="1082"/>
      <c r="W151" s="1082"/>
      <c r="X151" s="1082"/>
      <c r="Y151" s="1082"/>
      <c r="Z151" s="1082"/>
      <c r="AA151" s="1554"/>
      <c r="AB151" s="500"/>
      <c r="AC151" s="500"/>
      <c r="AD151" s="500"/>
      <c r="AE151" s="500"/>
      <c r="AF151" s="1563">
        <v>11</v>
      </c>
    </row>
    <row r="152" spans="1:32" s="1563" customFormat="1" ht="11.45" customHeight="1">
      <c r="A152" s="913"/>
      <c r="B152" s="1558"/>
      <c r="C152" s="1558"/>
      <c r="D152" s="285"/>
      <c r="K152" s="1082"/>
      <c r="L152" s="1558"/>
      <c r="M152" s="1558"/>
      <c r="N152" s="1082"/>
      <c r="O152" s="1082"/>
      <c r="P152" s="1082"/>
      <c r="Q152" s="1082"/>
      <c r="R152" s="1558"/>
      <c r="S152" s="1082"/>
      <c r="T152" s="1082"/>
      <c r="U152" s="478"/>
      <c r="V152" s="1082"/>
      <c r="W152" s="1082"/>
      <c r="X152" s="1082"/>
      <c r="Y152" s="1082"/>
      <c r="Z152" s="1082"/>
      <c r="AA152" s="1554"/>
      <c r="AB152" s="500"/>
      <c r="AC152" s="500"/>
      <c r="AD152" s="500"/>
      <c r="AE152" s="500"/>
      <c r="AF152" s="1563">
        <v>11</v>
      </c>
    </row>
    <row r="153" spans="1:32" s="1563" customFormat="1" ht="11.45" customHeight="1">
      <c r="A153" s="913"/>
      <c r="B153" s="1558"/>
      <c r="C153" s="1558"/>
      <c r="D153" s="285"/>
      <c r="K153" s="1082"/>
      <c r="L153" s="1558"/>
      <c r="M153" s="1558"/>
      <c r="N153" s="1082"/>
      <c r="O153" s="1082"/>
      <c r="P153" s="1082"/>
      <c r="Q153" s="1082"/>
      <c r="R153" s="1558"/>
      <c r="S153" s="1082"/>
      <c r="T153" s="1082"/>
      <c r="U153" s="478"/>
      <c r="V153" s="1082"/>
      <c r="W153" s="1082"/>
      <c r="X153" s="1082"/>
      <c r="Y153" s="1082"/>
      <c r="Z153" s="1082"/>
      <c r="AA153" s="1554"/>
      <c r="AB153" s="500"/>
      <c r="AC153" s="500"/>
      <c r="AD153" s="500"/>
      <c r="AE153" s="500"/>
      <c r="AF153" s="1563">
        <v>11</v>
      </c>
    </row>
    <row r="154" spans="1:32" s="1563" customFormat="1" ht="11.45" customHeight="1">
      <c r="A154" s="913"/>
      <c r="B154" s="1558"/>
      <c r="C154" s="1558"/>
      <c r="D154" s="285"/>
      <c r="K154" s="1082"/>
      <c r="L154" s="1558"/>
      <c r="M154" s="1558"/>
      <c r="N154" s="1082"/>
      <c r="O154" s="1082"/>
      <c r="P154" s="1082"/>
      <c r="Q154" s="1082"/>
      <c r="R154" s="1558"/>
      <c r="S154" s="1082"/>
      <c r="T154" s="1082"/>
      <c r="U154" s="478"/>
      <c r="V154" s="1082"/>
      <c r="W154" s="1082"/>
      <c r="X154" s="1082"/>
      <c r="Y154" s="1082"/>
      <c r="Z154" s="1082"/>
      <c r="AA154" s="1554"/>
      <c r="AB154" s="500"/>
      <c r="AC154" s="500"/>
      <c r="AD154" s="500"/>
      <c r="AE154" s="500"/>
      <c r="AF154" s="1563">
        <v>11</v>
      </c>
    </row>
    <row r="155" spans="1:32" s="1563" customFormat="1" ht="11.45" customHeight="1">
      <c r="A155" s="913"/>
      <c r="B155" s="1558"/>
      <c r="C155" s="1558"/>
      <c r="D155" s="285"/>
      <c r="K155" s="1082"/>
      <c r="L155" s="1558"/>
      <c r="M155" s="1558"/>
      <c r="N155" s="1082"/>
      <c r="O155" s="1082"/>
      <c r="P155" s="1082"/>
      <c r="Q155" s="1082"/>
      <c r="R155" s="1558"/>
      <c r="S155" s="1082"/>
      <c r="T155" s="1082"/>
      <c r="U155" s="478"/>
      <c r="V155" s="1082"/>
      <c r="W155" s="1082"/>
      <c r="X155" s="1082"/>
      <c r="Y155" s="1082"/>
      <c r="Z155" s="1082"/>
      <c r="AA155" s="1554"/>
      <c r="AB155" s="500"/>
      <c r="AC155" s="500"/>
      <c r="AD155" s="500"/>
      <c r="AE155" s="500"/>
      <c r="AF155" s="1563">
        <v>11</v>
      </c>
    </row>
    <row r="156" spans="1:32" s="1563" customFormat="1" ht="11.45" customHeight="1">
      <c r="A156" s="913"/>
      <c r="B156" s="1558"/>
      <c r="C156" s="1558"/>
      <c r="D156" s="285"/>
      <c r="K156" s="1082"/>
      <c r="L156" s="1558"/>
      <c r="M156" s="1558"/>
      <c r="N156" s="1082"/>
      <c r="O156" s="1082"/>
      <c r="P156" s="1082"/>
      <c r="Q156" s="1082"/>
      <c r="R156" s="1558"/>
      <c r="S156" s="1082"/>
      <c r="T156" s="1082"/>
      <c r="U156" s="478"/>
      <c r="V156" s="1082"/>
      <c r="W156" s="1082"/>
      <c r="X156" s="1082"/>
      <c r="Y156" s="1082"/>
      <c r="Z156" s="1082"/>
      <c r="AA156" s="1554"/>
      <c r="AB156" s="500"/>
      <c r="AC156" s="500"/>
      <c r="AD156" s="500"/>
      <c r="AE156" s="500"/>
      <c r="AF156" s="1563">
        <v>11</v>
      </c>
    </row>
    <row r="157" spans="1:32" s="1563" customFormat="1" ht="11.45" customHeight="1">
      <c r="A157" s="913"/>
      <c r="B157" s="1558"/>
      <c r="C157" s="1558"/>
      <c r="D157" s="285"/>
      <c r="K157" s="1082"/>
      <c r="L157" s="1558"/>
      <c r="M157" s="1558"/>
      <c r="N157" s="1082"/>
      <c r="O157" s="1082"/>
      <c r="P157" s="1082"/>
      <c r="Q157" s="1082"/>
      <c r="R157" s="1558"/>
      <c r="S157" s="1082"/>
      <c r="T157" s="1082"/>
      <c r="U157" s="478"/>
      <c r="V157" s="1082"/>
      <c r="W157" s="1082"/>
      <c r="X157" s="1082"/>
      <c r="Y157" s="1082"/>
      <c r="Z157" s="1082"/>
      <c r="AA157" s="1554"/>
      <c r="AB157" s="500"/>
      <c r="AC157" s="500"/>
      <c r="AD157" s="500"/>
      <c r="AE157" s="500"/>
      <c r="AF157" s="1563">
        <v>11</v>
      </c>
    </row>
    <row r="158" spans="1:32" s="1563" customFormat="1" ht="11.45" customHeight="1">
      <c r="A158" s="913"/>
      <c r="B158" s="1558"/>
      <c r="C158" s="1558"/>
      <c r="D158" s="285"/>
      <c r="K158" s="1082"/>
      <c r="L158" s="1558"/>
      <c r="M158" s="1558"/>
      <c r="N158" s="1082"/>
      <c r="O158" s="1082"/>
      <c r="P158" s="1082"/>
      <c r="Q158" s="1082"/>
      <c r="R158" s="1558"/>
      <c r="S158" s="1082"/>
      <c r="T158" s="1082"/>
      <c r="U158" s="478"/>
      <c r="V158" s="1082"/>
      <c r="W158" s="1082"/>
      <c r="X158" s="1082"/>
      <c r="Y158" s="1082"/>
      <c r="Z158" s="1082"/>
      <c r="AA158" s="1554"/>
      <c r="AB158" s="500"/>
      <c r="AC158" s="500"/>
      <c r="AD158" s="500"/>
      <c r="AE158" s="500"/>
      <c r="AF158" s="1563">
        <v>11</v>
      </c>
    </row>
    <row r="159" spans="1:32" s="1563" customFormat="1" ht="11.45" customHeight="1">
      <c r="A159" s="913"/>
      <c r="B159" s="1558"/>
      <c r="C159" s="1558"/>
      <c r="D159" s="285"/>
      <c r="K159" s="1082"/>
      <c r="L159" s="1558"/>
      <c r="M159" s="1558"/>
      <c r="N159" s="1082"/>
      <c r="O159" s="1082"/>
      <c r="P159" s="1082"/>
      <c r="Q159" s="1082"/>
      <c r="R159" s="1558"/>
      <c r="S159" s="1082"/>
      <c r="T159" s="1082"/>
      <c r="U159" s="478"/>
      <c r="V159" s="1082"/>
      <c r="W159" s="1082"/>
      <c r="X159" s="1082"/>
      <c r="Y159" s="1082"/>
      <c r="Z159" s="1082"/>
      <c r="AA159" s="1554"/>
      <c r="AB159" s="500"/>
      <c r="AC159" s="500"/>
      <c r="AD159" s="500"/>
      <c r="AE159" s="500"/>
      <c r="AF159" s="1563">
        <v>11</v>
      </c>
    </row>
    <row r="160" spans="1:32" s="1563" customFormat="1" ht="11.45" customHeight="1">
      <c r="A160" s="913"/>
      <c r="B160" s="1558"/>
      <c r="C160" s="1558"/>
      <c r="D160" s="285"/>
      <c r="K160" s="1082"/>
      <c r="L160" s="1558"/>
      <c r="M160" s="1558"/>
      <c r="N160" s="1082"/>
      <c r="O160" s="1082"/>
      <c r="P160" s="1082"/>
      <c r="Q160" s="1082"/>
      <c r="R160" s="1558"/>
      <c r="S160" s="1082"/>
      <c r="T160" s="1082"/>
      <c r="U160" s="478"/>
      <c r="V160" s="1082"/>
      <c r="W160" s="1082"/>
      <c r="X160" s="1082"/>
      <c r="Y160" s="1082"/>
      <c r="Z160" s="1082"/>
      <c r="AA160" s="1554"/>
      <c r="AB160" s="500"/>
      <c r="AC160" s="500"/>
      <c r="AD160" s="500"/>
      <c r="AE160" s="500"/>
      <c r="AF160" s="1563">
        <v>11</v>
      </c>
    </row>
    <row r="161" spans="1:32" s="1563" customFormat="1" ht="11.45" customHeight="1">
      <c r="A161" s="913"/>
      <c r="B161" s="1558"/>
      <c r="C161" s="1558"/>
      <c r="D161" s="285"/>
      <c r="K161" s="1082"/>
      <c r="L161" s="1558"/>
      <c r="M161" s="1558"/>
      <c r="N161" s="1082"/>
      <c r="O161" s="1082"/>
      <c r="P161" s="1082"/>
      <c r="Q161" s="1082"/>
      <c r="R161" s="1558"/>
      <c r="S161" s="1082"/>
      <c r="T161" s="1082"/>
      <c r="U161" s="478"/>
      <c r="V161" s="1082"/>
      <c r="W161" s="1082"/>
      <c r="X161" s="1082"/>
      <c r="Y161" s="1082"/>
      <c r="Z161" s="1082"/>
      <c r="AA161" s="1554"/>
      <c r="AB161" s="500"/>
      <c r="AC161" s="500"/>
      <c r="AD161" s="500"/>
      <c r="AE161" s="500"/>
      <c r="AF161" s="1563">
        <v>11</v>
      </c>
    </row>
    <row r="162" spans="1:32" s="1563" customFormat="1" ht="11.45" customHeight="1">
      <c r="A162" s="913"/>
      <c r="B162" s="1558"/>
      <c r="C162" s="1558"/>
      <c r="D162" s="285"/>
      <c r="K162" s="1082"/>
      <c r="L162" s="1558"/>
      <c r="M162" s="1558"/>
      <c r="N162" s="1082"/>
      <c r="O162" s="1082"/>
      <c r="P162" s="1082"/>
      <c r="Q162" s="1082"/>
      <c r="R162" s="1558"/>
      <c r="S162" s="1082"/>
      <c r="T162" s="1082"/>
      <c r="U162" s="478"/>
      <c r="V162" s="1082"/>
      <c r="W162" s="1082"/>
      <c r="X162" s="1082"/>
      <c r="Y162" s="1082"/>
      <c r="Z162" s="1082"/>
      <c r="AA162" s="1554"/>
      <c r="AB162" s="500"/>
      <c r="AC162" s="500"/>
      <c r="AD162" s="500"/>
      <c r="AE162" s="500"/>
      <c r="AF162" s="1563">
        <v>11</v>
      </c>
    </row>
    <row r="163" spans="1:32" s="1563" customFormat="1" ht="11.45" customHeight="1">
      <c r="A163" s="913"/>
      <c r="B163" s="1558"/>
      <c r="C163" s="1558"/>
      <c r="D163" s="285"/>
      <c r="K163" s="1082"/>
      <c r="L163" s="1558"/>
      <c r="M163" s="1558"/>
      <c r="N163" s="1082"/>
      <c r="O163" s="1082"/>
      <c r="P163" s="1082"/>
      <c r="Q163" s="1082"/>
      <c r="R163" s="1558"/>
      <c r="S163" s="1082"/>
      <c r="T163" s="1082"/>
      <c r="U163" s="478"/>
      <c r="V163" s="1082"/>
      <c r="W163" s="1082"/>
      <c r="X163" s="1082"/>
      <c r="Y163" s="1082"/>
      <c r="Z163" s="1082"/>
      <c r="AA163" s="1554"/>
      <c r="AB163" s="500"/>
      <c r="AC163" s="500"/>
      <c r="AD163" s="500"/>
      <c r="AE163" s="500"/>
      <c r="AF163" s="1563">
        <v>11</v>
      </c>
    </row>
    <row r="164" spans="1:32" s="1563" customFormat="1" ht="11.45" customHeight="1">
      <c r="A164" s="913"/>
      <c r="B164" s="1558"/>
      <c r="C164" s="1558"/>
      <c r="D164" s="285"/>
      <c r="K164" s="1082"/>
      <c r="L164" s="1558"/>
      <c r="M164" s="1558"/>
      <c r="N164" s="1082"/>
      <c r="O164" s="1082"/>
      <c r="P164" s="1082"/>
      <c r="Q164" s="1082"/>
      <c r="R164" s="1558"/>
      <c r="S164" s="1082"/>
      <c r="T164" s="1082"/>
      <c r="U164" s="478"/>
      <c r="V164" s="1082"/>
      <c r="W164" s="1082"/>
      <c r="X164" s="1082"/>
      <c r="Y164" s="1082"/>
      <c r="Z164" s="1082"/>
      <c r="AA164" s="1554"/>
      <c r="AB164" s="500"/>
      <c r="AC164" s="500"/>
      <c r="AD164" s="500"/>
      <c r="AE164" s="500"/>
      <c r="AF164" s="1563">
        <v>11</v>
      </c>
    </row>
    <row r="165" spans="1:32" s="1563" customFormat="1" ht="11.45" customHeight="1">
      <c r="A165" s="913"/>
      <c r="B165" s="1558"/>
      <c r="C165" s="1558"/>
      <c r="D165" s="285"/>
      <c r="K165" s="1082"/>
      <c r="L165" s="1558"/>
      <c r="M165" s="1558"/>
      <c r="N165" s="1082"/>
      <c r="O165" s="1082"/>
      <c r="P165" s="1082"/>
      <c r="Q165" s="1082"/>
      <c r="R165" s="1558"/>
      <c r="S165" s="1082"/>
      <c r="T165" s="1082"/>
      <c r="U165" s="478"/>
      <c r="V165" s="1082"/>
      <c r="W165" s="1082"/>
      <c r="X165" s="1082"/>
      <c r="Y165" s="1082"/>
      <c r="Z165" s="1082"/>
      <c r="AA165" s="1554"/>
      <c r="AB165" s="500"/>
      <c r="AC165" s="500"/>
      <c r="AD165" s="500"/>
      <c r="AE165" s="500"/>
      <c r="AF165" s="1563">
        <v>11</v>
      </c>
    </row>
    <row r="166" spans="1:32" s="1563" customFormat="1" ht="11.45" customHeight="1">
      <c r="A166" s="913"/>
      <c r="B166" s="1558"/>
      <c r="C166" s="1558"/>
      <c r="D166" s="285"/>
      <c r="K166" s="1082"/>
      <c r="L166" s="1558"/>
      <c r="M166" s="1558"/>
      <c r="N166" s="1082"/>
      <c r="O166" s="1082"/>
      <c r="P166" s="1082"/>
      <c r="Q166" s="1082"/>
      <c r="R166" s="1558"/>
      <c r="S166" s="1082"/>
      <c r="T166" s="1082"/>
      <c r="U166" s="478"/>
      <c r="V166" s="1082"/>
      <c r="W166" s="1082"/>
      <c r="X166" s="1082"/>
      <c r="Y166" s="1082"/>
      <c r="Z166" s="1082"/>
      <c r="AA166" s="1554"/>
      <c r="AB166" s="500"/>
      <c r="AC166" s="500"/>
      <c r="AD166" s="500"/>
      <c r="AE166" s="500"/>
      <c r="AF166" s="1563">
        <v>11</v>
      </c>
    </row>
    <row r="167" spans="1:32" s="1563" customFormat="1" ht="11.45" customHeight="1">
      <c r="A167" s="913"/>
      <c r="B167" s="1558"/>
      <c r="C167" s="1558"/>
      <c r="D167" s="285"/>
      <c r="K167" s="1082"/>
      <c r="L167" s="1558"/>
      <c r="M167" s="1558"/>
      <c r="N167" s="1082"/>
      <c r="O167" s="1082"/>
      <c r="P167" s="1082"/>
      <c r="Q167" s="1082"/>
      <c r="R167" s="1558"/>
      <c r="S167" s="1082"/>
      <c r="T167" s="1082"/>
      <c r="U167" s="478"/>
      <c r="V167" s="1082"/>
      <c r="W167" s="1082"/>
      <c r="X167" s="1082"/>
      <c r="Y167" s="1082"/>
      <c r="Z167" s="1082"/>
      <c r="AA167" s="1554"/>
      <c r="AB167" s="500"/>
      <c r="AC167" s="500"/>
      <c r="AD167" s="500"/>
      <c r="AE167" s="500"/>
      <c r="AF167" s="1563">
        <v>11</v>
      </c>
    </row>
    <row r="168" spans="1:32" s="1563" customFormat="1" ht="11.45" customHeight="1">
      <c r="A168" s="913"/>
      <c r="B168" s="1558"/>
      <c r="C168" s="1558"/>
      <c r="D168" s="285"/>
      <c r="K168" s="1082"/>
      <c r="L168" s="1558"/>
      <c r="M168" s="1558"/>
      <c r="N168" s="1082"/>
      <c r="O168" s="1082"/>
      <c r="P168" s="1082"/>
      <c r="Q168" s="1082"/>
      <c r="R168" s="1558"/>
      <c r="S168" s="1082"/>
      <c r="T168" s="1082"/>
      <c r="U168" s="478"/>
      <c r="V168" s="1082"/>
      <c r="W168" s="1082"/>
      <c r="X168" s="1082"/>
      <c r="Y168" s="1082"/>
      <c r="Z168" s="1082"/>
      <c r="AA168" s="1554"/>
      <c r="AB168" s="500"/>
      <c r="AC168" s="500"/>
      <c r="AD168" s="500"/>
      <c r="AE168" s="500"/>
      <c r="AF168" s="1563">
        <v>11</v>
      </c>
    </row>
    <row r="169" spans="1:32" s="1563" customFormat="1" ht="11.45" customHeight="1">
      <c r="A169" s="913"/>
      <c r="B169" s="1558"/>
      <c r="C169" s="1558"/>
      <c r="D169" s="285"/>
      <c r="K169" s="1082"/>
      <c r="L169" s="1558"/>
      <c r="M169" s="1558"/>
      <c r="N169" s="1082"/>
      <c r="O169" s="1082"/>
      <c r="P169" s="1082"/>
      <c r="Q169" s="1082"/>
      <c r="R169" s="1558"/>
      <c r="S169" s="1082"/>
      <c r="T169" s="1082"/>
      <c r="U169" s="478"/>
      <c r="V169" s="1082"/>
      <c r="W169" s="1082"/>
      <c r="X169" s="1082"/>
      <c r="Y169" s="1082"/>
      <c r="Z169" s="1082"/>
      <c r="AA169" s="1554"/>
      <c r="AB169" s="500"/>
      <c r="AC169" s="500"/>
      <c r="AD169" s="500"/>
      <c r="AE169" s="500"/>
      <c r="AF169" s="1563">
        <v>11</v>
      </c>
    </row>
    <row r="170" spans="1:32" s="1563" customFormat="1" ht="11.45" customHeight="1">
      <c r="A170" s="913"/>
      <c r="B170" s="1558"/>
      <c r="C170" s="1558"/>
      <c r="D170" s="285"/>
      <c r="K170" s="1082"/>
      <c r="L170" s="1558"/>
      <c r="M170" s="1558"/>
      <c r="N170" s="1082"/>
      <c r="O170" s="1082"/>
      <c r="P170" s="1082"/>
      <c r="Q170" s="1082"/>
      <c r="R170" s="1558"/>
      <c r="S170" s="1082"/>
      <c r="T170" s="1082"/>
      <c r="U170" s="478"/>
      <c r="V170" s="1082"/>
      <c r="W170" s="1082"/>
      <c r="X170" s="1082"/>
      <c r="Y170" s="1082"/>
      <c r="Z170" s="1082"/>
      <c r="AA170" s="1554"/>
      <c r="AB170" s="500"/>
      <c r="AC170" s="500"/>
      <c r="AD170" s="500"/>
      <c r="AE170" s="500"/>
      <c r="AF170" s="1563">
        <v>11</v>
      </c>
    </row>
    <row r="171" spans="1:32" s="1563" customFormat="1" ht="11.45" customHeight="1">
      <c r="A171" s="913"/>
      <c r="B171" s="1558"/>
      <c r="C171" s="1558"/>
      <c r="D171" s="285"/>
      <c r="K171" s="1082"/>
      <c r="L171" s="1558"/>
      <c r="M171" s="1558"/>
      <c r="N171" s="1082"/>
      <c r="O171" s="1082"/>
      <c r="P171" s="1082"/>
      <c r="Q171" s="1082"/>
      <c r="R171" s="1558"/>
      <c r="S171" s="1082"/>
      <c r="T171" s="1082"/>
      <c r="U171" s="478"/>
      <c r="V171" s="1082"/>
      <c r="W171" s="1082"/>
      <c r="X171" s="1082"/>
      <c r="Y171" s="1082"/>
      <c r="Z171" s="1082"/>
      <c r="AA171" s="1554"/>
      <c r="AB171" s="500"/>
      <c r="AC171" s="500"/>
      <c r="AD171" s="500"/>
      <c r="AE171" s="500"/>
      <c r="AF171" s="1563">
        <v>11</v>
      </c>
    </row>
    <row r="172" spans="1:32" s="1563" customFormat="1" ht="11.45" customHeight="1">
      <c r="A172" s="913"/>
      <c r="B172" s="1558"/>
      <c r="C172" s="1558"/>
      <c r="D172" s="285"/>
      <c r="K172" s="1082"/>
      <c r="L172" s="1558"/>
      <c r="M172" s="1558"/>
      <c r="N172" s="1082"/>
      <c r="O172" s="1082"/>
      <c r="P172" s="1082"/>
      <c r="Q172" s="1082"/>
      <c r="R172" s="1558"/>
      <c r="S172" s="1082"/>
      <c r="T172" s="1082"/>
      <c r="U172" s="478"/>
      <c r="V172" s="1082"/>
      <c r="W172" s="1082"/>
      <c r="X172" s="1082"/>
      <c r="Y172" s="1082"/>
      <c r="Z172" s="1082"/>
      <c r="AA172" s="1554"/>
      <c r="AB172" s="500"/>
      <c r="AC172" s="500"/>
      <c r="AD172" s="500"/>
      <c r="AE172" s="500"/>
      <c r="AF172" s="1563">
        <v>11</v>
      </c>
    </row>
    <row r="173" spans="1:32" s="1563" customFormat="1" ht="11.45" customHeight="1">
      <c r="A173" s="913"/>
      <c r="B173" s="1558"/>
      <c r="C173" s="1558"/>
      <c r="D173" s="285"/>
      <c r="K173" s="1082"/>
      <c r="L173" s="1558"/>
      <c r="M173" s="1558"/>
      <c r="N173" s="1082"/>
      <c r="O173" s="1082"/>
      <c r="P173" s="1082"/>
      <c r="Q173" s="1082"/>
      <c r="R173" s="1558"/>
      <c r="S173" s="1082"/>
      <c r="T173" s="1082"/>
      <c r="U173" s="478"/>
      <c r="V173" s="1082"/>
      <c r="W173" s="1082"/>
      <c r="X173" s="1082"/>
      <c r="Y173" s="1082"/>
      <c r="Z173" s="1082"/>
      <c r="AA173" s="1554"/>
      <c r="AB173" s="500"/>
      <c r="AC173" s="500"/>
      <c r="AD173" s="500"/>
      <c r="AE173" s="500"/>
      <c r="AF173" s="1563">
        <v>11</v>
      </c>
    </row>
    <row r="174" spans="1:32" s="1563" customFormat="1" ht="11.45" customHeight="1">
      <c r="A174" s="913"/>
      <c r="B174" s="1558"/>
      <c r="C174" s="1558"/>
      <c r="D174" s="285"/>
      <c r="K174" s="1082"/>
      <c r="L174" s="1558"/>
      <c r="M174" s="1558"/>
      <c r="N174" s="1082"/>
      <c r="O174" s="1082"/>
      <c r="P174" s="1082"/>
      <c r="Q174" s="1082"/>
      <c r="R174" s="1558"/>
      <c r="S174" s="1082"/>
      <c r="T174" s="1082"/>
      <c r="U174" s="478"/>
      <c r="V174" s="1082"/>
      <c r="W174" s="1082"/>
      <c r="X174" s="1082"/>
      <c r="Y174" s="1082"/>
      <c r="Z174" s="1082"/>
      <c r="AA174" s="1554"/>
      <c r="AB174" s="500"/>
      <c r="AC174" s="500"/>
      <c r="AD174" s="500"/>
      <c r="AE174" s="500"/>
      <c r="AF174" s="1563">
        <v>11</v>
      </c>
    </row>
    <row r="175" spans="1:32" s="1563" customFormat="1" ht="11.45" customHeight="1">
      <c r="A175" s="913"/>
      <c r="B175" s="1558"/>
      <c r="C175" s="1558"/>
      <c r="D175" s="285"/>
      <c r="K175" s="1082"/>
      <c r="L175" s="1558"/>
      <c r="M175" s="1558"/>
      <c r="N175" s="1082"/>
      <c r="O175" s="1082"/>
      <c r="P175" s="1082"/>
      <c r="Q175" s="1082"/>
      <c r="R175" s="1558"/>
      <c r="S175" s="1082"/>
      <c r="T175" s="1082"/>
      <c r="U175" s="478"/>
      <c r="V175" s="1082"/>
      <c r="W175" s="1082"/>
      <c r="X175" s="1082"/>
      <c r="Y175" s="1082"/>
      <c r="Z175" s="1082"/>
      <c r="AA175" s="1554"/>
      <c r="AB175" s="500"/>
      <c r="AC175" s="500"/>
      <c r="AD175" s="500"/>
      <c r="AE175" s="500"/>
      <c r="AF175" s="1563">
        <v>11</v>
      </c>
    </row>
    <row r="176" spans="1:32" s="1563" customFormat="1" ht="11.45" customHeight="1">
      <c r="A176" s="913"/>
      <c r="B176" s="1558"/>
      <c r="C176" s="1558"/>
      <c r="D176" s="285"/>
      <c r="K176" s="1082"/>
      <c r="L176" s="1558"/>
      <c r="M176" s="1558"/>
      <c r="N176" s="1082"/>
      <c r="O176" s="1082"/>
      <c r="P176" s="1082"/>
      <c r="Q176" s="1082"/>
      <c r="R176" s="1558"/>
      <c r="S176" s="1082"/>
      <c r="T176" s="1082"/>
      <c r="U176" s="478"/>
      <c r="V176" s="1082"/>
      <c r="W176" s="1082"/>
      <c r="X176" s="1082"/>
      <c r="Y176" s="1082"/>
      <c r="Z176" s="1082"/>
      <c r="AA176" s="1554"/>
      <c r="AB176" s="500"/>
      <c r="AC176" s="500"/>
      <c r="AD176" s="500"/>
      <c r="AE176" s="500"/>
      <c r="AF176" s="1563">
        <v>11</v>
      </c>
    </row>
    <row r="177" spans="1:32" s="1563" customFormat="1" ht="11.45" customHeight="1">
      <c r="A177" s="913"/>
      <c r="B177" s="1558"/>
      <c r="C177" s="1558"/>
      <c r="D177" s="285"/>
      <c r="K177" s="1082"/>
      <c r="L177" s="1558"/>
      <c r="M177" s="1558"/>
      <c r="N177" s="1082"/>
      <c r="O177" s="1082"/>
      <c r="P177" s="1082"/>
      <c r="Q177" s="1082"/>
      <c r="R177" s="1558"/>
      <c r="S177" s="1082"/>
      <c r="T177" s="1082"/>
      <c r="U177" s="478"/>
      <c r="V177" s="1082"/>
      <c r="W177" s="1082"/>
      <c r="X177" s="1082"/>
      <c r="Y177" s="1082"/>
      <c r="Z177" s="1082"/>
      <c r="AA177" s="1554"/>
      <c r="AB177" s="500"/>
      <c r="AC177" s="500"/>
      <c r="AD177" s="500"/>
      <c r="AE177" s="500"/>
      <c r="AF177" s="1563">
        <v>11</v>
      </c>
    </row>
    <row r="178" spans="1:32" s="1563" customFormat="1" ht="11.45" customHeight="1">
      <c r="A178" s="913"/>
      <c r="B178" s="1558"/>
      <c r="C178" s="1558"/>
      <c r="D178" s="285"/>
      <c r="K178" s="1082"/>
      <c r="L178" s="1558"/>
      <c r="M178" s="1558"/>
      <c r="N178" s="1082"/>
      <c r="O178" s="1082"/>
      <c r="P178" s="1082"/>
      <c r="Q178" s="1082"/>
      <c r="R178" s="1558"/>
      <c r="S178" s="1082"/>
      <c r="T178" s="1082"/>
      <c r="U178" s="478"/>
      <c r="V178" s="1082"/>
      <c r="W178" s="1082"/>
      <c r="X178" s="1082"/>
      <c r="Y178" s="1082"/>
      <c r="Z178" s="1082"/>
      <c r="AA178" s="1554"/>
      <c r="AB178" s="500"/>
      <c r="AC178" s="500"/>
      <c r="AD178" s="500"/>
      <c r="AE178" s="500"/>
      <c r="AF178" s="1563">
        <v>11</v>
      </c>
    </row>
    <row r="179" spans="1:32" s="1563" customFormat="1" ht="11.45" customHeight="1">
      <c r="A179" s="913"/>
      <c r="B179" s="1558"/>
      <c r="C179" s="1558"/>
      <c r="D179" s="285"/>
      <c r="K179" s="1082"/>
      <c r="L179" s="1558"/>
      <c r="M179" s="1558"/>
      <c r="N179" s="1082"/>
      <c r="O179" s="1082"/>
      <c r="P179" s="1082"/>
      <c r="Q179" s="1082"/>
      <c r="R179" s="1558"/>
      <c r="S179" s="1082"/>
      <c r="T179" s="1082"/>
      <c r="U179" s="478"/>
      <c r="V179" s="1082"/>
      <c r="W179" s="1082"/>
      <c r="X179" s="1082"/>
      <c r="Y179" s="1082"/>
      <c r="Z179" s="1082"/>
      <c r="AA179" s="1554"/>
      <c r="AB179" s="500"/>
      <c r="AC179" s="500"/>
      <c r="AD179" s="500"/>
      <c r="AE179" s="500"/>
      <c r="AF179" s="1563">
        <v>11</v>
      </c>
    </row>
    <row r="180" spans="1:32" s="1563" customFormat="1" ht="11.45" customHeight="1">
      <c r="A180" s="913"/>
      <c r="B180" s="1558"/>
      <c r="C180" s="1558"/>
      <c r="D180" s="285"/>
      <c r="K180" s="1082"/>
      <c r="L180" s="1558"/>
      <c r="M180" s="1558"/>
      <c r="N180" s="1082"/>
      <c r="O180" s="1082"/>
      <c r="P180" s="1082"/>
      <c r="Q180" s="1082"/>
      <c r="R180" s="1558"/>
      <c r="S180" s="1082"/>
      <c r="T180" s="1082"/>
      <c r="U180" s="478"/>
      <c r="V180" s="1082"/>
      <c r="W180" s="1082"/>
      <c r="X180" s="1082"/>
      <c r="Y180" s="1082"/>
      <c r="Z180" s="1082"/>
      <c r="AA180" s="1554"/>
      <c r="AB180" s="500"/>
      <c r="AC180" s="500"/>
      <c r="AD180" s="500"/>
      <c r="AE180" s="500"/>
      <c r="AF180" s="1563">
        <v>11</v>
      </c>
    </row>
    <row r="181" spans="1:32" s="1563" customFormat="1" ht="11.45" customHeight="1">
      <c r="A181" s="913"/>
      <c r="B181" s="1558"/>
      <c r="C181" s="1558"/>
      <c r="D181" s="285"/>
      <c r="K181" s="1082"/>
      <c r="L181" s="1558"/>
      <c r="M181" s="1558"/>
      <c r="N181" s="1082"/>
      <c r="O181" s="1082"/>
      <c r="P181" s="1082"/>
      <c r="Q181" s="1082"/>
      <c r="R181" s="1558"/>
      <c r="S181" s="1082"/>
      <c r="T181" s="1082"/>
      <c r="U181" s="478"/>
      <c r="V181" s="1082"/>
      <c r="W181" s="1082"/>
      <c r="X181" s="1082"/>
      <c r="Y181" s="1082"/>
      <c r="Z181" s="1082"/>
      <c r="AA181" s="1554"/>
      <c r="AB181" s="500"/>
      <c r="AC181" s="500"/>
      <c r="AD181" s="500"/>
      <c r="AE181" s="500"/>
      <c r="AF181" s="1563">
        <v>11</v>
      </c>
    </row>
    <row r="182" spans="1:32" s="1563" customFormat="1" ht="11.45" customHeight="1">
      <c r="A182" s="913"/>
      <c r="B182" s="1558"/>
      <c r="C182" s="1558"/>
      <c r="D182" s="285"/>
      <c r="K182" s="1082"/>
      <c r="L182" s="1558"/>
      <c r="M182" s="1558"/>
      <c r="N182" s="1082"/>
      <c r="O182" s="1082"/>
      <c r="P182" s="1082"/>
      <c r="Q182" s="1082"/>
      <c r="R182" s="1558"/>
      <c r="S182" s="1082"/>
      <c r="T182" s="1082"/>
      <c r="U182" s="478"/>
      <c r="V182" s="1082"/>
      <c r="W182" s="1082"/>
      <c r="X182" s="1082"/>
      <c r="Y182" s="1082"/>
      <c r="Z182" s="1082"/>
      <c r="AA182" s="1554"/>
      <c r="AB182" s="500"/>
      <c r="AC182" s="500"/>
      <c r="AD182" s="500"/>
      <c r="AE182" s="500"/>
      <c r="AF182" s="1563">
        <v>11</v>
      </c>
    </row>
    <row r="183" spans="1:32" s="1563" customFormat="1" ht="11.45" customHeight="1">
      <c r="A183" s="913"/>
      <c r="B183" s="1558"/>
      <c r="C183" s="1558"/>
      <c r="D183" s="285"/>
      <c r="K183" s="1082"/>
      <c r="L183" s="1558"/>
      <c r="M183" s="1558"/>
      <c r="N183" s="1082"/>
      <c r="O183" s="1082"/>
      <c r="P183" s="1082"/>
      <c r="Q183" s="1082"/>
      <c r="R183" s="1558"/>
      <c r="S183" s="1082"/>
      <c r="T183" s="1082"/>
      <c r="U183" s="478"/>
      <c r="V183" s="1082"/>
      <c r="W183" s="1082"/>
      <c r="X183" s="1082"/>
      <c r="Y183" s="1082"/>
      <c r="Z183" s="1082"/>
      <c r="AA183" s="1554"/>
      <c r="AB183" s="500"/>
      <c r="AC183" s="500"/>
      <c r="AD183" s="500"/>
      <c r="AE183" s="500"/>
      <c r="AF183" s="1563">
        <v>11</v>
      </c>
    </row>
    <row r="184" spans="1:32" s="1563" customFormat="1" ht="11.45" customHeight="1">
      <c r="A184" s="913"/>
      <c r="B184" s="1558"/>
      <c r="C184" s="1558"/>
      <c r="D184" s="285"/>
      <c r="K184" s="1082"/>
      <c r="L184" s="1558"/>
      <c r="M184" s="1558"/>
      <c r="N184" s="1082"/>
      <c r="O184" s="1082"/>
      <c r="P184" s="1082"/>
      <c r="Q184" s="1082"/>
      <c r="R184" s="1558"/>
      <c r="S184" s="1082"/>
      <c r="T184" s="1082"/>
      <c r="U184" s="478"/>
      <c r="V184" s="1082"/>
      <c r="W184" s="1082"/>
      <c r="X184" s="1082"/>
      <c r="Y184" s="1082"/>
      <c r="Z184" s="1082"/>
      <c r="AA184" s="1554"/>
      <c r="AB184" s="500"/>
      <c r="AC184" s="500"/>
      <c r="AD184" s="500"/>
      <c r="AE184" s="500"/>
      <c r="AF184" s="1563">
        <v>11</v>
      </c>
    </row>
    <row r="185" spans="1:32" s="1563" customFormat="1" ht="11.45" customHeight="1">
      <c r="A185" s="913"/>
      <c r="B185" s="1558"/>
      <c r="C185" s="1558"/>
      <c r="D185" s="285"/>
      <c r="K185" s="1082"/>
      <c r="L185" s="1558"/>
      <c r="M185" s="1558"/>
      <c r="N185" s="1082"/>
      <c r="O185" s="1082"/>
      <c r="P185" s="1082"/>
      <c r="Q185" s="1082"/>
      <c r="R185" s="1558"/>
      <c r="S185" s="1082"/>
      <c r="T185" s="1082"/>
      <c r="U185" s="478"/>
      <c r="V185" s="1082"/>
      <c r="W185" s="1082"/>
      <c r="X185" s="1082"/>
      <c r="Y185" s="1082"/>
      <c r="Z185" s="1082"/>
      <c r="AA185" s="1554"/>
      <c r="AB185" s="500"/>
      <c r="AC185" s="500"/>
      <c r="AD185" s="500"/>
      <c r="AE185" s="500"/>
      <c r="AF185" s="1563">
        <v>11</v>
      </c>
    </row>
    <row r="186" spans="1:32" s="1563" customFormat="1" ht="11.45" customHeight="1">
      <c r="A186" s="913"/>
      <c r="B186" s="1558"/>
      <c r="C186" s="1558"/>
      <c r="D186" s="285"/>
      <c r="K186" s="1082"/>
      <c r="L186" s="1558"/>
      <c r="M186" s="1558"/>
      <c r="N186" s="1082"/>
      <c r="O186" s="1082"/>
      <c r="P186" s="1082"/>
      <c r="Q186" s="1082"/>
      <c r="R186" s="1558"/>
      <c r="S186" s="1082"/>
      <c r="T186" s="1082"/>
      <c r="U186" s="478"/>
      <c r="V186" s="1082"/>
      <c r="W186" s="1082"/>
      <c r="X186" s="1082"/>
      <c r="Y186" s="1082"/>
      <c r="Z186" s="1082"/>
      <c r="AA186" s="1554"/>
      <c r="AB186" s="500"/>
      <c r="AC186" s="500"/>
      <c r="AD186" s="500"/>
      <c r="AE186" s="500"/>
      <c r="AF186" s="1563">
        <v>11</v>
      </c>
    </row>
    <row r="187" spans="1:32" s="1563" customFormat="1" ht="11.45" customHeight="1">
      <c r="A187" s="913"/>
      <c r="B187" s="1558"/>
      <c r="C187" s="1558"/>
      <c r="D187" s="285"/>
      <c r="K187" s="1082"/>
      <c r="L187" s="1558"/>
      <c r="M187" s="1558"/>
      <c r="N187" s="1082"/>
      <c r="O187" s="1082"/>
      <c r="P187" s="1082"/>
      <c r="Q187" s="1082"/>
      <c r="R187" s="1558"/>
      <c r="S187" s="1082"/>
      <c r="T187" s="1082"/>
      <c r="U187" s="478"/>
      <c r="V187" s="1082"/>
      <c r="W187" s="1082"/>
      <c r="X187" s="1082"/>
      <c r="Y187" s="1082"/>
      <c r="Z187" s="1082"/>
      <c r="AA187" s="1554"/>
      <c r="AB187" s="500"/>
      <c r="AC187" s="500"/>
      <c r="AD187" s="500"/>
      <c r="AE187" s="500"/>
      <c r="AF187" s="1563">
        <v>11</v>
      </c>
    </row>
    <row r="188" spans="1:32" s="1563" customFormat="1" ht="11.45" customHeight="1">
      <c r="A188" s="913"/>
      <c r="B188" s="1558"/>
      <c r="C188" s="1558"/>
      <c r="D188" s="285"/>
      <c r="K188" s="1082"/>
      <c r="L188" s="1558"/>
      <c r="M188" s="1558"/>
      <c r="N188" s="1082"/>
      <c r="O188" s="1082"/>
      <c r="P188" s="1082"/>
      <c r="Q188" s="1082"/>
      <c r="R188" s="1558"/>
      <c r="S188" s="1082"/>
      <c r="T188" s="1082"/>
      <c r="U188" s="478"/>
      <c r="V188" s="1082"/>
      <c r="W188" s="1082"/>
      <c r="X188" s="1082"/>
      <c r="Y188" s="1082"/>
      <c r="Z188" s="1082"/>
      <c r="AA188" s="1554"/>
      <c r="AB188" s="500"/>
      <c r="AC188" s="500"/>
      <c r="AD188" s="500"/>
      <c r="AE188" s="500"/>
      <c r="AF188" s="1563">
        <v>11</v>
      </c>
    </row>
    <row r="189" spans="1:32" s="1563" customFormat="1" ht="11.45" customHeight="1">
      <c r="A189" s="913"/>
      <c r="B189" s="1558"/>
      <c r="C189" s="1558"/>
      <c r="D189" s="285"/>
      <c r="K189" s="1082"/>
      <c r="L189" s="1558"/>
      <c r="M189" s="1558"/>
      <c r="N189" s="1082"/>
      <c r="O189" s="1082"/>
      <c r="P189" s="1082"/>
      <c r="Q189" s="1082"/>
      <c r="R189" s="1558"/>
      <c r="S189" s="1082"/>
      <c r="T189" s="1082"/>
      <c r="U189" s="478"/>
      <c r="V189" s="1082"/>
      <c r="W189" s="1082"/>
      <c r="X189" s="1082"/>
      <c r="Y189" s="1082"/>
      <c r="Z189" s="1082"/>
      <c r="AA189" s="1554"/>
      <c r="AB189" s="500"/>
      <c r="AC189" s="500"/>
      <c r="AD189" s="500"/>
      <c r="AE189" s="500"/>
      <c r="AF189" s="1563">
        <v>11</v>
      </c>
    </row>
    <row r="190" spans="1:32" s="1563" customFormat="1" ht="11.45" customHeight="1">
      <c r="A190" s="913"/>
      <c r="B190" s="1558"/>
      <c r="C190" s="1558"/>
      <c r="D190" s="285"/>
      <c r="K190" s="1082"/>
      <c r="L190" s="1558"/>
      <c r="M190" s="1558"/>
      <c r="N190" s="1082"/>
      <c r="O190" s="1082"/>
      <c r="P190" s="1082"/>
      <c r="Q190" s="1082"/>
      <c r="R190" s="1558"/>
      <c r="S190" s="1082"/>
      <c r="T190" s="1082"/>
      <c r="U190" s="478"/>
      <c r="V190" s="1082"/>
      <c r="W190" s="1082"/>
      <c r="X190" s="1082"/>
      <c r="Y190" s="1082"/>
      <c r="Z190" s="1082"/>
      <c r="AA190" s="1554"/>
      <c r="AB190" s="500"/>
      <c r="AC190" s="500"/>
      <c r="AD190" s="500"/>
      <c r="AE190" s="500"/>
      <c r="AF190" s="1563">
        <v>11</v>
      </c>
    </row>
    <row r="191" spans="1:32" s="1563" customFormat="1" ht="11.45" customHeight="1">
      <c r="A191" s="913"/>
      <c r="B191" s="1558"/>
      <c r="C191" s="1558"/>
      <c r="D191" s="285"/>
      <c r="K191" s="1082"/>
      <c r="L191" s="1558"/>
      <c r="M191" s="1558"/>
      <c r="N191" s="1082"/>
      <c r="O191" s="1082"/>
      <c r="P191" s="1082"/>
      <c r="Q191" s="1082"/>
      <c r="R191" s="1558"/>
      <c r="S191" s="1082"/>
      <c r="T191" s="1082"/>
      <c r="U191" s="478"/>
      <c r="V191" s="1082"/>
      <c r="W191" s="1082"/>
      <c r="X191" s="1082"/>
      <c r="Y191" s="1082"/>
      <c r="Z191" s="1082"/>
      <c r="AA191" s="1554"/>
      <c r="AB191" s="500"/>
      <c r="AC191" s="500"/>
      <c r="AD191" s="500"/>
      <c r="AE191" s="500"/>
      <c r="AF191" s="1563">
        <v>11</v>
      </c>
    </row>
    <row r="192" spans="1:32" s="1563" customFormat="1" ht="11.45" customHeight="1">
      <c r="A192" s="913"/>
      <c r="B192" s="1558"/>
      <c r="C192" s="1558"/>
      <c r="D192" s="285"/>
      <c r="K192" s="1082"/>
      <c r="L192" s="1558"/>
      <c r="M192" s="1558"/>
      <c r="N192" s="1082"/>
      <c r="O192" s="1082"/>
      <c r="P192" s="1082"/>
      <c r="Q192" s="1082"/>
      <c r="R192" s="1558"/>
      <c r="S192" s="1082"/>
      <c r="T192" s="1082"/>
      <c r="U192" s="478"/>
      <c r="V192" s="1082"/>
      <c r="W192" s="1082"/>
      <c r="X192" s="1082"/>
      <c r="Y192" s="1082"/>
      <c r="Z192" s="1082"/>
      <c r="AA192" s="1554"/>
      <c r="AB192" s="500"/>
      <c r="AC192" s="500"/>
      <c r="AD192" s="500"/>
      <c r="AE192" s="500"/>
      <c r="AF192" s="1563">
        <v>11</v>
      </c>
    </row>
    <row r="193" spans="1:32" s="1563" customFormat="1" ht="11.45" customHeight="1">
      <c r="A193" s="913"/>
      <c r="B193" s="1558"/>
      <c r="C193" s="1558"/>
      <c r="D193" s="285"/>
      <c r="K193" s="1082"/>
      <c r="L193" s="1558"/>
      <c r="M193" s="1558"/>
      <c r="N193" s="1082"/>
      <c r="O193" s="1082"/>
      <c r="P193" s="1082"/>
      <c r="Q193" s="1082"/>
      <c r="R193" s="1558"/>
      <c r="S193" s="1082"/>
      <c r="T193" s="1082"/>
      <c r="U193" s="478"/>
      <c r="V193" s="1082"/>
      <c r="W193" s="1082"/>
      <c r="X193" s="1082"/>
      <c r="Y193" s="1082"/>
      <c r="Z193" s="1082"/>
      <c r="AA193" s="1554"/>
      <c r="AB193" s="500"/>
      <c r="AC193" s="500"/>
      <c r="AD193" s="500"/>
      <c r="AE193" s="500"/>
      <c r="AF193" s="1563">
        <v>11</v>
      </c>
    </row>
    <row r="194" spans="1:32" s="1563" customFormat="1" ht="11.45" customHeight="1">
      <c r="A194" s="913"/>
      <c r="B194" s="1558"/>
      <c r="C194" s="1558"/>
      <c r="D194" s="285"/>
      <c r="K194" s="1082"/>
      <c r="L194" s="1558"/>
      <c r="M194" s="1558"/>
      <c r="N194" s="1082"/>
      <c r="O194" s="1082"/>
      <c r="P194" s="1082"/>
      <c r="Q194" s="1082"/>
      <c r="R194" s="1558"/>
      <c r="S194" s="1082"/>
      <c r="T194" s="1082"/>
      <c r="U194" s="478"/>
      <c r="V194" s="1082"/>
      <c r="W194" s="1082"/>
      <c r="X194" s="1082"/>
      <c r="Y194" s="1082"/>
      <c r="Z194" s="1082"/>
      <c r="AA194" s="1554"/>
      <c r="AB194" s="500"/>
      <c r="AC194" s="500"/>
      <c r="AD194" s="500"/>
      <c r="AE194" s="500"/>
      <c r="AF194" s="1563">
        <v>11</v>
      </c>
    </row>
    <row r="195" spans="1:32" s="1563" customFormat="1" ht="11.45" customHeight="1">
      <c r="A195" s="913"/>
      <c r="B195" s="1558"/>
      <c r="C195" s="1558"/>
      <c r="D195" s="285"/>
      <c r="K195" s="1082"/>
      <c r="L195" s="1558"/>
      <c r="M195" s="1558"/>
      <c r="N195" s="1082"/>
      <c r="O195" s="1082"/>
      <c r="P195" s="1082"/>
      <c r="Q195" s="1082"/>
      <c r="R195" s="1558"/>
      <c r="S195" s="1082"/>
      <c r="T195" s="1082"/>
      <c r="U195" s="478"/>
      <c r="V195" s="1082"/>
      <c r="W195" s="1082"/>
      <c r="X195" s="1082"/>
      <c r="Y195" s="1082"/>
      <c r="Z195" s="1082"/>
      <c r="AA195" s="1554"/>
      <c r="AB195" s="500"/>
      <c r="AC195" s="500"/>
      <c r="AD195" s="500"/>
      <c r="AE195" s="500"/>
      <c r="AF195" s="1563">
        <v>11</v>
      </c>
    </row>
    <row r="196" spans="1:32" s="1563" customFormat="1" ht="11.45" customHeight="1">
      <c r="A196" s="913"/>
      <c r="B196" s="1558"/>
      <c r="C196" s="1558"/>
      <c r="D196" s="285"/>
      <c r="K196" s="1082"/>
      <c r="L196" s="1558"/>
      <c r="M196" s="1558"/>
      <c r="N196" s="1082"/>
      <c r="O196" s="1082"/>
      <c r="P196" s="1082"/>
      <c r="Q196" s="1082"/>
      <c r="R196" s="1558"/>
      <c r="S196" s="1082"/>
      <c r="T196" s="1082"/>
      <c r="U196" s="478"/>
      <c r="V196" s="1082"/>
      <c r="W196" s="1082"/>
      <c r="X196" s="1082"/>
      <c r="Y196" s="1082"/>
      <c r="Z196" s="1082"/>
      <c r="AA196" s="1554"/>
      <c r="AB196" s="500"/>
      <c r="AC196" s="500"/>
      <c r="AD196" s="500"/>
      <c r="AE196" s="500"/>
      <c r="AF196" s="1563">
        <v>11</v>
      </c>
    </row>
    <row r="197" spans="1:32" s="1563" customFormat="1" ht="11.45" customHeight="1">
      <c r="A197" s="913"/>
      <c r="B197" s="1558"/>
      <c r="C197" s="1558"/>
      <c r="D197" s="285"/>
      <c r="K197" s="1082"/>
      <c r="L197" s="1558"/>
      <c r="M197" s="1558"/>
      <c r="N197" s="1082"/>
      <c r="O197" s="1082"/>
      <c r="P197" s="1082"/>
      <c r="Q197" s="1082"/>
      <c r="R197" s="1558"/>
      <c r="S197" s="1082"/>
      <c r="T197" s="1082"/>
      <c r="U197" s="478"/>
      <c r="V197" s="1082"/>
      <c r="W197" s="1082"/>
      <c r="X197" s="1082"/>
      <c r="Y197" s="1082"/>
      <c r="Z197" s="1082"/>
      <c r="AA197" s="1554"/>
      <c r="AB197" s="500"/>
      <c r="AC197" s="500"/>
      <c r="AD197" s="500"/>
      <c r="AE197" s="500"/>
      <c r="AF197" s="1563">
        <v>11</v>
      </c>
    </row>
    <row r="198" spans="1:32" s="1563" customFormat="1" ht="11.45" customHeight="1">
      <c r="A198" s="913"/>
      <c r="B198" s="1558"/>
      <c r="C198" s="1558"/>
      <c r="D198" s="285"/>
      <c r="K198" s="1082"/>
      <c r="L198" s="1558"/>
      <c r="M198" s="1558"/>
      <c r="N198" s="1082"/>
      <c r="O198" s="1082"/>
      <c r="P198" s="1082"/>
      <c r="Q198" s="1082"/>
      <c r="R198" s="1558"/>
      <c r="S198" s="1082"/>
      <c r="T198" s="1082"/>
      <c r="U198" s="478"/>
      <c r="V198" s="1082"/>
      <c r="W198" s="1082"/>
      <c r="X198" s="1082"/>
      <c r="Y198" s="1082"/>
      <c r="Z198" s="1082"/>
      <c r="AA198" s="1554"/>
      <c r="AB198" s="500"/>
      <c r="AC198" s="500"/>
      <c r="AD198" s="500"/>
      <c r="AE198" s="500"/>
      <c r="AF198" s="1563">
        <v>11</v>
      </c>
    </row>
    <row r="199" spans="1:32" s="1563" customFormat="1" ht="11.45" customHeight="1">
      <c r="A199" s="913"/>
      <c r="B199" s="1558"/>
      <c r="C199" s="1558"/>
      <c r="D199" s="285"/>
      <c r="K199" s="1082"/>
      <c r="L199" s="1558"/>
      <c r="M199" s="1558"/>
      <c r="N199" s="1082"/>
      <c r="O199" s="1082"/>
      <c r="P199" s="1082"/>
      <c r="Q199" s="1082"/>
      <c r="R199" s="1558"/>
      <c r="S199" s="1082"/>
      <c r="T199" s="1082"/>
      <c r="U199" s="478"/>
      <c r="V199" s="1082"/>
      <c r="W199" s="1082"/>
      <c r="X199" s="1082"/>
      <c r="Y199" s="1082"/>
      <c r="Z199" s="1082"/>
      <c r="AA199" s="1554"/>
      <c r="AB199" s="500"/>
      <c r="AC199" s="500"/>
      <c r="AD199" s="500"/>
      <c r="AE199" s="500"/>
      <c r="AF199" s="1563">
        <v>11</v>
      </c>
    </row>
    <row r="200" spans="1:32" s="1563" customFormat="1" ht="11.45" customHeight="1">
      <c r="A200" s="913"/>
      <c r="B200" s="1558"/>
      <c r="C200" s="1558"/>
      <c r="D200" s="285"/>
      <c r="K200" s="1082"/>
      <c r="L200" s="1558"/>
      <c r="M200" s="1558"/>
      <c r="N200" s="1082"/>
      <c r="O200" s="1082"/>
      <c r="P200" s="1082"/>
      <c r="Q200" s="1082"/>
      <c r="R200" s="1558"/>
      <c r="S200" s="1082"/>
      <c r="T200" s="1082"/>
      <c r="U200" s="478"/>
      <c r="V200" s="1082"/>
      <c r="W200" s="1082"/>
      <c r="X200" s="1082"/>
      <c r="Y200" s="1082"/>
      <c r="Z200" s="1082"/>
      <c r="AA200" s="1554"/>
      <c r="AB200" s="500"/>
      <c r="AC200" s="500"/>
      <c r="AD200" s="500"/>
      <c r="AE200" s="500"/>
      <c r="AF200" s="1563">
        <v>11</v>
      </c>
    </row>
    <row r="201" spans="1:32" ht="11.45" customHeight="1">
      <c r="AF201" s="1553">
        <v>11</v>
      </c>
    </row>
    <row r="202" spans="1:32" ht="11.45" customHeight="1">
      <c r="AF202" s="1553">
        <v>11</v>
      </c>
    </row>
    <row r="203" spans="1:32" ht="11.45" customHeight="1">
      <c r="AF203" s="1553">
        <v>11</v>
      </c>
    </row>
    <row r="204" spans="1:32" ht="11.45" customHeight="1">
      <c r="A204" s="916"/>
      <c r="B204" s="1553"/>
      <c r="D204" s="1553"/>
      <c r="K204" s="1553"/>
      <c r="N204" s="1553"/>
      <c r="O204" s="1553"/>
      <c r="P204" s="1553"/>
      <c r="Q204" s="1553"/>
      <c r="S204" s="1553"/>
      <c r="T204" s="1553"/>
      <c r="U204" s="1553"/>
      <c r="V204" s="1553"/>
      <c r="W204" s="1553"/>
      <c r="X204" s="1553"/>
      <c r="Y204" s="1553"/>
      <c r="Z204" s="1553"/>
      <c r="AA204" s="1553"/>
      <c r="AB204" s="1553"/>
      <c r="AC204" s="1553"/>
      <c r="AD204" s="1553"/>
      <c r="AE204" s="1553"/>
      <c r="AF204" s="1553">
        <v>11</v>
      </c>
    </row>
    <row r="205" spans="1:32" ht="11.45" customHeight="1">
      <c r="A205" s="916"/>
      <c r="B205" s="1553"/>
      <c r="D205" s="1553"/>
      <c r="K205" s="1553"/>
      <c r="N205" s="1553"/>
      <c r="O205" s="1553"/>
      <c r="P205" s="1553"/>
      <c r="Q205" s="1553"/>
      <c r="S205" s="1553"/>
      <c r="T205" s="1553"/>
      <c r="U205" s="1553"/>
      <c r="V205" s="1553"/>
      <c r="W205" s="1553"/>
      <c r="X205" s="1553"/>
      <c r="Y205" s="1553"/>
      <c r="Z205" s="1553"/>
      <c r="AA205" s="1553"/>
      <c r="AB205" s="1553"/>
      <c r="AC205" s="1553"/>
      <c r="AD205" s="1553"/>
      <c r="AE205" s="1553"/>
      <c r="AF205" s="1553">
        <v>11</v>
      </c>
    </row>
    <row r="206" spans="1:32" ht="11.45" customHeight="1">
      <c r="A206" s="916"/>
      <c r="B206" s="1553"/>
      <c r="D206" s="1553"/>
      <c r="K206" s="1553"/>
      <c r="N206" s="1553"/>
      <c r="O206" s="1553"/>
      <c r="P206" s="1553"/>
      <c r="Q206" s="1553"/>
      <c r="S206" s="1553"/>
      <c r="T206" s="1553"/>
      <c r="U206" s="1553"/>
      <c r="V206" s="1553"/>
      <c r="W206" s="1553"/>
      <c r="X206" s="1553"/>
      <c r="Y206" s="1553"/>
      <c r="Z206" s="1553"/>
      <c r="AA206" s="1553"/>
      <c r="AB206" s="1553"/>
      <c r="AC206" s="1553"/>
      <c r="AD206" s="1553"/>
      <c r="AE206" s="1553"/>
      <c r="AF206" s="1553">
        <v>11</v>
      </c>
    </row>
    <row r="207" spans="1:32" ht="11.45" customHeight="1">
      <c r="A207" s="916"/>
      <c r="B207" s="1553"/>
      <c r="D207" s="1553"/>
      <c r="K207" s="1553"/>
      <c r="N207" s="1553"/>
      <c r="O207" s="1553"/>
      <c r="P207" s="1553"/>
      <c r="Q207" s="1553"/>
      <c r="S207" s="1553"/>
      <c r="T207" s="1553"/>
      <c r="U207" s="1553"/>
      <c r="V207" s="1553"/>
      <c r="W207" s="1553"/>
      <c r="X207" s="1553"/>
      <c r="Y207" s="1553"/>
      <c r="Z207" s="1553"/>
      <c r="AA207" s="1553"/>
      <c r="AB207" s="1553"/>
      <c r="AC207" s="1553"/>
      <c r="AD207" s="1553"/>
      <c r="AE207" s="1553"/>
      <c r="AF207" s="1553">
        <v>11</v>
      </c>
    </row>
    <row r="208" spans="1:32" ht="11.45" customHeight="1">
      <c r="A208" s="916"/>
      <c r="B208" s="1553"/>
      <c r="D208" s="1553"/>
      <c r="K208" s="1553"/>
      <c r="N208" s="1553"/>
      <c r="O208" s="1553"/>
      <c r="P208" s="1553"/>
      <c r="Q208" s="1553"/>
      <c r="S208" s="1553"/>
      <c r="T208" s="1553"/>
      <c r="U208" s="1553"/>
      <c r="V208" s="1553"/>
      <c r="W208" s="1553"/>
      <c r="X208" s="1553"/>
      <c r="Y208" s="1553"/>
      <c r="Z208" s="1553"/>
      <c r="AA208" s="1553"/>
      <c r="AB208" s="1553"/>
      <c r="AC208" s="1553"/>
      <c r="AD208" s="1553"/>
      <c r="AE208" s="1553"/>
      <c r="AF208" s="1553">
        <v>11</v>
      </c>
    </row>
    <row r="209" spans="1:32" ht="11.45" customHeight="1">
      <c r="A209" s="916"/>
      <c r="B209" s="1553"/>
      <c r="D209" s="1553"/>
      <c r="K209" s="1553"/>
      <c r="N209" s="1553"/>
      <c r="O209" s="1553"/>
      <c r="P209" s="1553"/>
      <c r="Q209" s="1553"/>
      <c r="S209" s="1553"/>
      <c r="T209" s="1553"/>
      <c r="U209" s="1553"/>
      <c r="V209" s="1553"/>
      <c r="W209" s="1553"/>
      <c r="X209" s="1553"/>
      <c r="Y209" s="1553"/>
      <c r="Z209" s="1553"/>
      <c r="AA209" s="1553"/>
      <c r="AB209" s="1553"/>
      <c r="AC209" s="1553"/>
      <c r="AD209" s="1553"/>
      <c r="AE209" s="1553"/>
      <c r="AF209" s="1553">
        <v>11</v>
      </c>
    </row>
    <row r="210" spans="1:32" ht="11.45" customHeight="1">
      <c r="A210" s="916"/>
      <c r="B210" s="1553"/>
      <c r="D210" s="1553"/>
      <c r="K210" s="1553"/>
      <c r="N210" s="1553"/>
      <c r="O210" s="1553"/>
      <c r="P210" s="1553"/>
      <c r="Q210" s="1553"/>
      <c r="S210" s="1553"/>
      <c r="T210" s="1553"/>
      <c r="U210" s="1553"/>
      <c r="V210" s="1553"/>
      <c r="W210" s="1553"/>
      <c r="X210" s="1553"/>
      <c r="Y210" s="1553"/>
      <c r="Z210" s="1553"/>
      <c r="AA210" s="1553"/>
      <c r="AB210" s="1553"/>
      <c r="AC210" s="1553"/>
      <c r="AD210" s="1553"/>
      <c r="AE210" s="1553"/>
      <c r="AF210" s="1553">
        <v>11</v>
      </c>
    </row>
    <row r="211" spans="1:32" ht="11.45" customHeight="1">
      <c r="A211" s="916"/>
      <c r="B211" s="1553"/>
      <c r="D211" s="1553"/>
      <c r="K211" s="1553"/>
      <c r="N211" s="1553"/>
      <c r="O211" s="1553"/>
      <c r="P211" s="1553"/>
      <c r="Q211" s="1553"/>
      <c r="S211" s="1553"/>
      <c r="T211" s="1553"/>
      <c r="U211" s="1553"/>
      <c r="V211" s="1553"/>
      <c r="W211" s="1553"/>
      <c r="X211" s="1553"/>
      <c r="Y211" s="1553"/>
      <c r="Z211" s="1553"/>
      <c r="AA211" s="1553"/>
      <c r="AB211" s="1553"/>
      <c r="AC211" s="1553"/>
      <c r="AD211" s="1553"/>
      <c r="AE211" s="1553"/>
      <c r="AF211" s="1553">
        <v>11</v>
      </c>
    </row>
    <row r="212" spans="1:32" ht="11.45" customHeight="1">
      <c r="A212" s="916"/>
      <c r="B212" s="1553"/>
      <c r="D212" s="1553"/>
      <c r="K212" s="1553"/>
      <c r="N212" s="1553"/>
      <c r="O212" s="1553"/>
      <c r="P212" s="1553"/>
      <c r="Q212" s="1553"/>
      <c r="S212" s="1553"/>
      <c r="T212" s="1553"/>
      <c r="U212" s="1553"/>
      <c r="V212" s="1553"/>
      <c r="W212" s="1553"/>
      <c r="X212" s="1553"/>
      <c r="Y212" s="1553"/>
      <c r="Z212" s="1553"/>
      <c r="AA212" s="1553"/>
      <c r="AB212" s="1553"/>
      <c r="AC212" s="1553"/>
      <c r="AD212" s="1553"/>
      <c r="AE212" s="1553"/>
      <c r="AF212" s="1553">
        <v>11</v>
      </c>
    </row>
    <row r="213" spans="1:32" ht="11.45" customHeight="1">
      <c r="A213" s="916"/>
      <c r="B213" s="1553"/>
      <c r="D213" s="1553"/>
      <c r="K213" s="1553"/>
      <c r="N213" s="1553"/>
      <c r="O213" s="1553"/>
      <c r="P213" s="1553"/>
      <c r="Q213" s="1553"/>
      <c r="S213" s="1553"/>
      <c r="T213" s="1553"/>
      <c r="U213" s="1553"/>
      <c r="V213" s="1553"/>
      <c r="W213" s="1553"/>
      <c r="X213" s="1553"/>
      <c r="Y213" s="1553"/>
      <c r="Z213" s="1553"/>
      <c r="AA213" s="1553"/>
      <c r="AB213" s="1553"/>
      <c r="AC213" s="1553"/>
      <c r="AD213" s="1553"/>
      <c r="AE213" s="1553"/>
      <c r="AF213" s="1553">
        <v>11</v>
      </c>
    </row>
    <row r="214" spans="1:32" ht="11.45" customHeight="1">
      <c r="A214" s="916"/>
      <c r="B214" s="1553"/>
      <c r="D214" s="1553"/>
      <c r="K214" s="1553"/>
      <c r="N214" s="1553"/>
      <c r="O214" s="1553"/>
      <c r="P214" s="1553"/>
      <c r="Q214" s="1553"/>
      <c r="S214" s="1553"/>
      <c r="T214" s="1553"/>
      <c r="U214" s="1553"/>
      <c r="V214" s="1553"/>
      <c r="W214" s="1553"/>
      <c r="X214" s="1553"/>
      <c r="Y214" s="1553"/>
      <c r="Z214" s="1553"/>
      <c r="AA214" s="1553"/>
      <c r="AB214" s="1553"/>
      <c r="AC214" s="1553"/>
      <c r="AD214" s="1553"/>
      <c r="AE214" s="1553"/>
      <c r="AF214" s="1553">
        <v>11</v>
      </c>
    </row>
    <row r="215" spans="1:32" ht="11.25" hidden="1" customHeight="1">
      <c r="A215" s="913" t="s">
        <v>70</v>
      </c>
      <c r="B215" s="1082">
        <v>0</v>
      </c>
      <c r="C215" s="1558">
        <v>0</v>
      </c>
      <c r="D215" s="1557">
        <v>3</v>
      </c>
      <c r="E215" s="1553">
        <v>7</v>
      </c>
      <c r="F215" s="1553">
        <v>54</v>
      </c>
      <c r="G215" s="1553">
        <v>10</v>
      </c>
      <c r="H215" s="1553">
        <v>0</v>
      </c>
      <c r="I215" s="1553">
        <v>40</v>
      </c>
      <c r="J215" s="1553">
        <v>102</v>
      </c>
      <c r="K215" s="1082">
        <v>9</v>
      </c>
      <c r="L215" s="1558">
        <v>5</v>
      </c>
      <c r="M215" s="1558">
        <v>3</v>
      </c>
      <c r="N215" s="1082">
        <v>3</v>
      </c>
      <c r="O215" s="1082">
        <v>3</v>
      </c>
      <c r="P215" s="1082">
        <v>3</v>
      </c>
      <c r="Q215" s="1082">
        <v>3</v>
      </c>
      <c r="R215" s="1558">
        <v>10</v>
      </c>
      <c r="S215" s="1082">
        <v>34</v>
      </c>
      <c r="T215" s="1082">
        <v>9</v>
      </c>
      <c r="U215" s="478">
        <v>8</v>
      </c>
      <c r="V215" s="1082">
        <v>8</v>
      </c>
      <c r="W215" s="1082">
        <v>8</v>
      </c>
      <c r="X215" s="1082">
        <v>8</v>
      </c>
      <c r="Y215" s="1082">
        <v>8</v>
      </c>
      <c r="Z215" s="1082">
        <v>8</v>
      </c>
      <c r="AA215" s="1554">
        <v>8</v>
      </c>
      <c r="AB215" s="1554">
        <v>8</v>
      </c>
      <c r="AC215" s="1554">
        <v>8</v>
      </c>
      <c r="AD215" s="1554">
        <v>8</v>
      </c>
      <c r="AE215" s="1554">
        <v>8</v>
      </c>
      <c r="AF215" s="1553">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101" workbookViewId="0">
      <pane xSplit="8" ySplit="11" topLeftCell="I22" activePane="bottomRight" state="frozen"/>
      <selection pane="topRight" activeCell="I1" sqref="I1"/>
      <selection pane="bottomLeft" activeCell="A12" sqref="A12"/>
      <selection pane="bottomRight" activeCell="I29" sqref="I29"/>
    </sheetView>
  </sheetViews>
  <sheetFormatPr defaultColWidth="10.5703125" defaultRowHeight="11.25" customHeight="1"/>
  <cols>
    <col min="1" max="1" width="9.140625" style="1088" hidden="1" customWidth="1"/>
    <col min="2" max="2" width="3.5703125" style="1564" hidden="1" customWidth="1"/>
    <col min="3" max="3" width="3" style="1557" customWidth="1"/>
    <col min="4" max="4" width="7" style="1557" customWidth="1"/>
    <col min="5" max="5" width="69" style="1557" customWidth="1"/>
    <col min="6" max="6" width="10" style="1557" customWidth="1"/>
    <col min="7" max="8" width="44" style="1557" hidden="1" customWidth="1"/>
    <col min="9" max="9" width="44" style="1557" customWidth="1"/>
    <col min="10" max="10" width="43" style="1557" customWidth="1"/>
    <col min="11" max="11" width="73" style="1557" customWidth="1"/>
    <col min="12" max="12" width="3" style="1557" customWidth="1"/>
    <col min="13" max="23" width="10" style="1557" customWidth="1"/>
    <col min="24" max="24" width="10.5703125" style="1557" hidden="1"/>
  </cols>
  <sheetData>
    <row r="1" spans="1:24" s="1288" customFormat="1" ht="22.5" hidden="1" customHeight="1">
      <c r="A1" s="470"/>
      <c r="B1" s="445"/>
      <c r="G1" s="351">
        <v>4</v>
      </c>
      <c r="I1" s="351">
        <v>4</v>
      </c>
      <c r="K1" s="351">
        <v>5</v>
      </c>
      <c r="X1" s="351" t="s">
        <v>1</v>
      </c>
    </row>
    <row r="2" spans="1:24" ht="3" customHeight="1">
      <c r="X2" s="439">
        <v>3</v>
      </c>
    </row>
    <row r="3" spans="1:24" ht="78.75" customHeight="1">
      <c r="D3" s="361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612"/>
      <c r="F3" s="3613"/>
      <c r="X3" s="439">
        <v>75</v>
      </c>
    </row>
    <row r="4" spans="1:24" s="1557" customFormat="1" ht="21" customHeight="1">
      <c r="A4" s="878"/>
      <c r="B4" s="445"/>
      <c r="D4" s="3702" t="str">
        <f>IF(org=0,"Не определено",org)</f>
        <v>ООО "Смоленскрегионтеплоэнерго"</v>
      </c>
      <c r="E4" s="3703"/>
      <c r="F4" s="3704"/>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8"/>
      <c r="H6" s="948"/>
      <c r="I6" s="948" t="s">
        <v>169</v>
      </c>
      <c r="J6" s="948"/>
      <c r="X6" s="439">
        <v>1</v>
      </c>
    </row>
    <row r="7" spans="1:24" ht="11.45" customHeight="1">
      <c r="D7" s="645"/>
      <c r="E7" s="3822" t="s">
        <v>160</v>
      </c>
      <c r="F7" s="3823"/>
      <c r="G7" s="3847" t="str">
        <f>IF(G6="","",INDEX(DIFFERENTIATION_UNMERGE_VD,MATCH(G6,DIFFERENTIATION_ID_DIFF,0)))</f>
        <v/>
      </c>
      <c r="H7" s="3848"/>
      <c r="I7" s="3847"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3848"/>
      <c r="K7" s="3666"/>
      <c r="L7" s="443"/>
      <c r="X7" s="439">
        <v>11</v>
      </c>
    </row>
    <row r="8" spans="1:24" ht="11.45" customHeight="1">
      <c r="A8" s="638"/>
      <c r="D8" s="645"/>
      <c r="E8" s="3822" t="s">
        <v>607</v>
      </c>
      <c r="F8" s="3823"/>
      <c r="G8" s="3847" t="str">
        <f>IF(G6="","",INDEX(DIFFERENTIATION_UNMERGE_AREA,MATCH(G6,DIFFERENTIATION_ID_DIFF,0)))</f>
        <v/>
      </c>
      <c r="H8" s="3848"/>
      <c r="I8" s="3847" t="str">
        <f>IF(I6="","",INDEX(DIFFERENTIATION_UNMERGE_AREA,MATCH(I6,DIFFERENTIATION_ID_DIFF,0)))</f>
        <v>без дифференциации</v>
      </c>
      <c r="J8" s="3848"/>
      <c r="K8" s="3687"/>
      <c r="L8" s="443"/>
      <c r="X8" s="439">
        <v>11</v>
      </c>
    </row>
    <row r="9" spans="1:24" ht="11.45" customHeight="1">
      <c r="A9" s="638"/>
      <c r="D9" s="645"/>
      <c r="E9" s="3822" t="s">
        <v>608</v>
      </c>
      <c r="F9" s="3823"/>
      <c r="G9" s="3847" t="str">
        <f>IF(G6="","",INDEX(DIFFERENTIATION_UNMERGE_SYSTEM,MATCH(G6,DIFFERENTIATION_ID_DIFF,0)))</f>
        <v/>
      </c>
      <c r="H9" s="3848"/>
      <c r="I9" s="3847" t="str">
        <f>IF(I6="","",INDEX(DIFFERENTIATION_UNMERGE_SYSTEM,MATCH(I6,DIFFERENTIATION_ID_DIFF,0)))</f>
        <v>без дифференциации</v>
      </c>
      <c r="J9" s="3848"/>
      <c r="K9" s="3687"/>
      <c r="L9" s="443"/>
      <c r="X9" s="439">
        <v>11</v>
      </c>
    </row>
    <row r="10" spans="1:24" s="1557" customFormat="1" ht="11.45" customHeight="1">
      <c r="A10" s="947"/>
      <c r="B10" s="445"/>
      <c r="D10" s="3589" t="s">
        <v>345</v>
      </c>
      <c r="E10" s="3595"/>
      <c r="F10" s="3595"/>
      <c r="G10" s="3595"/>
      <c r="H10" s="3595"/>
      <c r="I10" s="3595"/>
      <c r="J10" s="3588"/>
      <c r="K10" s="3687"/>
      <c r="L10" s="443"/>
      <c r="X10" s="690">
        <v>11</v>
      </c>
    </row>
    <row r="11" spans="1:24" s="1557" customFormat="1" ht="24" customHeight="1">
      <c r="A11" s="3757"/>
      <c r="B11" s="3757"/>
      <c r="C11" s="591"/>
      <c r="D11" s="637" t="s">
        <v>76</v>
      </c>
      <c r="E11" s="639" t="s">
        <v>1145</v>
      </c>
      <c r="F11" s="639" t="s">
        <v>609</v>
      </c>
      <c r="G11" s="399" t="s">
        <v>348</v>
      </c>
      <c r="H11" s="399" t="s">
        <v>435</v>
      </c>
      <c r="I11" s="735" t="s">
        <v>348</v>
      </c>
      <c r="J11" s="736" t="s">
        <v>435</v>
      </c>
      <c r="K11" s="3716"/>
      <c r="L11" s="592"/>
      <c r="X11" s="443">
        <v>23</v>
      </c>
    </row>
    <row r="12" spans="1:24" s="1564" customFormat="1" ht="10.5" customHeight="1">
      <c r="A12" s="879"/>
      <c r="D12" s="951" t="s">
        <v>164</v>
      </c>
      <c r="E12" s="951" t="s">
        <v>89</v>
      </c>
      <c r="F12" s="951" t="s">
        <v>78</v>
      </c>
      <c r="G12" s="952" t="str">
        <f>G1&amp;".1"</f>
        <v>4.1</v>
      </c>
      <c r="H12" s="952" t="str">
        <f>G1&amp;".2"</f>
        <v>4.2</v>
      </c>
      <c r="I12" s="952" t="str">
        <f>I1&amp;".1"</f>
        <v>4.1</v>
      </c>
      <c r="J12" s="952" t="str">
        <f>I1&amp;".2"</f>
        <v>4.2</v>
      </c>
      <c r="K12" s="952"/>
      <c r="X12" s="445">
        <v>10</v>
      </c>
    </row>
    <row r="13" spans="1:24" ht="22.5" customHeight="1">
      <c r="A13" s="3846" t="s">
        <v>1146</v>
      </c>
      <c r="D13" s="880" t="s">
        <v>164</v>
      </c>
      <c r="E13" s="214" t="s">
        <v>1147</v>
      </c>
      <c r="F13" s="594" t="s">
        <v>1148</v>
      </c>
      <c r="G13" s="491"/>
      <c r="H13" s="595"/>
      <c r="I13" s="491">
        <f>(4+17+3+13+12+12+9)/(148.045+8.114+77.123+54.193+19.483+20.242+8.286+3.43+4.483+5.324+1.853+0.046+0.237+0.408+7.688+2.29+2.495+1.718+12.659+78.637+1.621+2.376+5.258+0.226+0.074+0.07+1.214+3.651+6.974)</f>
        <v>0.14637675704385866</v>
      </c>
      <c r="J13" s="2017"/>
      <c r="K13" s="224" t="s">
        <v>1149</v>
      </c>
      <c r="L13" s="654"/>
      <c r="X13" s="439">
        <v>0</v>
      </c>
    </row>
    <row r="14" spans="1:24" ht="22.5" customHeight="1">
      <c r="A14" s="3846"/>
      <c r="D14" s="473" t="s">
        <v>89</v>
      </c>
      <c r="E14" s="214" t="s">
        <v>1150</v>
      </c>
      <c r="F14" s="594" t="s">
        <v>1151</v>
      </c>
      <c r="G14" s="491"/>
      <c r="H14" s="596"/>
      <c r="I14" s="491">
        <v>0</v>
      </c>
      <c r="J14" s="596"/>
      <c r="K14" s="224" t="s">
        <v>1152</v>
      </c>
      <c r="L14" s="654"/>
      <c r="X14" s="439">
        <v>0</v>
      </c>
    </row>
    <row r="15" spans="1:24" s="1557" customFormat="1" ht="78.75" customHeight="1">
      <c r="A15" s="3846"/>
      <c r="B15" s="445"/>
      <c r="D15" s="880" t="s">
        <v>78</v>
      </c>
      <c r="E15" s="641" t="s">
        <v>1153</v>
      </c>
      <c r="F15" s="877" t="s">
        <v>351</v>
      </c>
      <c r="G15" s="877" t="s">
        <v>351</v>
      </c>
      <c r="H15" s="45"/>
      <c r="I15" s="877" t="s">
        <v>351</v>
      </c>
      <c r="J15" s="45"/>
      <c r="K15" s="224" t="s">
        <v>1154</v>
      </c>
      <c r="L15" s="654"/>
      <c r="X15" s="690">
        <v>0</v>
      </c>
    </row>
    <row r="16" spans="1:24" s="1557" customFormat="1" ht="22.5" customHeight="1">
      <c r="A16" s="3846"/>
      <c r="B16" s="445"/>
      <c r="D16" s="880" t="s">
        <v>369</v>
      </c>
      <c r="E16" s="881" t="s">
        <v>1155</v>
      </c>
      <c r="F16" s="877" t="s">
        <v>1156</v>
      </c>
      <c r="G16" s="745"/>
      <c r="H16" s="45"/>
      <c r="I16" s="745"/>
      <c r="J16" s="45"/>
      <c r="K16" s="224"/>
      <c r="L16" s="654"/>
      <c r="X16" s="690">
        <v>0</v>
      </c>
    </row>
    <row r="17" spans="1:24" s="1557" customFormat="1" ht="22.5" customHeight="1">
      <c r="A17" s="3846"/>
      <c r="B17" s="445"/>
      <c r="D17" s="880" t="s">
        <v>377</v>
      </c>
      <c r="E17" s="881" t="s">
        <v>1157</v>
      </c>
      <c r="F17" s="877" t="s">
        <v>1158</v>
      </c>
      <c r="G17" s="745"/>
      <c r="H17" s="45"/>
      <c r="I17" s="745"/>
      <c r="J17" s="45"/>
      <c r="K17" s="224"/>
      <c r="L17" s="654"/>
      <c r="X17" s="690">
        <v>0</v>
      </c>
    </row>
    <row r="18" spans="1:24" s="1557" customFormat="1" ht="33.75" customHeight="1">
      <c r="A18" s="3846"/>
      <c r="B18" s="445"/>
      <c r="D18" s="880" t="s">
        <v>379</v>
      </c>
      <c r="E18" s="881" t="s">
        <v>1159</v>
      </c>
      <c r="F18" s="877" t="s">
        <v>620</v>
      </c>
      <c r="G18" s="614"/>
      <c r="H18" s="45"/>
      <c r="I18" s="614"/>
      <c r="J18" s="45"/>
      <c r="K18" s="224"/>
      <c r="L18" s="654"/>
      <c r="X18" s="690">
        <v>0</v>
      </c>
    </row>
    <row r="19" spans="1:24" ht="101.25" customHeight="1">
      <c r="A19" s="3846"/>
      <c r="D19" s="880" t="s">
        <v>79</v>
      </c>
      <c r="E19" s="214" t="s">
        <v>1160</v>
      </c>
      <c r="F19" s="594" t="s">
        <v>589</v>
      </c>
      <c r="G19" s="597"/>
      <c r="H19" s="596"/>
      <c r="I19" s="1997" t="s">
        <v>1161</v>
      </c>
      <c r="J19" s="596" t="s">
        <v>1162</v>
      </c>
      <c r="K19" s="224" t="s">
        <v>1163</v>
      </c>
      <c r="L19" s="654"/>
      <c r="X19" s="439">
        <v>0</v>
      </c>
    </row>
    <row r="20" spans="1:24" s="1557" customFormat="1" ht="18.75" customHeight="1">
      <c r="A20" s="3846"/>
      <c r="C20" s="882"/>
      <c r="D20" s="880" t="s">
        <v>1080</v>
      </c>
      <c r="E20" s="881" t="s">
        <v>1164</v>
      </c>
      <c r="F20" s="877" t="s">
        <v>351</v>
      </c>
      <c r="G20" s="877" t="s">
        <v>351</v>
      </c>
      <c r="H20" s="876" t="s">
        <v>351</v>
      </c>
      <c r="I20" s="877" t="s">
        <v>351</v>
      </c>
      <c r="J20" s="876" t="s">
        <v>351</v>
      </c>
      <c r="K20" s="875"/>
      <c r="L20" s="654"/>
      <c r="W20" s="609"/>
      <c r="X20" s="690">
        <v>0</v>
      </c>
    </row>
    <row r="21" spans="1:24" s="1557" customFormat="1" ht="33.75" customHeight="1">
      <c r="A21" s="3846"/>
      <c r="C21" s="882"/>
      <c r="D21" s="880" t="s">
        <v>1083</v>
      </c>
      <c r="E21" s="510" t="s">
        <v>1165</v>
      </c>
      <c r="F21" s="877" t="s">
        <v>1166</v>
      </c>
      <c r="G21" s="614"/>
      <c r="H21" s="45"/>
      <c r="I21" s="614"/>
      <c r="J21" s="45"/>
      <c r="K21" s="875"/>
      <c r="L21" s="654"/>
      <c r="W21" s="609"/>
      <c r="X21" s="690">
        <v>0</v>
      </c>
    </row>
    <row r="22" spans="1:24" s="1557" customFormat="1" ht="33.75" customHeight="1">
      <c r="A22" s="3846"/>
      <c r="C22" s="882"/>
      <c r="D22" s="880" t="s">
        <v>1086</v>
      </c>
      <c r="E22" s="510" t="s">
        <v>1167</v>
      </c>
      <c r="F22" s="877" t="s">
        <v>1168</v>
      </c>
      <c r="G22" s="614"/>
      <c r="H22" s="45"/>
      <c r="I22" s="614"/>
      <c r="J22" s="45"/>
      <c r="K22" s="875"/>
      <c r="L22" s="654"/>
      <c r="W22" s="609"/>
      <c r="X22" s="690">
        <v>0</v>
      </c>
    </row>
    <row r="23" spans="1:24" s="1557" customFormat="1" ht="22.5" customHeight="1">
      <c r="A23" s="3846"/>
      <c r="C23" s="882"/>
      <c r="D23" s="880" t="s">
        <v>1124</v>
      </c>
      <c r="E23" s="881" t="s">
        <v>1169</v>
      </c>
      <c r="F23" s="877" t="s">
        <v>351</v>
      </c>
      <c r="G23" s="877" t="s">
        <v>351</v>
      </c>
      <c r="H23" s="876" t="s">
        <v>351</v>
      </c>
      <c r="I23" s="877" t="s">
        <v>351</v>
      </c>
      <c r="J23" s="876" t="s">
        <v>351</v>
      </c>
      <c r="K23" s="875"/>
      <c r="L23" s="654"/>
      <c r="W23" s="609"/>
      <c r="X23" s="690">
        <v>0</v>
      </c>
    </row>
    <row r="24" spans="1:24" s="1557" customFormat="1" ht="22.5" customHeight="1">
      <c r="A24" s="3846"/>
      <c r="C24" s="882"/>
      <c r="D24" s="880" t="s">
        <v>1170</v>
      </c>
      <c r="E24" s="510" t="s">
        <v>1171</v>
      </c>
      <c r="F24" s="877" t="s">
        <v>1172</v>
      </c>
      <c r="G24" s="614"/>
      <c r="H24" s="620"/>
      <c r="I24" s="614">
        <f>'Показатели ФХД'!I300/1000</f>
        <v>0.164104</v>
      </c>
      <c r="J24" s="620"/>
      <c r="K24" s="875"/>
      <c r="L24" s="654"/>
      <c r="W24" s="609"/>
      <c r="X24" s="690">
        <v>0</v>
      </c>
    </row>
    <row r="25" spans="1:24" s="1557" customFormat="1" ht="22.5" customHeight="1">
      <c r="A25" s="3846"/>
      <c r="C25" s="882"/>
      <c r="D25" s="880" t="s">
        <v>1173</v>
      </c>
      <c r="E25" s="510" t="s">
        <v>1174</v>
      </c>
      <c r="F25" s="877" t="s">
        <v>351</v>
      </c>
      <c r="G25" s="877" t="s">
        <v>351</v>
      </c>
      <c r="H25" s="876" t="s">
        <v>351</v>
      </c>
      <c r="I25" s="877" t="s">
        <v>351</v>
      </c>
      <c r="J25" s="876" t="s">
        <v>351</v>
      </c>
      <c r="K25" s="875"/>
      <c r="L25" s="654"/>
      <c r="W25" s="609"/>
      <c r="X25" s="690">
        <v>0</v>
      </c>
    </row>
    <row r="26" spans="1:24" s="1557" customFormat="1" ht="18.75" customHeight="1">
      <c r="A26" s="3846"/>
      <c r="C26" s="882"/>
      <c r="D26" s="880" t="s">
        <v>1175</v>
      </c>
      <c r="E26" s="487" t="s">
        <v>1176</v>
      </c>
      <c r="F26" s="877" t="s">
        <v>1177</v>
      </c>
      <c r="G26" s="614"/>
      <c r="H26" s="620"/>
      <c r="I26" s="614"/>
      <c r="J26" s="620"/>
      <c r="K26" s="875"/>
      <c r="L26" s="654"/>
      <c r="W26" s="609"/>
      <c r="X26" s="690">
        <v>0</v>
      </c>
    </row>
    <row r="27" spans="1:24" s="1557" customFormat="1" ht="18.75" customHeight="1">
      <c r="A27" s="3846"/>
      <c r="C27" s="882"/>
      <c r="D27" s="880" t="s">
        <v>1178</v>
      </c>
      <c r="E27" s="487" t="s">
        <v>1179</v>
      </c>
      <c r="F27" s="877" t="s">
        <v>1180</v>
      </c>
      <c r="G27" s="614"/>
      <c r="H27" s="620"/>
      <c r="I27" s="614"/>
      <c r="J27" s="620"/>
      <c r="K27" s="875"/>
      <c r="L27" s="654"/>
      <c r="W27" s="609"/>
      <c r="X27" s="690">
        <v>0</v>
      </c>
    </row>
    <row r="28" spans="1:24" s="1557" customFormat="1" ht="18.75" customHeight="1">
      <c r="A28" s="3846"/>
      <c r="C28" s="882"/>
      <c r="D28" s="880" t="s">
        <v>1181</v>
      </c>
      <c r="E28" s="510" t="s">
        <v>1182</v>
      </c>
      <c r="F28" s="877" t="s">
        <v>351</v>
      </c>
      <c r="G28" s="877" t="s">
        <v>351</v>
      </c>
      <c r="H28" s="876" t="s">
        <v>351</v>
      </c>
      <c r="I28" s="877" t="s">
        <v>351</v>
      </c>
      <c r="J28" s="876" t="s">
        <v>351</v>
      </c>
      <c r="K28" s="875"/>
      <c r="L28" s="654"/>
      <c r="W28" s="609"/>
      <c r="X28" s="690">
        <v>0</v>
      </c>
    </row>
    <row r="29" spans="1:24" s="1557" customFormat="1" ht="18.75" customHeight="1">
      <c r="A29" s="3846"/>
      <c r="C29" s="882"/>
      <c r="D29" s="880" t="s">
        <v>1183</v>
      </c>
      <c r="E29" s="487" t="s">
        <v>1176</v>
      </c>
      <c r="F29" s="877" t="s">
        <v>1184</v>
      </c>
      <c r="G29" s="614"/>
      <c r="H29" s="620"/>
      <c r="I29" s="614">
        <f>'Показатели ФХД'!I290*1000</f>
        <v>270948.74</v>
      </c>
      <c r="J29" s="620"/>
      <c r="K29" s="875"/>
      <c r="L29" s="654"/>
      <c r="W29" s="609"/>
      <c r="X29" s="690">
        <v>0</v>
      </c>
    </row>
    <row r="30" spans="1:24" s="1557" customFormat="1" ht="18.75" customHeight="1">
      <c r="A30" s="3846"/>
      <c r="C30" s="882"/>
      <c r="D30" s="880" t="s">
        <v>1185</v>
      </c>
      <c r="E30" s="487" t="s">
        <v>1186</v>
      </c>
      <c r="F30" s="877" t="s">
        <v>1187</v>
      </c>
      <c r="G30" s="614"/>
      <c r="H30" s="620"/>
      <c r="I30" s="614"/>
      <c r="J30" s="620"/>
      <c r="K30" s="875"/>
      <c r="L30" s="654"/>
      <c r="W30" s="609"/>
      <c r="X30" s="690">
        <v>0</v>
      </c>
    </row>
    <row r="31" spans="1:24" ht="126.75" customHeight="1">
      <c r="A31" s="3846"/>
      <c r="D31" s="880" t="s">
        <v>100</v>
      </c>
      <c r="E31" s="214" t="s">
        <v>1188</v>
      </c>
      <c r="F31" s="594" t="s">
        <v>601</v>
      </c>
      <c r="G31" s="491"/>
      <c r="H31" s="596"/>
      <c r="I31" s="491">
        <v>100</v>
      </c>
      <c r="J31" s="596"/>
      <c r="K31" s="224" t="s">
        <v>1189</v>
      </c>
      <c r="L31" s="654"/>
      <c r="X31" s="439">
        <v>0</v>
      </c>
    </row>
    <row r="32" spans="1:24" ht="56.25" customHeight="1">
      <c r="A32" s="3846"/>
      <c r="D32" s="880" t="s">
        <v>80</v>
      </c>
      <c r="E32" s="214" t="s">
        <v>1190</v>
      </c>
      <c r="F32" s="473" t="s">
        <v>1158</v>
      </c>
      <c r="G32" s="491"/>
      <c r="H32" s="596"/>
      <c r="I32" s="491">
        <v>5</v>
      </c>
      <c r="J32" s="596"/>
      <c r="K32" s="224" t="s">
        <v>1191</v>
      </c>
      <c r="L32" s="654"/>
      <c r="X32" s="439">
        <v>0</v>
      </c>
    </row>
    <row r="33" spans="1:24" ht="11.25" customHeight="1">
      <c r="A33" s="3846"/>
      <c r="E33" s="598"/>
      <c r="F33" s="116"/>
      <c r="G33" s="116"/>
      <c r="H33" s="116"/>
      <c r="I33" s="116"/>
      <c r="J33" s="116"/>
      <c r="K33" s="116"/>
      <c r="X33" s="439">
        <v>0</v>
      </c>
    </row>
    <row r="34" spans="1:24" ht="12.75" customHeight="1">
      <c r="A34" s="3846"/>
      <c r="D34" s="4">
        <v>1</v>
      </c>
      <c r="E34" s="270" t="s">
        <v>1192</v>
      </c>
      <c r="X34" s="439">
        <v>0</v>
      </c>
    </row>
    <row r="35" spans="1:24" ht="11.25" customHeight="1">
      <c r="A35" s="3846"/>
      <c r="D35" s="303"/>
      <c r="E35" s="270" t="s">
        <v>1193</v>
      </c>
      <c r="X35" s="439">
        <v>0</v>
      </c>
    </row>
    <row r="36" spans="1:24" s="1557" customFormat="1" ht="11.45" customHeight="1">
      <c r="A36" s="959"/>
      <c r="B36" s="452"/>
      <c r="D36" s="960"/>
      <c r="E36" s="961"/>
      <c r="X36" s="443">
        <v>11</v>
      </c>
    </row>
    <row r="37" spans="1:24" s="1557" customFormat="1" ht="22.5" hidden="1" customHeight="1">
      <c r="A37" s="3846" t="s">
        <v>1194</v>
      </c>
      <c r="B37" s="445"/>
      <c r="D37" s="880">
        <v>1</v>
      </c>
      <c r="E37" s="641" t="s">
        <v>1195</v>
      </c>
      <c r="F37" s="594" t="s">
        <v>1148</v>
      </c>
      <c r="G37" s="491"/>
      <c r="H37" s="453"/>
      <c r="I37" s="491"/>
      <c r="J37" s="453"/>
      <c r="K37" s="224" t="s">
        <v>1196</v>
      </c>
      <c r="X37" s="690">
        <v>0</v>
      </c>
    </row>
    <row r="38" spans="1:24" s="1557" customFormat="1" ht="22.5" hidden="1" customHeight="1">
      <c r="A38" s="3846"/>
      <c r="B38" s="445"/>
      <c r="D38" s="603" t="s">
        <v>89</v>
      </c>
      <c r="E38" s="958" t="s">
        <v>1197</v>
      </c>
      <c r="F38" s="962" t="s">
        <v>589</v>
      </c>
      <c r="G38" s="962" t="s">
        <v>589</v>
      </c>
      <c r="H38" s="956"/>
      <c r="I38" s="962" t="s">
        <v>589</v>
      </c>
      <c r="J38" s="956"/>
      <c r="K38" s="957"/>
      <c r="X38" s="690">
        <v>0</v>
      </c>
    </row>
    <row r="39" spans="1:24" s="1557" customFormat="1" ht="33.75" hidden="1" customHeight="1">
      <c r="A39" s="3846"/>
      <c r="B39" s="445"/>
      <c r="D39" s="599" t="s">
        <v>1032</v>
      </c>
      <c r="E39" s="657" t="s">
        <v>1198</v>
      </c>
      <c r="F39" s="594" t="s">
        <v>1199</v>
      </c>
      <c r="G39" s="602"/>
      <c r="H39" s="949"/>
      <c r="I39" s="602"/>
      <c r="J39" s="949"/>
      <c r="K39" s="224" t="s">
        <v>1200</v>
      </c>
      <c r="X39" s="690">
        <v>0</v>
      </c>
    </row>
    <row r="40" spans="1:24" s="1557" customFormat="1" ht="33.75" hidden="1" customHeight="1">
      <c r="A40" s="3846"/>
      <c r="B40" s="445"/>
      <c r="D40" s="599" t="s">
        <v>1035</v>
      </c>
      <c r="E40" s="657" t="s">
        <v>1201</v>
      </c>
      <c r="F40" s="953" t="s">
        <v>1202</v>
      </c>
      <c r="G40" s="675"/>
      <c r="H40" s="949"/>
      <c r="I40" s="675"/>
      <c r="J40" s="949"/>
      <c r="K40" s="224" t="s">
        <v>1203</v>
      </c>
      <c r="X40" s="690">
        <v>0</v>
      </c>
    </row>
    <row r="41" spans="1:24" s="1557" customFormat="1" ht="22.5" hidden="1" customHeight="1">
      <c r="A41" s="3846"/>
      <c r="B41" s="445"/>
      <c r="D41" s="599" t="s">
        <v>78</v>
      </c>
      <c r="E41" s="656" t="s">
        <v>1204</v>
      </c>
      <c r="F41" s="594" t="s">
        <v>589</v>
      </c>
      <c r="G41" s="594" t="s">
        <v>589</v>
      </c>
      <c r="H41" s="950"/>
      <c r="I41" s="594" t="s">
        <v>589</v>
      </c>
      <c r="J41" s="950"/>
      <c r="K41" s="237"/>
      <c r="X41" s="690">
        <v>0</v>
      </c>
    </row>
    <row r="42" spans="1:24" s="1557" customFormat="1" ht="45" hidden="1" customHeight="1">
      <c r="A42" s="3846"/>
      <c r="B42" s="445"/>
      <c r="D42" s="599" t="s">
        <v>369</v>
      </c>
      <c r="E42" s="657" t="s">
        <v>1205</v>
      </c>
      <c r="F42" s="594" t="s">
        <v>601</v>
      </c>
      <c r="G42" s="491"/>
      <c r="H42" s="950"/>
      <c r="I42" s="491"/>
      <c r="J42" s="950"/>
      <c r="K42" s="237" t="s">
        <v>1206</v>
      </c>
      <c r="X42" s="690">
        <v>0</v>
      </c>
    </row>
    <row r="43" spans="1:24" s="1557" customFormat="1" ht="45" hidden="1" customHeight="1">
      <c r="A43" s="3846"/>
      <c r="B43" s="445"/>
      <c r="D43" s="599" t="s">
        <v>377</v>
      </c>
      <c r="E43" s="601" t="s">
        <v>1207</v>
      </c>
      <c r="F43" s="954" t="s">
        <v>601</v>
      </c>
      <c r="G43" s="676"/>
      <c r="H43" s="949"/>
      <c r="I43" s="676"/>
      <c r="J43" s="949"/>
      <c r="K43" s="237" t="s">
        <v>1208</v>
      </c>
      <c r="X43" s="690">
        <v>0</v>
      </c>
    </row>
    <row r="44" spans="1:24" s="1557" customFormat="1" ht="11.25" hidden="1" customHeight="1">
      <c r="A44" s="3846"/>
      <c r="B44" s="445"/>
      <c r="D44" s="599" t="s">
        <v>79</v>
      </c>
      <c r="E44" s="600" t="s">
        <v>1209</v>
      </c>
      <c r="F44" s="594" t="s">
        <v>1199</v>
      </c>
      <c r="G44" s="602"/>
      <c r="H44" s="949"/>
      <c r="I44" s="602"/>
      <c r="J44" s="949"/>
      <c r="K44" s="224"/>
      <c r="X44" s="690">
        <v>0</v>
      </c>
    </row>
    <row r="45" spans="1:24" s="1557" customFormat="1" ht="11.25" hidden="1" customHeight="1">
      <c r="A45" s="3846"/>
      <c r="B45" s="445"/>
      <c r="D45" s="599" t="s">
        <v>1080</v>
      </c>
      <c r="E45" s="601" t="s">
        <v>1210</v>
      </c>
      <c r="F45" s="594" t="s">
        <v>1199</v>
      </c>
      <c r="G45" s="602"/>
      <c r="H45" s="949"/>
      <c r="I45" s="602"/>
      <c r="J45" s="949"/>
      <c r="K45" s="224"/>
      <c r="X45" s="690">
        <v>0</v>
      </c>
    </row>
    <row r="46" spans="1:24" s="1557" customFormat="1" ht="11.25" hidden="1" customHeight="1">
      <c r="A46" s="3846"/>
      <c r="B46" s="445"/>
      <c r="D46" s="599" t="s">
        <v>1124</v>
      </c>
      <c r="E46" s="601" t="s">
        <v>1211</v>
      </c>
      <c r="F46" s="594" t="s">
        <v>1199</v>
      </c>
      <c r="G46" s="602"/>
      <c r="H46" s="949"/>
      <c r="I46" s="602"/>
      <c r="J46" s="949"/>
      <c r="K46" s="224"/>
      <c r="X46" s="690">
        <v>0</v>
      </c>
    </row>
    <row r="47" spans="1:24" s="1557" customFormat="1" ht="11.25" hidden="1" customHeight="1">
      <c r="A47" s="3846"/>
      <c r="B47" s="445"/>
      <c r="D47" s="599" t="s">
        <v>1127</v>
      </c>
      <c r="E47" s="601" t="s">
        <v>1212</v>
      </c>
      <c r="F47" s="594" t="s">
        <v>1199</v>
      </c>
      <c r="G47" s="602"/>
      <c r="H47" s="949"/>
      <c r="I47" s="602"/>
      <c r="J47" s="949"/>
      <c r="K47" s="224"/>
      <c r="X47" s="690">
        <v>0</v>
      </c>
    </row>
    <row r="48" spans="1:24" s="1557" customFormat="1" ht="11.25" hidden="1" customHeight="1">
      <c r="A48" s="3846"/>
      <c r="B48" s="445"/>
      <c r="D48" s="599" t="s">
        <v>1213</v>
      </c>
      <c r="E48" s="605" t="s">
        <v>1214</v>
      </c>
      <c r="F48" s="594" t="s">
        <v>1199</v>
      </c>
      <c r="G48" s="602"/>
      <c r="H48" s="949"/>
      <c r="I48" s="602"/>
      <c r="J48" s="949"/>
      <c r="K48" s="224"/>
      <c r="X48" s="690">
        <v>0</v>
      </c>
    </row>
    <row r="49" spans="1:24" s="1557" customFormat="1" ht="11.25" hidden="1" customHeight="1">
      <c r="A49" s="3846"/>
      <c r="B49" s="445"/>
      <c r="D49" s="599" t="s">
        <v>1215</v>
      </c>
      <c r="E49" s="605" t="s">
        <v>1216</v>
      </c>
      <c r="F49" s="594" t="s">
        <v>1199</v>
      </c>
      <c r="G49" s="602"/>
      <c r="H49" s="949"/>
      <c r="I49" s="602"/>
      <c r="J49" s="949"/>
      <c r="K49" s="224"/>
      <c r="X49" s="690">
        <v>0</v>
      </c>
    </row>
    <row r="50" spans="1:24" s="1557" customFormat="1" ht="11.25" hidden="1" customHeight="1">
      <c r="A50" s="3846"/>
      <c r="B50" s="445"/>
      <c r="D50" s="599" t="s">
        <v>1217</v>
      </c>
      <c r="E50" s="601" t="s">
        <v>1218</v>
      </c>
      <c r="F50" s="594" t="s">
        <v>1199</v>
      </c>
      <c r="G50" s="602"/>
      <c r="H50" s="949"/>
      <c r="I50" s="602"/>
      <c r="J50" s="949"/>
      <c r="K50" s="224"/>
      <c r="X50" s="690">
        <v>0</v>
      </c>
    </row>
    <row r="51" spans="1:24" s="1557" customFormat="1" ht="11.25" hidden="1" customHeight="1">
      <c r="A51" s="3846"/>
      <c r="B51" s="445"/>
      <c r="D51" s="599" t="s">
        <v>1219</v>
      </c>
      <c r="E51" s="601" t="s">
        <v>1220</v>
      </c>
      <c r="F51" s="594" t="s">
        <v>1199</v>
      </c>
      <c r="G51" s="602"/>
      <c r="H51" s="949"/>
      <c r="I51" s="602"/>
      <c r="J51" s="949"/>
      <c r="K51" s="224"/>
      <c r="X51" s="690">
        <v>0</v>
      </c>
    </row>
    <row r="52" spans="1:24" s="1557" customFormat="1" ht="45" hidden="1" customHeight="1">
      <c r="A52" s="3846"/>
      <c r="B52" s="445"/>
      <c r="D52" s="599" t="s">
        <v>100</v>
      </c>
      <c r="E52" s="600" t="s">
        <v>1221</v>
      </c>
      <c r="F52" s="594" t="s">
        <v>1199</v>
      </c>
      <c r="G52" s="602"/>
      <c r="H52" s="949"/>
      <c r="I52" s="602"/>
      <c r="J52" s="949"/>
      <c r="K52" s="224"/>
      <c r="X52" s="690">
        <v>0</v>
      </c>
    </row>
    <row r="53" spans="1:24" s="1557" customFormat="1" ht="11.25" hidden="1" customHeight="1">
      <c r="A53" s="3846"/>
      <c r="B53" s="445"/>
      <c r="D53" s="599" t="s">
        <v>358</v>
      </c>
      <c r="E53" s="601" t="s">
        <v>1210</v>
      </c>
      <c r="F53" s="594" t="s">
        <v>1199</v>
      </c>
      <c r="G53" s="602"/>
      <c r="H53" s="949"/>
      <c r="I53" s="602"/>
      <c r="J53" s="949"/>
      <c r="K53" s="224"/>
      <c r="X53" s="690">
        <v>0</v>
      </c>
    </row>
    <row r="54" spans="1:24" s="1557" customFormat="1" ht="11.25" hidden="1" customHeight="1">
      <c r="A54" s="3846"/>
      <c r="B54" s="445"/>
      <c r="D54" s="599" t="s">
        <v>1222</v>
      </c>
      <c r="E54" s="601" t="s">
        <v>1211</v>
      </c>
      <c r="F54" s="594" t="s">
        <v>1199</v>
      </c>
      <c r="G54" s="602"/>
      <c r="H54" s="949"/>
      <c r="I54" s="602"/>
      <c r="J54" s="949"/>
      <c r="K54" s="224"/>
      <c r="X54" s="690">
        <v>0</v>
      </c>
    </row>
    <row r="55" spans="1:24" s="1557" customFormat="1" ht="11.25" hidden="1" customHeight="1">
      <c r="A55" s="3846"/>
      <c r="B55" s="445"/>
      <c r="D55" s="599" t="s">
        <v>1223</v>
      </c>
      <c r="E55" s="601" t="s">
        <v>1212</v>
      </c>
      <c r="F55" s="594" t="s">
        <v>1199</v>
      </c>
      <c r="G55" s="602"/>
      <c r="H55" s="949"/>
      <c r="I55" s="602"/>
      <c r="J55" s="949"/>
      <c r="K55" s="224"/>
      <c r="X55" s="690">
        <v>0</v>
      </c>
    </row>
    <row r="56" spans="1:24" s="1557" customFormat="1" ht="11.25" hidden="1" customHeight="1">
      <c r="A56" s="3846"/>
      <c r="B56" s="445"/>
      <c r="D56" s="599" t="s">
        <v>1224</v>
      </c>
      <c r="E56" s="605" t="s">
        <v>1214</v>
      </c>
      <c r="F56" s="594" t="s">
        <v>1199</v>
      </c>
      <c r="G56" s="602"/>
      <c r="H56" s="949"/>
      <c r="I56" s="602"/>
      <c r="J56" s="949"/>
      <c r="K56" s="224"/>
      <c r="X56" s="690">
        <v>0</v>
      </c>
    </row>
    <row r="57" spans="1:24" s="1557" customFormat="1" ht="11.25" hidden="1" customHeight="1">
      <c r="A57" s="3846"/>
      <c r="B57" s="445"/>
      <c r="D57" s="599" t="s">
        <v>1225</v>
      </c>
      <c r="E57" s="605" t="s">
        <v>1216</v>
      </c>
      <c r="F57" s="594" t="s">
        <v>1199</v>
      </c>
      <c r="G57" s="602"/>
      <c r="H57" s="949"/>
      <c r="I57" s="602"/>
      <c r="J57" s="949"/>
      <c r="K57" s="224"/>
      <c r="X57" s="690">
        <v>0</v>
      </c>
    </row>
    <row r="58" spans="1:24" s="1557" customFormat="1" ht="11.25" hidden="1" customHeight="1">
      <c r="A58" s="3846"/>
      <c r="B58" s="445"/>
      <c r="D58" s="599" t="s">
        <v>1226</v>
      </c>
      <c r="E58" s="601" t="s">
        <v>1218</v>
      </c>
      <c r="F58" s="594" t="s">
        <v>1199</v>
      </c>
      <c r="G58" s="602"/>
      <c r="H58" s="949"/>
      <c r="I58" s="602"/>
      <c r="J58" s="949"/>
      <c r="K58" s="224"/>
      <c r="X58" s="690">
        <v>0</v>
      </c>
    </row>
    <row r="59" spans="1:24" s="1557" customFormat="1" ht="11.25" hidden="1" customHeight="1">
      <c r="A59" s="3846"/>
      <c r="B59" s="445"/>
      <c r="D59" s="599" t="s">
        <v>1227</v>
      </c>
      <c r="E59" s="601" t="s">
        <v>1220</v>
      </c>
      <c r="F59" s="594" t="s">
        <v>1199</v>
      </c>
      <c r="G59" s="602"/>
      <c r="H59" s="949"/>
      <c r="I59" s="602"/>
      <c r="J59" s="949"/>
      <c r="K59" s="224"/>
      <c r="X59" s="690">
        <v>0</v>
      </c>
    </row>
    <row r="60" spans="1:24" s="1557" customFormat="1" ht="33.75" hidden="1" customHeight="1">
      <c r="A60" s="3846"/>
      <c r="B60" s="445"/>
      <c r="D60" s="599" t="s">
        <v>80</v>
      </c>
      <c r="E60" s="600" t="s">
        <v>1228</v>
      </c>
      <c r="F60" s="655" t="s">
        <v>601</v>
      </c>
      <c r="G60" s="676"/>
      <c r="H60" s="949"/>
      <c r="I60" s="676"/>
      <c r="J60" s="949"/>
      <c r="K60" s="237" t="s">
        <v>1229</v>
      </c>
      <c r="X60" s="690">
        <v>0</v>
      </c>
    </row>
    <row r="61" spans="1:24" s="1557" customFormat="1" ht="33.75" hidden="1" customHeight="1">
      <c r="A61" s="3846"/>
      <c r="B61" s="445"/>
      <c r="D61" s="599" t="s">
        <v>81</v>
      </c>
      <c r="E61" s="600" t="s">
        <v>1230</v>
      </c>
      <c r="F61" s="660" t="s">
        <v>1158</v>
      </c>
      <c r="G61" s="602"/>
      <c r="H61" s="949"/>
      <c r="I61" s="602"/>
      <c r="J61" s="949"/>
      <c r="K61" s="224"/>
      <c r="X61" s="690">
        <v>0</v>
      </c>
    </row>
    <row r="62" spans="1:24" s="1557" customFormat="1" ht="22.5" hidden="1" customHeight="1">
      <c r="A62" s="3846"/>
      <c r="B62" s="445" t="s">
        <v>634</v>
      </c>
      <c r="D62" s="599" t="s">
        <v>110</v>
      </c>
      <c r="E62" s="600" t="s">
        <v>1231</v>
      </c>
      <c r="F62" s="660" t="s">
        <v>351</v>
      </c>
      <c r="G62" s="316"/>
      <c r="H62" s="949"/>
      <c r="I62" s="316"/>
      <c r="J62" s="949"/>
      <c r="K62" s="224" t="s">
        <v>952</v>
      </c>
      <c r="X62" s="690">
        <v>0</v>
      </c>
    </row>
    <row r="63" spans="1:24" s="1557" customFormat="1" ht="45" hidden="1" customHeight="1">
      <c r="A63" s="3846"/>
      <c r="B63" s="445" t="s">
        <v>634</v>
      </c>
      <c r="D63" s="599" t="s">
        <v>1232</v>
      </c>
      <c r="E63" s="601" t="s">
        <v>1233</v>
      </c>
      <c r="F63" s="655" t="s">
        <v>351</v>
      </c>
      <c r="G63" s="316"/>
      <c r="H63" s="949"/>
      <c r="I63" s="316"/>
      <c r="J63" s="949"/>
      <c r="K63" s="224" t="s">
        <v>952</v>
      </c>
      <c r="X63" s="690">
        <v>0</v>
      </c>
    </row>
    <row r="64" spans="1:24" s="1557" customFormat="1" ht="11.45" customHeight="1">
      <c r="A64" s="959"/>
      <c r="B64" s="452"/>
      <c r="D64" s="960"/>
      <c r="E64" s="961"/>
      <c r="X64" s="443">
        <v>11</v>
      </c>
    </row>
    <row r="65" spans="1:24" s="1557" customFormat="1" ht="22.5" hidden="1" customHeight="1">
      <c r="A65" s="3846" t="s">
        <v>1234</v>
      </c>
      <c r="B65" s="445"/>
      <c r="D65" s="599">
        <v>1</v>
      </c>
      <c r="E65" s="678" t="s">
        <v>1235</v>
      </c>
      <c r="F65" s="674" t="s">
        <v>1148</v>
      </c>
      <c r="G65" s="675"/>
      <c r="H65" s="955"/>
      <c r="I65" s="675"/>
      <c r="J65" s="955"/>
      <c r="K65" s="236" t="s">
        <v>1236</v>
      </c>
      <c r="X65" s="690">
        <v>0</v>
      </c>
    </row>
    <row r="66" spans="1:24" s="1557" customFormat="1" ht="56.25" hidden="1" customHeight="1">
      <c r="A66" s="3846"/>
      <c r="B66" s="445"/>
      <c r="D66" s="677" t="s">
        <v>89</v>
      </c>
      <c r="E66" s="641" t="s">
        <v>1237</v>
      </c>
      <c r="F66" s="594" t="s">
        <v>589</v>
      </c>
      <c r="G66" s="594" t="s">
        <v>589</v>
      </c>
      <c r="H66" s="453"/>
      <c r="I66" s="594" t="s">
        <v>589</v>
      </c>
      <c r="J66" s="453"/>
      <c r="K66" s="224"/>
      <c r="X66" s="690">
        <v>0</v>
      </c>
    </row>
    <row r="67" spans="1:24" s="1557" customFormat="1" ht="33.75" hidden="1" customHeight="1">
      <c r="A67" s="3846"/>
      <c r="B67" s="445"/>
      <c r="D67" s="677" t="s">
        <v>1029</v>
      </c>
      <c r="E67" s="881" t="s">
        <v>1238</v>
      </c>
      <c r="F67" s="594" t="s">
        <v>1202</v>
      </c>
      <c r="G67" s="661"/>
      <c r="H67" s="453"/>
      <c r="I67" s="661"/>
      <c r="J67" s="453"/>
      <c r="K67" s="224"/>
      <c r="X67" s="690">
        <v>0</v>
      </c>
    </row>
    <row r="68" spans="1:24" s="1557" customFormat="1" ht="22.5" hidden="1" customHeight="1">
      <c r="A68" s="3846"/>
      <c r="B68" s="445"/>
      <c r="D68" s="677" t="s">
        <v>352</v>
      </c>
      <c r="E68" s="881" t="s">
        <v>1239</v>
      </c>
      <c r="F68" s="594" t="s">
        <v>1202</v>
      </c>
      <c r="G68" s="661"/>
      <c r="H68" s="453"/>
      <c r="I68" s="661"/>
      <c r="J68" s="453"/>
      <c r="K68" s="224"/>
      <c r="X68" s="690">
        <v>0</v>
      </c>
    </row>
    <row r="69" spans="1:24" s="1557" customFormat="1" ht="22.5" hidden="1" customHeight="1">
      <c r="A69" s="3846"/>
      <c r="B69" s="445"/>
      <c r="D69" s="677" t="s">
        <v>355</v>
      </c>
      <c r="E69" s="881" t="s">
        <v>1240</v>
      </c>
      <c r="F69" s="655" t="s">
        <v>601</v>
      </c>
      <c r="G69" s="676"/>
      <c r="H69" s="453"/>
      <c r="I69" s="676"/>
      <c r="J69" s="453"/>
      <c r="K69" s="224"/>
      <c r="X69" s="690">
        <v>0</v>
      </c>
    </row>
    <row r="70" spans="1:24" s="1557" customFormat="1" ht="22.5" hidden="1" customHeight="1">
      <c r="A70" s="3846"/>
      <c r="B70" s="445"/>
      <c r="D70" s="677" t="s">
        <v>1049</v>
      </c>
      <c r="E70" s="881" t="s">
        <v>1241</v>
      </c>
      <c r="F70" s="655" t="s">
        <v>601</v>
      </c>
      <c r="G70" s="676"/>
      <c r="H70" s="453"/>
      <c r="I70" s="676"/>
      <c r="J70" s="453"/>
      <c r="K70" s="224"/>
      <c r="X70" s="690">
        <v>0</v>
      </c>
    </row>
    <row r="71" spans="1:24" s="1557" customFormat="1" ht="22.5" hidden="1" customHeight="1">
      <c r="A71" s="3846"/>
      <c r="B71" s="445"/>
      <c r="D71" s="599" t="s">
        <v>78</v>
      </c>
      <c r="E71" s="600" t="s">
        <v>1242</v>
      </c>
      <c r="F71" s="594" t="s">
        <v>1202</v>
      </c>
      <c r="G71" s="491"/>
      <c r="H71" s="956"/>
      <c r="I71" s="491"/>
      <c r="J71" s="956"/>
      <c r="K71" s="237"/>
      <c r="X71" s="690">
        <v>0</v>
      </c>
    </row>
    <row r="72" spans="1:24" s="1557" customFormat="1" ht="56.25" hidden="1" customHeight="1">
      <c r="A72" s="3846"/>
      <c r="B72" s="445"/>
      <c r="D72" s="599" t="s">
        <v>79</v>
      </c>
      <c r="E72" s="600" t="s">
        <v>1243</v>
      </c>
      <c r="F72" s="655" t="s">
        <v>601</v>
      </c>
      <c r="G72" s="676"/>
      <c r="H72" s="949"/>
      <c r="I72" s="676"/>
      <c r="J72" s="949"/>
      <c r="K72" s="237"/>
      <c r="X72" s="690">
        <v>0</v>
      </c>
    </row>
    <row r="73" spans="1:24" s="1557" customFormat="1" ht="33.75" hidden="1" customHeight="1">
      <c r="A73" s="3846"/>
      <c r="B73" s="445"/>
      <c r="D73" s="599" t="s">
        <v>100</v>
      </c>
      <c r="E73" s="600" t="s">
        <v>1244</v>
      </c>
      <c r="F73" s="660" t="s">
        <v>1158</v>
      </c>
      <c r="G73" s="602"/>
      <c r="H73" s="949"/>
      <c r="I73" s="602"/>
      <c r="J73" s="949"/>
      <c r="K73" s="224"/>
      <c r="X73" s="690">
        <v>0</v>
      </c>
    </row>
    <row r="74" spans="1:24" s="1557" customFormat="1" ht="22.5" hidden="1" customHeight="1">
      <c r="A74" s="3846"/>
      <c r="B74" s="445" t="s">
        <v>634</v>
      </c>
      <c r="D74" s="599" t="s">
        <v>80</v>
      </c>
      <c r="E74" s="600" t="s">
        <v>1245</v>
      </c>
      <c r="F74" s="660" t="s">
        <v>351</v>
      </c>
      <c r="G74" s="316"/>
      <c r="H74" s="949"/>
      <c r="I74" s="316"/>
      <c r="J74" s="949"/>
      <c r="K74" s="224" t="s">
        <v>952</v>
      </c>
      <c r="X74" s="690">
        <v>0</v>
      </c>
    </row>
    <row r="75" spans="1:24" s="1557" customFormat="1" ht="45" hidden="1" customHeight="1">
      <c r="A75" s="3846"/>
      <c r="B75" s="445" t="s">
        <v>634</v>
      </c>
      <c r="D75" s="599" t="s">
        <v>973</v>
      </c>
      <c r="E75" s="601" t="s">
        <v>1246</v>
      </c>
      <c r="F75" s="655" t="s">
        <v>351</v>
      </c>
      <c r="G75" s="316"/>
      <c r="H75" s="949"/>
      <c r="I75" s="316"/>
      <c r="J75" s="949"/>
      <c r="K75" s="224" t="s">
        <v>952</v>
      </c>
      <c r="X75" s="690">
        <v>0</v>
      </c>
    </row>
    <row r="76" spans="1:24" s="1557" customFormat="1" ht="11.45" customHeight="1">
      <c r="A76" s="959"/>
      <c r="B76" s="452"/>
      <c r="D76" s="960"/>
      <c r="E76" s="961"/>
      <c r="X76" s="443">
        <v>11</v>
      </c>
    </row>
    <row r="77" spans="1:24" s="1557" customFormat="1" ht="11.25" hidden="1" customHeight="1">
      <c r="A77" s="3846" t="s">
        <v>1247</v>
      </c>
      <c r="B77" s="445"/>
      <c r="D77" s="599">
        <v>1</v>
      </c>
      <c r="E77" s="600" t="s">
        <v>1248</v>
      </c>
      <c r="F77" s="655" t="s">
        <v>1148</v>
      </c>
      <c r="G77" s="658"/>
      <c r="H77" s="949"/>
      <c r="I77" s="658"/>
      <c r="J77" s="949"/>
      <c r="K77" s="224" t="s">
        <v>1249</v>
      </c>
      <c r="X77" s="690">
        <v>0</v>
      </c>
    </row>
    <row r="78" spans="1:24" s="1557" customFormat="1" ht="11.25" hidden="1" customHeight="1">
      <c r="A78" s="3846"/>
      <c r="B78" s="445"/>
      <c r="D78" s="599" t="s">
        <v>89</v>
      </c>
      <c r="E78" s="600" t="s">
        <v>1250</v>
      </c>
      <c r="F78" s="655" t="s">
        <v>1148</v>
      </c>
      <c r="G78" s="658"/>
      <c r="H78" s="949"/>
      <c r="I78" s="658"/>
      <c r="J78" s="949"/>
      <c r="K78" s="224" t="s">
        <v>1251</v>
      </c>
      <c r="X78" s="690">
        <v>0</v>
      </c>
    </row>
    <row r="79" spans="1:24" s="1557" customFormat="1" ht="22.5" hidden="1" customHeight="1">
      <c r="A79" s="3846"/>
      <c r="B79" s="445"/>
      <c r="D79" s="599" t="s">
        <v>78</v>
      </c>
      <c r="E79" s="656" t="s">
        <v>1252</v>
      </c>
      <c r="F79" s="594" t="s">
        <v>1199</v>
      </c>
      <c r="G79" s="658"/>
      <c r="H79" s="949"/>
      <c r="I79" s="658"/>
      <c r="J79" s="949"/>
      <c r="K79" s="224" t="s">
        <v>1253</v>
      </c>
      <c r="X79" s="690">
        <v>0</v>
      </c>
    </row>
    <row r="80" spans="1:24" s="1557" customFormat="1" ht="11.25" hidden="1" customHeight="1">
      <c r="A80" s="3846"/>
      <c r="B80" s="445"/>
      <c r="D80" s="599" t="s">
        <v>369</v>
      </c>
      <c r="E80" s="657" t="s">
        <v>1254</v>
      </c>
      <c r="F80" s="594" t="s">
        <v>1199</v>
      </c>
      <c r="G80" s="658"/>
      <c r="H80" s="949"/>
      <c r="I80" s="658"/>
      <c r="J80" s="949"/>
      <c r="K80" s="224"/>
      <c r="X80" s="690">
        <v>0</v>
      </c>
    </row>
    <row r="81" spans="1:24" s="1557" customFormat="1" ht="11.25" hidden="1" customHeight="1">
      <c r="A81" s="3846"/>
      <c r="B81" s="445"/>
      <c r="D81" s="599" t="s">
        <v>377</v>
      </c>
      <c r="E81" s="657" t="s">
        <v>1255</v>
      </c>
      <c r="F81" s="594" t="s">
        <v>1199</v>
      </c>
      <c r="G81" s="658"/>
      <c r="H81" s="949"/>
      <c r="I81" s="658"/>
      <c r="J81" s="949"/>
      <c r="K81" s="224"/>
      <c r="X81" s="690">
        <v>0</v>
      </c>
    </row>
    <row r="82" spans="1:24" s="1557" customFormat="1" ht="11.25" hidden="1" customHeight="1">
      <c r="A82" s="3846"/>
      <c r="B82" s="445"/>
      <c r="D82" s="599" t="s">
        <v>379</v>
      </c>
      <c r="E82" s="657" t="s">
        <v>1256</v>
      </c>
      <c r="F82" s="594" t="s">
        <v>1199</v>
      </c>
      <c r="G82" s="658"/>
      <c r="H82" s="949"/>
      <c r="I82" s="658"/>
      <c r="J82" s="949"/>
      <c r="K82" s="224"/>
      <c r="X82" s="690">
        <v>0</v>
      </c>
    </row>
    <row r="83" spans="1:24" s="1557" customFormat="1" ht="11.25" hidden="1" customHeight="1">
      <c r="A83" s="3846"/>
      <c r="B83" s="445"/>
      <c r="D83" s="599" t="s">
        <v>381</v>
      </c>
      <c r="E83" s="657" t="s">
        <v>1257</v>
      </c>
      <c r="F83" s="594" t="s">
        <v>1199</v>
      </c>
      <c r="G83" s="658"/>
      <c r="H83" s="949"/>
      <c r="I83" s="658"/>
      <c r="J83" s="949"/>
      <c r="K83" s="224"/>
      <c r="X83" s="690">
        <v>0</v>
      </c>
    </row>
    <row r="84" spans="1:24" s="1557" customFormat="1" ht="11.25" hidden="1" customHeight="1">
      <c r="A84" s="3846"/>
      <c r="B84" s="445"/>
      <c r="D84" s="599" t="s">
        <v>1258</v>
      </c>
      <c r="E84" s="657" t="s">
        <v>1259</v>
      </c>
      <c r="F84" s="594" t="s">
        <v>1199</v>
      </c>
      <c r="G84" s="658"/>
      <c r="H84" s="949"/>
      <c r="I84" s="658"/>
      <c r="J84" s="949"/>
      <c r="K84" s="224"/>
      <c r="X84" s="690">
        <v>0</v>
      </c>
    </row>
    <row r="85" spans="1:24" s="1557" customFormat="1" ht="11.25" hidden="1" customHeight="1">
      <c r="A85" s="3846"/>
      <c r="B85" s="445"/>
      <c r="D85" s="599" t="s">
        <v>1260</v>
      </c>
      <c r="E85" s="657" t="s">
        <v>1261</v>
      </c>
      <c r="F85" s="594" t="s">
        <v>1199</v>
      </c>
      <c r="G85" s="658"/>
      <c r="H85" s="949"/>
      <c r="I85" s="658"/>
      <c r="J85" s="949"/>
      <c r="K85" s="224"/>
      <c r="X85" s="690">
        <v>0</v>
      </c>
    </row>
    <row r="86" spans="1:24" s="1557" customFormat="1" ht="11.25" hidden="1" customHeight="1">
      <c r="A86" s="3846"/>
      <c r="B86" s="445"/>
      <c r="D86" s="599" t="s">
        <v>1262</v>
      </c>
      <c r="E86" s="657" t="s">
        <v>1263</v>
      </c>
      <c r="F86" s="594" t="s">
        <v>1199</v>
      </c>
      <c r="G86" s="658"/>
      <c r="H86" s="949"/>
      <c r="I86" s="658"/>
      <c r="J86" s="949"/>
      <c r="K86" s="224"/>
      <c r="X86" s="690">
        <v>0</v>
      </c>
    </row>
    <row r="87" spans="1:24" s="1557" customFormat="1" ht="45" hidden="1" customHeight="1">
      <c r="A87" s="3846"/>
      <c r="B87" s="445"/>
      <c r="D87" s="599" t="s">
        <v>79</v>
      </c>
      <c r="E87" s="600" t="s">
        <v>1264</v>
      </c>
      <c r="F87" s="594" t="s">
        <v>1199</v>
      </c>
      <c r="G87" s="658"/>
      <c r="H87" s="949"/>
      <c r="I87" s="658"/>
      <c r="J87" s="949"/>
      <c r="K87" s="224" t="s">
        <v>1265</v>
      </c>
      <c r="X87" s="690">
        <v>0</v>
      </c>
    </row>
    <row r="88" spans="1:24" s="1557" customFormat="1" ht="11.25" hidden="1" customHeight="1">
      <c r="A88" s="3846"/>
      <c r="B88" s="445"/>
      <c r="D88" s="599" t="s">
        <v>1080</v>
      </c>
      <c r="E88" s="657" t="s">
        <v>1254</v>
      </c>
      <c r="F88" s="594" t="s">
        <v>1199</v>
      </c>
      <c r="G88" s="658"/>
      <c r="H88" s="949"/>
      <c r="I88" s="658"/>
      <c r="J88" s="949"/>
      <c r="K88" s="224"/>
      <c r="X88" s="690">
        <v>0</v>
      </c>
    </row>
    <row r="89" spans="1:24" s="1557" customFormat="1" ht="11.25" hidden="1" customHeight="1">
      <c r="A89" s="3846"/>
      <c r="B89" s="445"/>
      <c r="D89" s="599" t="s">
        <v>1124</v>
      </c>
      <c r="E89" s="657" t="s">
        <v>1255</v>
      </c>
      <c r="F89" s="594" t="s">
        <v>1199</v>
      </c>
      <c r="G89" s="658"/>
      <c r="H89" s="949"/>
      <c r="I89" s="658"/>
      <c r="J89" s="949"/>
      <c r="K89" s="224"/>
      <c r="X89" s="690">
        <v>0</v>
      </c>
    </row>
    <row r="90" spans="1:24" s="1557" customFormat="1" ht="11.25" hidden="1" customHeight="1">
      <c r="A90" s="3846"/>
      <c r="B90" s="445"/>
      <c r="D90" s="599" t="s">
        <v>1127</v>
      </c>
      <c r="E90" s="657" t="s">
        <v>1256</v>
      </c>
      <c r="F90" s="594" t="s">
        <v>1199</v>
      </c>
      <c r="G90" s="658"/>
      <c r="H90" s="949"/>
      <c r="I90" s="658"/>
      <c r="J90" s="949"/>
      <c r="K90" s="224"/>
      <c r="X90" s="690">
        <v>0</v>
      </c>
    </row>
    <row r="91" spans="1:24" s="1557" customFormat="1" ht="11.25" hidden="1" customHeight="1">
      <c r="A91" s="3846"/>
      <c r="B91" s="445"/>
      <c r="D91" s="599" t="s">
        <v>1217</v>
      </c>
      <c r="E91" s="657" t="s">
        <v>1257</v>
      </c>
      <c r="F91" s="594" t="s">
        <v>1199</v>
      </c>
      <c r="G91" s="658"/>
      <c r="H91" s="949"/>
      <c r="I91" s="658"/>
      <c r="J91" s="949"/>
      <c r="K91" s="224"/>
      <c r="X91" s="690">
        <v>0</v>
      </c>
    </row>
    <row r="92" spans="1:24" s="1557" customFormat="1" ht="11.25" hidden="1" customHeight="1">
      <c r="A92" s="3846"/>
      <c r="B92" s="445"/>
      <c r="D92" s="599" t="s">
        <v>1219</v>
      </c>
      <c r="E92" s="657" t="s">
        <v>1259</v>
      </c>
      <c r="F92" s="594" t="s">
        <v>1199</v>
      </c>
      <c r="G92" s="658"/>
      <c r="H92" s="949"/>
      <c r="I92" s="658"/>
      <c r="J92" s="949"/>
      <c r="K92" s="224"/>
      <c r="X92" s="690">
        <v>0</v>
      </c>
    </row>
    <row r="93" spans="1:24" s="1557" customFormat="1" ht="11.25" hidden="1" customHeight="1">
      <c r="A93" s="3846"/>
      <c r="B93" s="445"/>
      <c r="D93" s="599" t="s">
        <v>1266</v>
      </c>
      <c r="E93" s="657" t="s">
        <v>1261</v>
      </c>
      <c r="F93" s="594" t="s">
        <v>1199</v>
      </c>
      <c r="G93" s="658"/>
      <c r="H93" s="949"/>
      <c r="I93" s="658"/>
      <c r="J93" s="949"/>
      <c r="K93" s="224"/>
      <c r="X93" s="690">
        <v>0</v>
      </c>
    </row>
    <row r="94" spans="1:24" s="1557" customFormat="1" ht="11.25" hidden="1" customHeight="1">
      <c r="A94" s="3846"/>
      <c r="B94" s="445"/>
      <c r="D94" s="599" t="s">
        <v>1267</v>
      </c>
      <c r="E94" s="657" t="s">
        <v>1263</v>
      </c>
      <c r="F94" s="594" t="s">
        <v>1199</v>
      </c>
      <c r="G94" s="658"/>
      <c r="H94" s="949"/>
      <c r="I94" s="658"/>
      <c r="J94" s="949"/>
      <c r="K94" s="224"/>
      <c r="X94" s="690">
        <v>0</v>
      </c>
    </row>
    <row r="95" spans="1:24" s="1557" customFormat="1" ht="24.75" hidden="1" customHeight="1">
      <c r="A95" s="3846"/>
      <c r="B95" s="445"/>
      <c r="D95" s="599" t="s">
        <v>100</v>
      </c>
      <c r="E95" s="600" t="s">
        <v>1268</v>
      </c>
      <c r="F95" s="659" t="s">
        <v>601</v>
      </c>
      <c r="G95" s="661"/>
      <c r="H95" s="949"/>
      <c r="I95" s="661"/>
      <c r="J95" s="949"/>
      <c r="K95" s="224" t="s">
        <v>1269</v>
      </c>
      <c r="X95" s="690">
        <v>0</v>
      </c>
    </row>
    <row r="96" spans="1:24" s="1557" customFormat="1" ht="33.75" hidden="1" customHeight="1">
      <c r="A96" s="3846"/>
      <c r="B96" s="445"/>
      <c r="D96" s="599" t="s">
        <v>80</v>
      </c>
      <c r="E96" s="600" t="s">
        <v>1270</v>
      </c>
      <c r="F96" s="660" t="s">
        <v>1158</v>
      </c>
      <c r="G96" s="662"/>
      <c r="H96" s="949"/>
      <c r="I96" s="662"/>
      <c r="J96" s="949"/>
      <c r="K96" s="224"/>
      <c r="X96" s="690">
        <v>0</v>
      </c>
    </row>
    <row r="97" spans="1:24" s="1557" customFormat="1" ht="22.5" hidden="1" customHeight="1">
      <c r="A97" s="3846"/>
      <c r="B97" s="445" t="s">
        <v>634</v>
      </c>
      <c r="D97" s="599" t="s">
        <v>81</v>
      </c>
      <c r="E97" s="600" t="s">
        <v>1271</v>
      </c>
      <c r="F97" s="660" t="s">
        <v>351</v>
      </c>
      <c r="G97" s="319"/>
      <c r="H97" s="949"/>
      <c r="I97" s="319"/>
      <c r="J97" s="949"/>
      <c r="K97" s="224" t="s">
        <v>952</v>
      </c>
      <c r="X97" s="690">
        <v>0</v>
      </c>
    </row>
    <row r="98" spans="1:24" s="1557" customFormat="1" ht="45" hidden="1" customHeight="1">
      <c r="A98" s="3846"/>
      <c r="B98" s="445" t="s">
        <v>634</v>
      </c>
      <c r="D98" s="599" t="s">
        <v>1136</v>
      </c>
      <c r="E98" s="601" t="s">
        <v>1272</v>
      </c>
      <c r="F98" s="655" t="s">
        <v>351</v>
      </c>
      <c r="G98" s="319"/>
      <c r="H98" s="949"/>
      <c r="I98" s="319"/>
      <c r="J98" s="949"/>
      <c r="K98" s="224" t="s">
        <v>952</v>
      </c>
      <c r="X98" s="690">
        <v>0</v>
      </c>
    </row>
    <row r="99" spans="1:24" s="1557" customFormat="1" ht="95.25" hidden="1" customHeight="1">
      <c r="A99" s="3846"/>
      <c r="B99" s="445" t="s">
        <v>634</v>
      </c>
      <c r="D99" s="599" t="s">
        <v>110</v>
      </c>
      <c r="E99" s="600" t="s">
        <v>1273</v>
      </c>
      <c r="F99" s="655" t="s">
        <v>351</v>
      </c>
      <c r="G99" s="319"/>
      <c r="H99" s="949"/>
      <c r="I99" s="319"/>
      <c r="J99" s="949"/>
      <c r="K99" s="224" t="s">
        <v>952</v>
      </c>
      <c r="X99" s="690">
        <v>0</v>
      </c>
    </row>
    <row r="100" spans="1:24" s="1557" customFormat="1" ht="22.5" hidden="1" customHeight="1">
      <c r="A100" s="3846"/>
      <c r="B100" s="445" t="s">
        <v>634</v>
      </c>
      <c r="D100" s="599" t="s">
        <v>114</v>
      </c>
      <c r="E100" s="600" t="s">
        <v>1274</v>
      </c>
      <c r="F100" s="655" t="s">
        <v>351</v>
      </c>
      <c r="G100" s="319"/>
      <c r="H100" s="949"/>
      <c r="I100" s="319"/>
      <c r="J100" s="949"/>
      <c r="K100" s="224" t="s">
        <v>952</v>
      </c>
      <c r="X100" s="690">
        <v>0</v>
      </c>
    </row>
    <row r="101" spans="1:24" s="1557" customFormat="1" ht="11.45" customHeight="1">
      <c r="A101" s="959"/>
      <c r="B101" s="452"/>
      <c r="D101" s="960"/>
      <c r="E101" s="961"/>
      <c r="X101" s="443">
        <v>11</v>
      </c>
    </row>
    <row r="102" spans="1:24" ht="22.5" hidden="1" customHeight="1">
      <c r="A102" s="470" t="s">
        <v>70</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hyperlinks>
    <hyperlink ref="J13" r:id="rId1" display="https://portal.eias.ru/Portal/DownloadPage.aspx?type=12&amp;guid=b8235fcb-0f6e-4950-9530-2d87544d8296"/>
    <hyperlink ref="J19" r:id="rId2" tooltip="Кликните по гиперссылке, чтобы перейти по ней или отредактировать её"/>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4" hidden="1" customWidth="1"/>
    <col min="2" max="2" width="9.140625" style="1557" hidden="1" customWidth="1"/>
    <col min="3" max="3" width="4" style="617" customWidth="1"/>
    <col min="4" max="4" width="6" style="1557" customWidth="1"/>
    <col min="5" max="5" width="36" style="1557" customWidth="1"/>
    <col min="6" max="6" width="9" style="1557" customWidth="1"/>
    <col min="7" max="7" width="25.7109375" style="1557" hidden="1" customWidth="1"/>
    <col min="8" max="8" width="33.7109375" style="1557" hidden="1" customWidth="1"/>
    <col min="9" max="9" width="25.7109375" style="1557" customWidth="1"/>
    <col min="10" max="10" width="33" style="1557" customWidth="1"/>
    <col min="11" max="11" width="93" style="1288" customWidth="1"/>
    <col min="12" max="20" width="10" style="1557" customWidth="1"/>
    <col min="21" max="21" width="10" style="609" customWidth="1"/>
    <col min="22" max="22" width="10.5703125" style="1557" hidden="1"/>
  </cols>
  <sheetData>
    <row r="1" spans="1:22" s="1288" customFormat="1" ht="22.5" hidden="1" customHeight="1">
      <c r="C1" s="606"/>
      <c r="G1" s="351">
        <v>4</v>
      </c>
      <c r="I1" s="351">
        <v>4</v>
      </c>
      <c r="U1" s="354"/>
      <c r="V1" s="351" t="s">
        <v>1</v>
      </c>
    </row>
    <row r="2" spans="1:22" s="1288" customFormat="1" ht="15" hidden="1" customHeight="1">
      <c r="C2" s="606"/>
      <c r="U2" s="354"/>
      <c r="V2" s="351">
        <v>0</v>
      </c>
    </row>
    <row r="3" spans="1:22" ht="22.5" hidden="1" customHeight="1">
      <c r="A3" s="439"/>
      <c r="B3" s="3851"/>
      <c r="C3" s="3852" t="s">
        <v>90</v>
      </c>
      <c r="D3" s="623" t="str">
        <f>B3&amp;".1"</f>
        <v>.1</v>
      </c>
      <c r="E3" s="624" t="s">
        <v>1275</v>
      </c>
      <c r="F3" s="625" t="s">
        <v>351</v>
      </c>
      <c r="G3" s="620"/>
      <c r="H3" s="335"/>
      <c r="I3" s="620"/>
      <c r="J3" s="335"/>
      <c r="K3" s="224" t="s">
        <v>1276</v>
      </c>
      <c r="V3" s="439">
        <v>0</v>
      </c>
    </row>
    <row r="4" spans="1:22" ht="15" hidden="1" customHeight="1">
      <c r="A4" s="439"/>
      <c r="B4" s="3851"/>
      <c r="C4" s="3852"/>
      <c r="D4" s="623" t="str">
        <f>B3&amp;".2"</f>
        <v>.2</v>
      </c>
      <c r="E4" s="624" t="s">
        <v>1277</v>
      </c>
      <c r="F4" s="625" t="s">
        <v>351</v>
      </c>
      <c r="G4" s="1631" t="s">
        <v>9</v>
      </c>
      <c r="H4" s="335"/>
      <c r="I4" s="1631" t="s">
        <v>9</v>
      </c>
      <c r="J4" s="335"/>
      <c r="K4" s="224" t="s">
        <v>1278</v>
      </c>
      <c r="V4" s="439">
        <v>0</v>
      </c>
    </row>
    <row r="5" spans="1:22" s="1288" customFormat="1" ht="15" hidden="1" customHeight="1">
      <c r="C5" s="606"/>
      <c r="U5" s="354"/>
      <c r="V5" s="351">
        <v>0</v>
      </c>
    </row>
    <row r="6" spans="1:22" ht="22.5" hidden="1" customHeight="1">
      <c r="A6" s="439"/>
      <c r="B6" s="3851"/>
      <c r="C6" s="3852" t="s">
        <v>90</v>
      </c>
      <c r="D6" s="623" t="str">
        <f>B6&amp;".1"</f>
        <v>.1</v>
      </c>
      <c r="E6" s="624" t="s">
        <v>1279</v>
      </c>
      <c r="F6" s="625" t="s">
        <v>351</v>
      </c>
      <c r="G6" s="620"/>
      <c r="H6" s="335"/>
      <c r="I6" s="620"/>
      <c r="J6" s="335"/>
      <c r="K6" s="224" t="s">
        <v>1280</v>
      </c>
      <c r="V6" s="439">
        <v>0</v>
      </c>
    </row>
    <row r="7" spans="1:22" ht="15" hidden="1" customHeight="1">
      <c r="A7" s="439"/>
      <c r="B7" s="3851"/>
      <c r="C7" s="3852"/>
      <c r="D7" s="623" t="str">
        <f>B6&amp;".2"</f>
        <v>.2</v>
      </c>
      <c r="E7" s="624" t="s">
        <v>1277</v>
      </c>
      <c r="F7" s="625" t="s">
        <v>351</v>
      </c>
      <c r="G7" s="1631" t="s">
        <v>9</v>
      </c>
      <c r="H7" s="335"/>
      <c r="I7" s="1631" t="s">
        <v>9</v>
      </c>
      <c r="J7" s="335"/>
      <c r="K7" s="224" t="s">
        <v>1278</v>
      </c>
      <c r="V7" s="439">
        <v>0</v>
      </c>
    </row>
    <row r="8" spans="1:22" s="1288" customFormat="1" ht="15" hidden="1" customHeight="1">
      <c r="C8" s="606"/>
      <c r="U8" s="354"/>
      <c r="V8" s="351">
        <v>0</v>
      </c>
    </row>
    <row r="9" spans="1:22" ht="22.5" hidden="1" customHeight="1">
      <c r="A9" s="439"/>
      <c r="B9" s="3851"/>
      <c r="C9" s="3852" t="s">
        <v>90</v>
      </c>
      <c r="D9" s="623" t="str">
        <f>B9&amp;".1"</f>
        <v>.1</v>
      </c>
      <c r="E9" s="624" t="s">
        <v>1281</v>
      </c>
      <c r="F9" s="625" t="s">
        <v>351</v>
      </c>
      <c r="G9" s="631" t="s">
        <v>9</v>
      </c>
      <c r="H9" s="335" t="s">
        <v>9</v>
      </c>
      <c r="I9" s="631" t="s">
        <v>9</v>
      </c>
      <c r="J9" s="335" t="s">
        <v>9</v>
      </c>
      <c r="K9" s="224"/>
      <c r="V9" s="439">
        <v>0</v>
      </c>
    </row>
    <row r="10" spans="1:22" ht="15" hidden="1" customHeight="1">
      <c r="A10" s="439"/>
      <c r="B10" s="3851"/>
      <c r="C10" s="3852"/>
      <c r="D10" s="623" t="str">
        <f>B9&amp;".2"</f>
        <v>.2</v>
      </c>
      <c r="E10" s="624" t="s">
        <v>1282</v>
      </c>
      <c r="F10" s="625" t="s">
        <v>351</v>
      </c>
      <c r="G10" s="1625" t="s">
        <v>9</v>
      </c>
      <c r="H10" s="335" t="s">
        <v>9</v>
      </c>
      <c r="I10" s="1625" t="s">
        <v>9</v>
      </c>
      <c r="J10" s="335" t="s">
        <v>9</v>
      </c>
      <c r="K10" s="224" t="s">
        <v>1283</v>
      </c>
      <c r="V10" s="439">
        <v>0</v>
      </c>
    </row>
    <row r="11" spans="1:22" ht="15" hidden="1" customHeight="1">
      <c r="A11" s="439"/>
      <c r="B11" s="3851"/>
      <c r="C11" s="3852"/>
      <c r="D11" s="623" t="str">
        <f>B9&amp;".3"</f>
        <v>.3</v>
      </c>
      <c r="E11" s="624" t="s">
        <v>1284</v>
      </c>
      <c r="F11" s="625" t="s">
        <v>351</v>
      </c>
      <c r="G11" s="1625" t="s">
        <v>9</v>
      </c>
      <c r="H11" s="335" t="s">
        <v>9</v>
      </c>
      <c r="I11" s="1625" t="s">
        <v>9</v>
      </c>
      <c r="J11" s="335" t="s">
        <v>9</v>
      </c>
      <c r="K11" s="224" t="s">
        <v>1285</v>
      </c>
      <c r="V11" s="439">
        <v>0</v>
      </c>
    </row>
    <row r="12" spans="1:22" s="1288" customFormat="1" ht="15" hidden="1" customHeight="1">
      <c r="C12" s="606"/>
      <c r="U12" s="354"/>
      <c r="V12" s="351">
        <v>0</v>
      </c>
    </row>
    <row r="13" spans="1:22" ht="33.75" hidden="1" customHeight="1">
      <c r="A13" s="439"/>
      <c r="B13" s="3851"/>
      <c r="C13" s="3852" t="s">
        <v>90</v>
      </c>
      <c r="D13" s="623" t="str">
        <f>B13&amp;".1"</f>
        <v>.1</v>
      </c>
      <c r="E13" s="624" t="s">
        <v>1286</v>
      </c>
      <c r="F13" s="625" t="s">
        <v>351</v>
      </c>
      <c r="G13" s="631" t="s">
        <v>9</v>
      </c>
      <c r="H13" s="335" t="s">
        <v>9</v>
      </c>
      <c r="I13" s="631" t="s">
        <v>9</v>
      </c>
      <c r="J13" s="335" t="s">
        <v>9</v>
      </c>
      <c r="K13" s="224" t="s">
        <v>1287</v>
      </c>
      <c r="V13" s="439">
        <v>0</v>
      </c>
    </row>
    <row r="14" spans="1:22" ht="15" hidden="1" customHeight="1">
      <c r="B14" s="3851"/>
      <c r="C14" s="3852"/>
      <c r="D14" s="623" t="str">
        <f>B13&amp;".2"</f>
        <v>.2</v>
      </c>
      <c r="E14" s="624" t="s">
        <v>1288</v>
      </c>
      <c r="F14" s="625" t="s">
        <v>351</v>
      </c>
      <c r="G14" s="1625" t="s">
        <v>9</v>
      </c>
      <c r="H14" s="335" t="s">
        <v>9</v>
      </c>
      <c r="I14" s="1625" t="s">
        <v>9</v>
      </c>
      <c r="J14" s="335" t="s">
        <v>9</v>
      </c>
      <c r="K14" s="224" t="s">
        <v>1289</v>
      </c>
      <c r="V14" s="439">
        <v>0</v>
      </c>
    </row>
    <row r="15" spans="1:22" s="1288" customFormat="1" ht="15" hidden="1" customHeight="1">
      <c r="C15" s="606"/>
      <c r="U15" s="354"/>
      <c r="V15" s="351">
        <v>0</v>
      </c>
    </row>
    <row r="16" spans="1:22" s="1288" customFormat="1" ht="15" hidden="1" customHeight="1">
      <c r="C16" s="606"/>
      <c r="U16" s="354"/>
      <c r="V16" s="351">
        <v>0</v>
      </c>
    </row>
    <row r="17" spans="1:22" s="1288" customFormat="1" ht="15" hidden="1" customHeight="1">
      <c r="C17" s="606"/>
      <c r="U17" s="354"/>
      <c r="V17" s="351">
        <v>0</v>
      </c>
    </row>
    <row r="18" spans="1:22" s="1288" customFormat="1" ht="15" hidden="1" customHeight="1">
      <c r="C18" s="606"/>
      <c r="U18" s="354"/>
      <c r="V18" s="351">
        <v>0</v>
      </c>
    </row>
    <row r="19" spans="1:22" s="1288" customFormat="1" ht="15" hidden="1" customHeight="1">
      <c r="C19" s="606"/>
      <c r="U19" s="354"/>
      <c r="V19" s="351">
        <v>0</v>
      </c>
    </row>
    <row r="20" spans="1:22" s="1288" customFormat="1" ht="15" hidden="1" customHeight="1">
      <c r="C20" s="606"/>
      <c r="U20" s="354"/>
      <c r="V20" s="351">
        <v>0</v>
      </c>
    </row>
    <row r="21" spans="1:22" ht="15.75" customHeight="1">
      <c r="C21" s="111"/>
      <c r="D21" s="443"/>
      <c r="E21" s="443"/>
      <c r="F21" s="443"/>
      <c r="G21" s="443"/>
      <c r="H21" s="443"/>
      <c r="I21" s="443"/>
      <c r="J21" s="443"/>
      <c r="V21" s="439">
        <v>15</v>
      </c>
    </row>
    <row r="22" spans="1:22" ht="23.25" customHeight="1">
      <c r="C22" s="111"/>
      <c r="D22" s="37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721"/>
      <c r="F22" s="3721"/>
      <c r="G22" s="3721"/>
      <c r="H22" s="3721"/>
      <c r="I22" s="3721"/>
      <c r="J22" s="610"/>
      <c r="K22" s="471"/>
      <c r="V22" s="439">
        <v>22</v>
      </c>
    </row>
    <row r="23" spans="1:22" ht="15.75" customHeight="1">
      <c r="C23" s="111"/>
      <c r="D23" s="3667" t="str">
        <f>IF(org=0,"Не определено",org)</f>
        <v>ООО "Смоленскрегионтеплоэнерго"</v>
      </c>
      <c r="E23" s="3667"/>
      <c r="F23" s="3667"/>
      <c r="G23" s="3667"/>
      <c r="H23" s="3667"/>
      <c r="I23" s="3667"/>
      <c r="J23" s="610"/>
      <c r="K23" s="471"/>
      <c r="V23" s="439">
        <v>15</v>
      </c>
    </row>
    <row r="24" spans="1:22" ht="15.75" customHeight="1">
      <c r="C24" s="111"/>
      <c r="D24" s="443"/>
      <c r="E24" s="443"/>
      <c r="F24" s="443"/>
      <c r="G24" s="471">
        <v>22</v>
      </c>
      <c r="H24" s="686"/>
      <c r="I24" s="471">
        <v>22</v>
      </c>
      <c r="J24" s="686"/>
      <c r="V24" s="439">
        <v>15</v>
      </c>
    </row>
    <row r="25" spans="1:22" s="1557" customFormat="1" ht="1.1499999999999999" customHeight="1">
      <c r="A25" s="691"/>
      <c r="C25" s="111"/>
      <c r="D25" s="443"/>
      <c r="E25" s="443"/>
      <c r="F25" s="443"/>
      <c r="G25" s="471"/>
      <c r="H25" s="686"/>
      <c r="I25" s="471" t="s">
        <v>169</v>
      </c>
      <c r="J25" s="686"/>
      <c r="K25" s="351"/>
      <c r="U25" s="609"/>
      <c r="V25" s="690">
        <v>1</v>
      </c>
    </row>
    <row r="26" spans="1:22" ht="15.75" customHeight="1">
      <c r="C26" s="111"/>
      <c r="D26" s="645"/>
      <c r="E26" s="3822" t="s">
        <v>160</v>
      </c>
      <c r="F26" s="3823"/>
      <c r="G26" s="3849" t="str">
        <f>IF(G25="","",INDEX(DIFFERENTIATION_UNMERGE_VD,MATCH(G25,DIFFERENTIATION_ID_DIFF,0)))</f>
        <v/>
      </c>
      <c r="H26" s="3850"/>
      <c r="I26" s="3849"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3850"/>
      <c r="K26" s="3666" t="s">
        <v>346</v>
      </c>
      <c r="V26" s="439">
        <v>15</v>
      </c>
    </row>
    <row r="27" spans="1:22" s="1557" customFormat="1" ht="15.75" customHeight="1">
      <c r="A27" s="691"/>
      <c r="C27" s="111"/>
      <c r="D27" s="645"/>
      <c r="E27" s="3822" t="s">
        <v>607</v>
      </c>
      <c r="F27" s="3823"/>
      <c r="G27" s="3849" t="str">
        <f>IF(G25="","",INDEX(DIFFERENTIATION_UNMERGE_AREA,MATCH(G25,DIFFERENTIATION_ID_DIFF,0)))</f>
        <v/>
      </c>
      <c r="H27" s="3850"/>
      <c r="I27" s="3849" t="str">
        <f>IF(I25="","",INDEX(DIFFERENTIATION_UNMERGE_AREA,MATCH(I25,DIFFERENTIATION_ID_DIFF,0)))</f>
        <v>без дифференциации</v>
      </c>
      <c r="J27" s="3850"/>
      <c r="K27" s="3686"/>
      <c r="U27" s="609"/>
      <c r="V27" s="690">
        <v>15</v>
      </c>
    </row>
    <row r="28" spans="1:22" s="1557" customFormat="1" ht="15.75" customHeight="1">
      <c r="A28" s="691"/>
      <c r="C28" s="111"/>
      <c r="D28" s="645"/>
      <c r="E28" s="3822" t="s">
        <v>608</v>
      </c>
      <c r="F28" s="3823"/>
      <c r="G28" s="3849" t="str">
        <f>IF(G25="","",INDEX(DIFFERENTIATION_UNMERGE_SYSTEM,MATCH(G25,DIFFERENTIATION_ID_DIFF,0)))</f>
        <v/>
      </c>
      <c r="H28" s="3850"/>
      <c r="I28" s="3849" t="str">
        <f>IF(I25="","",INDEX(DIFFERENTIATION_UNMERGE_SYSTEM,MATCH(I25,DIFFERENTIATION_ID_DIFF,0)))</f>
        <v>без дифференциации</v>
      </c>
      <c r="J28" s="3850"/>
      <c r="K28" s="3686"/>
      <c r="U28" s="609"/>
      <c r="V28" s="690">
        <v>15</v>
      </c>
    </row>
    <row r="29" spans="1:22" s="1557" customFormat="1" ht="15.75" customHeight="1">
      <c r="A29" s="691"/>
      <c r="C29" s="111"/>
      <c r="D29" s="3824" t="s">
        <v>345</v>
      </c>
      <c r="E29" s="3825"/>
      <c r="F29" s="3825"/>
      <c r="G29" s="814"/>
      <c r="H29" s="814"/>
      <c r="I29" s="814"/>
      <c r="J29" s="815"/>
      <c r="K29" s="3686"/>
      <c r="U29" s="609"/>
      <c r="V29" s="690">
        <v>15</v>
      </c>
    </row>
    <row r="30" spans="1:22" ht="35.65" customHeight="1">
      <c r="C30" s="111"/>
      <c r="D30" s="693" t="s">
        <v>76</v>
      </c>
      <c r="E30" s="692" t="s">
        <v>347</v>
      </c>
      <c r="F30" s="692" t="s">
        <v>609</v>
      </c>
      <c r="G30" s="736" t="s">
        <v>348</v>
      </c>
      <c r="H30" s="735" t="s">
        <v>435</v>
      </c>
      <c r="I30" s="618" t="s">
        <v>348</v>
      </c>
      <c r="J30" s="399" t="s">
        <v>435</v>
      </c>
      <c r="K30" s="3689"/>
      <c r="V30" s="439">
        <v>34</v>
      </c>
    </row>
    <row r="31" spans="1:22" ht="15" hidden="1" customHeight="1">
      <c r="C31" s="111"/>
      <c r="D31" s="527"/>
      <c r="E31" s="527"/>
      <c r="F31" s="527"/>
      <c r="G31" s="593"/>
      <c r="H31" s="593"/>
      <c r="I31" s="593"/>
      <c r="J31" s="593"/>
      <c r="K31" s="224"/>
      <c r="V31" s="439">
        <v>0</v>
      </c>
    </row>
    <row r="32" spans="1:22" ht="24" customHeight="1">
      <c r="A32" s="439"/>
      <c r="B32" s="439" t="s">
        <v>1290</v>
      </c>
      <c r="C32" s="460"/>
      <c r="D32" s="626">
        <v>1</v>
      </c>
      <c r="E32" s="627" t="s">
        <v>1291</v>
      </c>
      <c r="F32" s="625" t="s">
        <v>351</v>
      </c>
      <c r="G32" s="741" t="s">
        <v>351</v>
      </c>
      <c r="H32" s="741" t="s">
        <v>351</v>
      </c>
      <c r="I32" s="625" t="s">
        <v>351</v>
      </c>
      <c r="J32" s="625" t="s">
        <v>351</v>
      </c>
      <c r="K32" s="224"/>
      <c r="V32" s="439">
        <v>23</v>
      </c>
    </row>
    <row r="33" spans="1:22" ht="11.45" customHeight="1">
      <c r="A33" s="439"/>
      <c r="C33" s="439"/>
      <c r="D33" s="282"/>
      <c r="E33" s="514" t="s">
        <v>908</v>
      </c>
      <c r="F33" s="506"/>
      <c r="G33" s="506"/>
      <c r="H33" s="506"/>
      <c r="I33" s="506"/>
      <c r="J33" s="506"/>
      <c r="K33" s="507"/>
      <c r="U33" s="439"/>
      <c r="V33" s="439">
        <v>11</v>
      </c>
    </row>
    <row r="34" spans="1:22" ht="24" customHeight="1">
      <c r="A34" s="439"/>
      <c r="B34" s="515" t="s">
        <v>957</v>
      </c>
      <c r="C34" s="460"/>
      <c r="D34" s="626">
        <v>2</v>
      </c>
      <c r="E34" s="627" t="s">
        <v>1292</v>
      </c>
      <c r="F34" s="748" t="s">
        <v>351</v>
      </c>
      <c r="G34" s="748" t="s">
        <v>351</v>
      </c>
      <c r="H34" s="748" t="s">
        <v>351</v>
      </c>
      <c r="I34" s="625"/>
      <c r="J34" s="625"/>
      <c r="K34" s="224"/>
      <c r="V34" s="439">
        <v>23</v>
      </c>
    </row>
    <row r="35" spans="1:22" ht="11.45" customHeight="1">
      <c r="A35" s="439"/>
      <c r="C35" s="439"/>
      <c r="D35" s="282"/>
      <c r="E35" s="514" t="s">
        <v>1293</v>
      </c>
      <c r="F35" s="506"/>
      <c r="G35" s="628"/>
      <c r="H35" s="506"/>
      <c r="I35" s="628"/>
      <c r="J35" s="506"/>
      <c r="K35" s="507"/>
      <c r="U35" s="439"/>
      <c r="V35" s="439">
        <v>11</v>
      </c>
    </row>
    <row r="36" spans="1:22" ht="71.25" customHeight="1">
      <c r="A36" s="439"/>
      <c r="B36" s="439" t="s">
        <v>1294</v>
      </c>
      <c r="C36" s="460"/>
      <c r="D36" s="626">
        <v>3</v>
      </c>
      <c r="E36" s="627" t="s">
        <v>1295</v>
      </c>
      <c r="F36" s="629" t="s">
        <v>351</v>
      </c>
      <c r="G36" s="742" t="s">
        <v>1296</v>
      </c>
      <c r="H36" s="741" t="s">
        <v>351</v>
      </c>
      <c r="I36" s="458" t="s">
        <v>1296</v>
      </c>
      <c r="J36" s="625" t="s">
        <v>351</v>
      </c>
      <c r="K36" s="224" t="s">
        <v>1297</v>
      </c>
      <c r="V36" s="439">
        <v>68</v>
      </c>
    </row>
    <row r="37" spans="1:22" ht="11.45" customHeight="1">
      <c r="A37" s="439"/>
      <c r="C37" s="439"/>
      <c r="D37" s="282"/>
      <c r="E37" s="514" t="s">
        <v>1298</v>
      </c>
      <c r="F37" s="506"/>
      <c r="G37" s="628"/>
      <c r="H37" s="628"/>
      <c r="I37" s="628"/>
      <c r="J37" s="628"/>
      <c r="K37" s="507"/>
      <c r="U37" s="439"/>
      <c r="V37" s="439">
        <v>11</v>
      </c>
    </row>
    <row r="38" spans="1:22" ht="71.25" customHeight="1">
      <c r="A38" s="439"/>
      <c r="B38" s="439" t="s">
        <v>1299</v>
      </c>
      <c r="C38" s="460"/>
      <c r="D38" s="626">
        <v>4</v>
      </c>
      <c r="E38" s="627" t="s">
        <v>1300</v>
      </c>
      <c r="F38" s="629" t="s">
        <v>351</v>
      </c>
      <c r="G38" s="742" t="s">
        <v>1296</v>
      </c>
      <c r="H38" s="743" t="s">
        <v>351</v>
      </c>
      <c r="I38" s="458" t="s">
        <v>1296</v>
      </c>
      <c r="J38" s="455" t="s">
        <v>351</v>
      </c>
      <c r="K38" s="613" t="s">
        <v>1301</v>
      </c>
      <c r="V38" s="439">
        <v>68</v>
      </c>
    </row>
    <row r="39" spans="1:22" ht="11.45" customHeight="1">
      <c r="A39" s="439"/>
      <c r="C39" s="439"/>
      <c r="D39" s="282"/>
      <c r="E39" s="514" t="s">
        <v>1302</v>
      </c>
      <c r="F39" s="506"/>
      <c r="G39" s="506"/>
      <c r="H39" s="630"/>
      <c r="I39" s="506"/>
      <c r="J39" s="630"/>
      <c r="K39" s="507"/>
      <c r="U39" s="439"/>
      <c r="V39" s="439">
        <v>11</v>
      </c>
    </row>
    <row r="40" spans="1:22" ht="22.5" hidden="1" customHeight="1">
      <c r="A40" s="383" t="s">
        <v>70</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6" hidden="1" customWidth="1"/>
    <col min="3" max="3" width="3" style="1742" customWidth="1"/>
    <col min="4" max="4" width="6" style="1742" customWidth="1"/>
    <col min="5" max="5" width="42" style="1742" customWidth="1"/>
    <col min="6" max="6" width="15" style="1742" customWidth="1"/>
    <col min="7" max="7" width="42" style="1742" customWidth="1"/>
    <col min="8" max="8" width="3" style="1742" customWidth="1"/>
    <col min="9" max="9" width="5" style="1742" customWidth="1"/>
    <col min="10" max="10" width="47" style="1742" customWidth="1"/>
    <col min="11" max="12" width="3" style="1742" customWidth="1"/>
    <col min="13" max="13" width="5" style="1742" customWidth="1"/>
    <col min="14" max="14" width="28" style="1742" customWidth="1"/>
    <col min="15" max="16" width="3" style="1742" customWidth="1"/>
    <col min="17" max="17" width="5" style="1742" customWidth="1"/>
    <col min="18" max="18" width="34" style="1742" customWidth="1"/>
    <col min="19" max="20" width="3.7109375" style="1742" customWidth="1"/>
    <col min="21" max="21" width="5.7109375" style="1742" customWidth="1"/>
    <col min="22" max="22" width="34.42578125" style="1742" customWidth="1"/>
    <col min="23" max="23" width="30" style="1742" customWidth="1"/>
    <col min="24" max="24" width="3" style="1742"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24.425781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42" hidden="1"/>
  </cols>
  <sheetData>
    <row r="1" spans="1:44" ht="11.25" hidden="1" customHeight="1">
      <c r="A1" s="91"/>
      <c r="AR1" s="43" t="s">
        <v>1</v>
      </c>
    </row>
    <row r="2" spans="1:44" ht="11.25" hidden="1" customHeight="1">
      <c r="AR2" s="43">
        <v>0</v>
      </c>
    </row>
    <row r="3" spans="1:44" ht="11.25" hidden="1" customHeight="1">
      <c r="AR3" s="43">
        <v>0</v>
      </c>
    </row>
    <row r="4" spans="1:44" ht="3" customHeight="1">
      <c r="AR4" s="43">
        <v>3</v>
      </c>
    </row>
    <row r="5" spans="1:44" s="523" customFormat="1" ht="30.4" customHeight="1">
      <c r="A5" s="89"/>
      <c r="B5" s="89"/>
      <c r="D5" s="36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649"/>
      <c r="F5" s="3649"/>
      <c r="G5" s="3649"/>
      <c r="H5" s="3649"/>
      <c r="I5" s="3649"/>
      <c r="J5" s="3650"/>
      <c r="K5" s="200"/>
      <c r="L5" s="79"/>
      <c r="M5" s="79"/>
      <c r="N5" s="79"/>
      <c r="O5" s="79"/>
      <c r="P5" s="79"/>
      <c r="Q5" s="79"/>
      <c r="R5" s="79"/>
      <c r="S5" s="225"/>
      <c r="T5" s="225"/>
      <c r="U5" s="225"/>
      <c r="V5" s="225"/>
      <c r="W5" s="79"/>
      <c r="Y5" s="1182"/>
      <c r="Z5" s="1182"/>
      <c r="AA5" s="1182"/>
      <c r="AB5" s="1182"/>
      <c r="AC5" s="1182"/>
      <c r="AD5" s="1182"/>
      <c r="AE5" s="1182"/>
      <c r="AF5" s="1182"/>
      <c r="AG5" s="1182"/>
      <c r="AH5" s="1182"/>
      <c r="AI5" s="1182"/>
      <c r="AJ5" s="1182"/>
      <c r="AK5" s="1182"/>
      <c r="AL5" s="1182"/>
      <c r="AM5" s="1182"/>
      <c r="AN5" s="1182"/>
      <c r="AO5" s="1182"/>
      <c r="AP5" s="1182"/>
      <c r="AQ5" s="1182"/>
      <c r="AR5" s="49">
        <v>29</v>
      </c>
    </row>
    <row r="6" spans="1:44" s="523" customFormat="1" ht="14.65" customHeight="1">
      <c r="A6" s="519"/>
      <c r="B6" s="519"/>
      <c r="C6" s="519"/>
      <c r="D6" s="3654" t="str">
        <f>IF(org=0,"Не определено",org)</f>
        <v>ООО "Смоленскрегионтеплоэнерго"</v>
      </c>
      <c r="E6" s="3654"/>
      <c r="F6" s="3654"/>
      <c r="G6" s="3654"/>
      <c r="H6" s="3654"/>
      <c r="I6" s="3654"/>
      <c r="J6" s="3654"/>
      <c r="K6" s="520"/>
      <c r="L6" s="520"/>
      <c r="M6" s="520"/>
      <c r="N6" s="520"/>
      <c r="O6" s="798"/>
      <c r="P6" s="798"/>
      <c r="Q6" s="798"/>
      <c r="R6" s="798"/>
      <c r="S6" s="798"/>
      <c r="T6" s="798"/>
      <c r="U6" s="798"/>
      <c r="V6" s="798"/>
      <c r="W6" s="798"/>
      <c r="X6" s="520"/>
      <c r="Y6" s="1183"/>
      <c r="Z6" s="1183"/>
      <c r="AA6" s="1183"/>
      <c r="AB6" s="1183"/>
      <c r="AC6" s="1183"/>
      <c r="AD6" s="1183"/>
      <c r="AE6" s="1183"/>
      <c r="AF6" s="1183"/>
      <c r="AG6" s="1183"/>
      <c r="AH6" s="1183"/>
      <c r="AI6" s="1183"/>
      <c r="AJ6" s="1183"/>
      <c r="AK6" s="1183"/>
      <c r="AL6" s="1183"/>
      <c r="AM6" s="1183"/>
      <c r="AN6" s="1183"/>
      <c r="AO6" s="1183"/>
      <c r="AP6" s="1183"/>
      <c r="AQ6" s="1183"/>
      <c r="AR6" s="521">
        <v>14</v>
      </c>
    </row>
    <row r="7" spans="1:44" s="234" customFormat="1" ht="11.45" customHeight="1">
      <c r="A7" s="146"/>
      <c r="B7" s="146"/>
      <c r="D7" s="3651"/>
      <c r="E7" s="3652"/>
      <c r="F7" s="3652"/>
      <c r="G7" s="3652"/>
      <c r="H7" s="3652"/>
      <c r="I7" s="3652"/>
      <c r="J7" s="3653"/>
      <c r="Y7" s="1184"/>
      <c r="Z7" s="1184"/>
      <c r="AA7" s="1184"/>
      <c r="AB7" s="1184"/>
      <c r="AC7" s="1184"/>
      <c r="AD7" s="1184"/>
      <c r="AE7" s="1184"/>
      <c r="AF7" s="1184"/>
      <c r="AG7" s="1184"/>
      <c r="AH7" s="1184"/>
      <c r="AI7" s="1184"/>
      <c r="AJ7" s="1184"/>
      <c r="AK7" s="1184"/>
      <c r="AL7" s="1184"/>
      <c r="AM7" s="1184"/>
      <c r="AN7" s="1184"/>
      <c r="AO7" s="1184"/>
      <c r="AP7" s="1184"/>
      <c r="AQ7" s="1184"/>
      <c r="AR7" s="211">
        <v>11</v>
      </c>
    </row>
    <row r="8" spans="1:44" s="523" customFormat="1" ht="1.1499999999999999" customHeight="1">
      <c r="A8" s="89"/>
      <c r="B8" s="89"/>
      <c r="D8" s="147"/>
      <c r="E8" s="147"/>
      <c r="F8" s="147"/>
      <c r="G8" s="147"/>
      <c r="H8" s="147"/>
      <c r="I8" s="147"/>
      <c r="J8" s="147"/>
      <c r="K8" s="147"/>
      <c r="L8" s="147"/>
      <c r="M8" s="147"/>
      <c r="N8" s="147"/>
      <c r="O8" s="147"/>
      <c r="P8" s="147"/>
      <c r="Q8" s="147"/>
      <c r="R8" s="147"/>
      <c r="S8" s="147"/>
      <c r="T8" s="147"/>
      <c r="U8" s="147"/>
      <c r="V8" s="147"/>
      <c r="W8" s="147"/>
      <c r="X8" s="69"/>
      <c r="Y8" s="1182"/>
      <c r="Z8" s="1182"/>
      <c r="AA8" s="1182"/>
      <c r="AB8" s="1182"/>
      <c r="AC8" s="1182"/>
      <c r="AD8" s="1182"/>
      <c r="AE8" s="1182"/>
      <c r="AF8" s="1182"/>
      <c r="AG8" s="1182"/>
      <c r="AH8" s="1182"/>
      <c r="AI8" s="1182"/>
      <c r="AJ8" s="1182"/>
      <c r="AK8" s="1182"/>
      <c r="AL8" s="1182"/>
      <c r="AM8" s="1182"/>
      <c r="AN8" s="1182"/>
      <c r="AO8" s="1182"/>
      <c r="AP8" s="1182"/>
      <c r="AQ8" s="1182"/>
      <c r="AR8" s="49">
        <v>1</v>
      </c>
    </row>
    <row r="9" spans="1:44" ht="28.5" customHeight="1">
      <c r="D9" s="3618" t="s">
        <v>76</v>
      </c>
      <c r="E9" s="3589" t="s">
        <v>175</v>
      </c>
      <c r="F9" s="3588"/>
      <c r="G9" s="3618" t="s">
        <v>160</v>
      </c>
      <c r="H9" s="3618" t="s">
        <v>76</v>
      </c>
      <c r="I9" s="3618"/>
      <c r="J9" s="3618" t="s">
        <v>176</v>
      </c>
      <c r="K9" s="3646" t="s">
        <v>177</v>
      </c>
      <c r="L9" s="3646"/>
      <c r="M9" s="3646"/>
      <c r="N9" s="3646"/>
      <c r="O9" s="3646" t="s">
        <v>178</v>
      </c>
      <c r="P9" s="3646"/>
      <c r="Q9" s="3646"/>
      <c r="R9" s="3646"/>
      <c r="S9" s="3646" t="s">
        <v>179</v>
      </c>
      <c r="T9" s="3646"/>
      <c r="U9" s="3646"/>
      <c r="V9" s="3646"/>
      <c r="W9" s="3618" t="s">
        <v>180</v>
      </c>
      <c r="AR9" s="43">
        <v>27</v>
      </c>
    </row>
    <row r="10" spans="1:44" ht="31.5" customHeight="1">
      <c r="D10" s="3618"/>
      <c r="E10" s="1206" t="s">
        <v>77</v>
      </c>
      <c r="F10" s="1206" t="s">
        <v>181</v>
      </c>
      <c r="G10" s="3618"/>
      <c r="H10" s="3618"/>
      <c r="I10" s="3618"/>
      <c r="J10" s="3618"/>
      <c r="K10" s="48" t="s">
        <v>163</v>
      </c>
      <c r="L10" s="3618" t="s">
        <v>76</v>
      </c>
      <c r="M10" s="3618"/>
      <c r="N10" s="48" t="s">
        <v>182</v>
      </c>
      <c r="O10" s="48" t="s">
        <v>163</v>
      </c>
      <c r="P10" s="3618" t="s">
        <v>76</v>
      </c>
      <c r="Q10" s="3618"/>
      <c r="R10" s="48" t="s">
        <v>182</v>
      </c>
      <c r="S10" s="218" t="s">
        <v>163</v>
      </c>
      <c r="T10" s="3618" t="s">
        <v>76</v>
      </c>
      <c r="U10" s="3618"/>
      <c r="V10" s="218" t="s">
        <v>77</v>
      </c>
      <c r="W10" s="3618"/>
      <c r="Z10" s="1181" t="s">
        <v>183</v>
      </c>
      <c r="AA10" s="1181" t="s">
        <v>184</v>
      </c>
      <c r="AB10" s="1181" t="s">
        <v>185</v>
      </c>
      <c r="AC10" s="1181" t="s">
        <v>186</v>
      </c>
      <c r="AD10" s="1181" t="s">
        <v>187</v>
      </c>
      <c r="AE10" s="1181" t="s">
        <v>188</v>
      </c>
      <c r="AF10" s="1181" t="s">
        <v>189</v>
      </c>
      <c r="AG10" s="1181" t="s">
        <v>190</v>
      </c>
      <c r="AH10" s="1181" t="s">
        <v>191</v>
      </c>
      <c r="AI10" s="1181" t="s">
        <v>192</v>
      </c>
      <c r="AJ10" s="1181" t="s">
        <v>193</v>
      </c>
      <c r="AK10" s="1181" t="s">
        <v>194</v>
      </c>
      <c r="AL10" s="1181" t="s">
        <v>195</v>
      </c>
      <c r="AM10" s="1181" t="s">
        <v>196</v>
      </c>
      <c r="AN10" s="1181" t="s">
        <v>197</v>
      </c>
      <c r="AO10" s="1181" t="s">
        <v>198</v>
      </c>
      <c r="AP10" s="1181" t="s">
        <v>199</v>
      </c>
      <c r="AQ10" s="1181" t="s">
        <v>200</v>
      </c>
      <c r="AR10" s="43">
        <v>30</v>
      </c>
    </row>
    <row r="11" spans="1:44" s="1546" customFormat="1" ht="12" customHeight="1">
      <c r="D11" s="1171" t="s">
        <v>164</v>
      </c>
      <c r="E11" s="1171" t="s">
        <v>89</v>
      </c>
      <c r="F11" s="1171"/>
      <c r="G11" s="1171" t="s">
        <v>78</v>
      </c>
      <c r="H11" s="3647" t="s">
        <v>100</v>
      </c>
      <c r="I11" s="3647"/>
      <c r="J11" s="1171" t="s">
        <v>80</v>
      </c>
      <c r="K11" s="1171" t="s">
        <v>81</v>
      </c>
      <c r="L11" s="3647" t="s">
        <v>110</v>
      </c>
      <c r="M11" s="3647"/>
      <c r="N11" s="1171" t="s">
        <v>114</v>
      </c>
      <c r="O11" s="1171" t="s">
        <v>118</v>
      </c>
      <c r="P11" s="3647" t="s">
        <v>122</v>
      </c>
      <c r="Q11" s="3647"/>
      <c r="R11" s="1171" t="s">
        <v>126</v>
      </c>
      <c r="S11" s="1171" t="s">
        <v>122</v>
      </c>
      <c r="T11" s="3647" t="s">
        <v>126</v>
      </c>
      <c r="U11" s="3647"/>
      <c r="V11" s="1171" t="s">
        <v>130</v>
      </c>
      <c r="W11" s="1171" t="s">
        <v>134</v>
      </c>
      <c r="Y11" s="1181"/>
      <c r="Z11" s="1181"/>
      <c r="AA11" s="1181"/>
      <c r="AB11" s="1181"/>
      <c r="AC11" s="1181"/>
      <c r="AD11" s="1181"/>
      <c r="AE11" s="1181"/>
      <c r="AF11" s="1181"/>
      <c r="AG11" s="1181"/>
      <c r="AH11" s="1181"/>
      <c r="AI11" s="1181"/>
      <c r="AJ11" s="1181"/>
      <c r="AK11" s="1181"/>
      <c r="AL11" s="1181"/>
      <c r="AM11" s="1181"/>
      <c r="AN11" s="1181"/>
      <c r="AO11" s="1181"/>
      <c r="AP11" s="1181"/>
      <c r="AQ11" s="1181"/>
      <c r="AR11" s="212">
        <v>0</v>
      </c>
    </row>
    <row r="12" spans="1:44" ht="14.25" customHeight="1">
      <c r="C12" s="144"/>
      <c r="D12" s="1204">
        <v>0</v>
      </c>
      <c r="E12" s="185"/>
      <c r="F12" s="185"/>
      <c r="G12" s="185"/>
      <c r="H12" s="186"/>
      <c r="I12" s="186"/>
      <c r="J12" s="93"/>
      <c r="K12" s="50"/>
      <c r="L12" s="93"/>
      <c r="M12" s="93"/>
      <c r="N12" s="187"/>
      <c r="O12" s="50"/>
      <c r="P12" s="93"/>
      <c r="Q12" s="93"/>
      <c r="R12" s="188"/>
      <c r="S12" s="219"/>
      <c r="T12" s="227"/>
      <c r="U12" s="227"/>
      <c r="V12" s="231"/>
      <c r="W12" s="50"/>
      <c r="X12" s="78"/>
      <c r="AR12" s="43">
        <v>0</v>
      </c>
    </row>
    <row r="13" spans="1:44" s="1742" customFormat="1" ht="17.25" customHeight="1">
      <c r="A13" s="256"/>
      <c r="C13" s="144"/>
      <c r="D13" s="3626">
        <v>1</v>
      </c>
      <c r="E13" s="3634" t="s">
        <v>201</v>
      </c>
      <c r="F13" s="3636" t="s">
        <v>6</v>
      </c>
      <c r="G13" s="3634"/>
      <c r="H13" s="3639"/>
      <c r="I13" s="3641"/>
      <c r="J13" s="3643"/>
      <c r="K13" s="3628"/>
      <c r="L13" s="3628"/>
      <c r="M13" s="3628"/>
      <c r="N13" s="3630"/>
      <c r="O13" s="3628"/>
      <c r="P13" s="3628"/>
      <c r="Q13" s="3628"/>
      <c r="R13" s="3633"/>
      <c r="S13" s="3628"/>
      <c r="T13" s="1342"/>
      <c r="U13" s="1342"/>
      <c r="V13" s="1341"/>
      <c r="W13" s="1218"/>
      <c r="Y13" s="1189"/>
      <c r="Z13" s="1189"/>
      <c r="AA13" s="1189"/>
      <c r="AB13" s="1189"/>
      <c r="AC13" s="1189" t="s">
        <v>202</v>
      </c>
      <c r="AD13" s="1189" t="s">
        <v>203</v>
      </c>
      <c r="AE13" s="1189" t="s">
        <v>204</v>
      </c>
      <c r="AF13" s="1189" t="s">
        <v>205</v>
      </c>
      <c r="AG13" s="1189" t="s">
        <v>206</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c r="AR13" s="684">
        <v>0</v>
      </c>
    </row>
    <row r="14" spans="1:44" s="1742" customFormat="1" ht="17.25" customHeight="1">
      <c r="A14" s="256"/>
      <c r="C14" s="255"/>
      <c r="D14" s="3626"/>
      <c r="E14" s="3634"/>
      <c r="F14" s="3637"/>
      <c r="G14" s="3634"/>
      <c r="H14" s="3640"/>
      <c r="I14" s="3642"/>
      <c r="J14" s="3644"/>
      <c r="K14" s="3629"/>
      <c r="L14" s="3629"/>
      <c r="M14" s="3629"/>
      <c r="N14" s="3631"/>
      <c r="O14" s="3629"/>
      <c r="P14" s="3629"/>
      <c r="Q14" s="3629"/>
      <c r="R14" s="3632"/>
      <c r="S14" s="3629"/>
      <c r="T14" s="1219"/>
      <c r="U14" s="1219"/>
      <c r="V14" s="1219"/>
      <c r="W14" s="1220"/>
      <c r="Y14" s="1181"/>
      <c r="Z14" s="1181"/>
      <c r="AA14" s="1181"/>
      <c r="AB14" s="1181"/>
      <c r="AC14" s="1181"/>
      <c r="AD14" s="1181"/>
      <c r="AE14" s="1181"/>
      <c r="AF14" s="1181"/>
      <c r="AG14" s="1181"/>
      <c r="AH14" s="1181"/>
      <c r="AI14" s="1181"/>
      <c r="AJ14" s="1181"/>
      <c r="AK14" s="1181"/>
      <c r="AL14" s="1181"/>
      <c r="AM14" s="1181"/>
      <c r="AN14" s="1181"/>
      <c r="AO14" s="1181"/>
      <c r="AP14" s="1181"/>
      <c r="AQ14" s="1181"/>
      <c r="AR14" s="684">
        <v>0</v>
      </c>
    </row>
    <row r="15" spans="1:44" s="1742" customFormat="1" ht="17.25" customHeight="1">
      <c r="A15" s="256"/>
      <c r="C15" s="144"/>
      <c r="D15" s="3626"/>
      <c r="E15" s="3634"/>
      <c r="F15" s="3637"/>
      <c r="G15" s="3634"/>
      <c r="H15" s="3640"/>
      <c r="I15" s="3642"/>
      <c r="J15" s="3645"/>
      <c r="K15" s="3629"/>
      <c r="L15" s="3629"/>
      <c r="M15" s="3629"/>
      <c r="N15" s="3632"/>
      <c r="O15" s="3629"/>
      <c r="P15" s="1340"/>
      <c r="Q15" s="1219"/>
      <c r="R15" s="1219"/>
      <c r="S15" s="264"/>
      <c r="T15" s="264"/>
      <c r="U15" s="264"/>
      <c r="V15" s="264"/>
      <c r="W15" s="1220"/>
      <c r="Y15" s="1189"/>
      <c r="Z15" s="1189"/>
      <c r="AA15" s="1189"/>
      <c r="AB15" s="1189"/>
      <c r="AC15" s="1189"/>
      <c r="AD15" s="1189"/>
      <c r="AE15" s="1189"/>
      <c r="AF15" s="1189"/>
      <c r="AG15" s="1189"/>
      <c r="AH15" s="1189"/>
      <c r="AI15" s="1189"/>
      <c r="AJ15" s="1189"/>
      <c r="AK15" s="1189"/>
      <c r="AL15" s="1189"/>
      <c r="AM15" s="1189"/>
      <c r="AN15" s="1189"/>
      <c r="AO15" s="1189"/>
      <c r="AP15" s="1189"/>
      <c r="AQ15" s="1189"/>
      <c r="AR15" s="1339">
        <v>0</v>
      </c>
    </row>
    <row r="16" spans="1:44" s="1742" customFormat="1" ht="17.25" customHeight="1">
      <c r="A16" s="256"/>
      <c r="C16" s="255"/>
      <c r="D16" s="3626"/>
      <c r="E16" s="3634"/>
      <c r="F16" s="3637"/>
      <c r="G16" s="3634"/>
      <c r="H16" s="3640"/>
      <c r="I16" s="3642"/>
      <c r="J16" s="3645"/>
      <c r="K16" s="3629"/>
      <c r="L16" s="1219"/>
      <c r="M16" s="1219"/>
      <c r="N16" s="1219"/>
      <c r="O16" s="1219"/>
      <c r="P16" s="1219"/>
      <c r="Q16" s="1219"/>
      <c r="R16" s="1219"/>
      <c r="S16" s="264"/>
      <c r="T16" s="264"/>
      <c r="U16" s="264"/>
      <c r="V16" s="264"/>
      <c r="W16" s="1220"/>
      <c r="Y16" s="1181"/>
      <c r="Z16" s="1181"/>
      <c r="AA16" s="1181"/>
      <c r="AB16" s="1181"/>
      <c r="AC16" s="1181"/>
      <c r="AD16" s="1181"/>
      <c r="AE16" s="1181"/>
      <c r="AF16" s="1181"/>
      <c r="AG16" s="1181"/>
      <c r="AH16" s="1181"/>
      <c r="AI16" s="1181"/>
      <c r="AJ16" s="1181"/>
      <c r="AK16" s="1181"/>
      <c r="AL16" s="1181"/>
      <c r="AM16" s="1181"/>
      <c r="AN16" s="1181"/>
      <c r="AO16" s="1181"/>
      <c r="AP16" s="1181"/>
      <c r="AQ16" s="1181"/>
      <c r="AR16" s="1339">
        <v>0</v>
      </c>
    </row>
    <row r="17" spans="1:44" s="1742" customFormat="1" ht="17.25" customHeight="1">
      <c r="A17" s="256"/>
      <c r="C17" s="255"/>
      <c r="D17" s="3627"/>
      <c r="E17" s="3635"/>
      <c r="F17" s="3638"/>
      <c r="G17" s="3635"/>
      <c r="H17" s="1221"/>
      <c r="I17" s="1222"/>
      <c r="J17" s="1222"/>
      <c r="K17" s="1222"/>
      <c r="L17" s="1222"/>
      <c r="M17" s="1222"/>
      <c r="N17" s="1222"/>
      <c r="O17" s="1222"/>
      <c r="P17" s="1222"/>
      <c r="Q17" s="1222"/>
      <c r="R17" s="1222"/>
      <c r="S17" s="1223"/>
      <c r="T17" s="1223"/>
      <c r="U17" s="1223"/>
      <c r="V17" s="1223"/>
      <c r="W17" s="1224"/>
      <c r="Y17" s="1181"/>
      <c r="Z17" s="1181"/>
      <c r="AA17" s="1181"/>
      <c r="AB17" s="1181"/>
      <c r="AC17" s="1181"/>
      <c r="AD17" s="1181"/>
      <c r="AE17" s="1181"/>
      <c r="AF17" s="1181"/>
      <c r="AG17" s="1181"/>
      <c r="AH17" s="1181"/>
      <c r="AI17" s="1181"/>
      <c r="AJ17" s="1181"/>
      <c r="AK17" s="1181"/>
      <c r="AL17" s="1181"/>
      <c r="AM17" s="1181"/>
      <c r="AN17" s="1181"/>
      <c r="AO17" s="1181"/>
      <c r="AP17" s="1181"/>
      <c r="AQ17" s="1181"/>
      <c r="AR17" s="684">
        <v>0</v>
      </c>
    </row>
    <row r="18" spans="1:44" s="1742" customFormat="1" ht="17.25" customHeight="1">
      <c r="A18" s="256"/>
      <c r="C18" s="144"/>
      <c r="D18" s="3626">
        <v>2</v>
      </c>
      <c r="E18" s="3655"/>
      <c r="F18" s="3636" t="s">
        <v>6</v>
      </c>
      <c r="G18" s="3634"/>
      <c r="H18" s="3639"/>
      <c r="I18" s="3641"/>
      <c r="J18" s="3643"/>
      <c r="K18" s="3628"/>
      <c r="L18" s="3628"/>
      <c r="M18" s="3628"/>
      <c r="N18" s="3630"/>
      <c r="O18" s="3628"/>
      <c r="P18" s="3628"/>
      <c r="Q18" s="3628"/>
      <c r="R18" s="3633"/>
      <c r="S18" s="3628"/>
      <c r="T18" s="1342"/>
      <c r="U18" s="1342"/>
      <c r="V18" s="1341"/>
      <c r="W18" s="1218"/>
      <c r="X18" s="1189"/>
      <c r="Y18" s="1189"/>
      <c r="Z18" s="1189"/>
      <c r="AA18" s="1189"/>
      <c r="AB18" s="1189"/>
      <c r="AC18" s="1189" t="s">
        <v>207</v>
      </c>
      <c r="AD18" s="1189" t="s">
        <v>208</v>
      </c>
      <c r="AE18" s="1189" t="s">
        <v>209</v>
      </c>
      <c r="AF18" s="1189" t="s">
        <v>210</v>
      </c>
      <c r="AG18" s="1189" t="s">
        <v>211</v>
      </c>
      <c r="AH18" s="1189" t="str">
        <f>IF($E$18=0,"",$E$18)</f>
        <v/>
      </c>
      <c r="AI18" s="1189" t="str">
        <f>IF($G$18=0,"",$G$18)</f>
        <v/>
      </c>
      <c r="AJ18" s="1189" t="str">
        <f>IF($J$18=0,"",$J$18)</f>
        <v/>
      </c>
      <c r="AK18" s="1189" t="str">
        <f>IF($K$18="нет","без дифференциации",IF($N$18=0,"",$N$18))</f>
        <v/>
      </c>
      <c r="AL18" s="1189" t="str">
        <f>IF($O$18="нет","без дифференциации",IF($R$18=0,"",$R$18))</f>
        <v/>
      </c>
      <c r="AM18" s="1189" t="str">
        <f>IF($S$18="нет","без дифференциации",IF($V$18=0,"",$V$18))</f>
        <v/>
      </c>
      <c r="AN18" s="1665">
        <f>$I$18</f>
        <v>0</v>
      </c>
      <c r="AO18" s="1189" t="str">
        <f>$I$18&amp;"."&amp;$M$18</f>
        <v>.</v>
      </c>
      <c r="AP18" s="1181" t="str">
        <f>$I$18&amp;"."&amp;$M$18&amp;"."&amp;$Q$18</f>
        <v>..</v>
      </c>
      <c r="AQ18" s="1181" t="str">
        <f>$I$18&amp;"."&amp;$M$18&amp;"."&amp;$Q$18&amp;"."&amp;$U$18</f>
        <v>...</v>
      </c>
      <c r="AR18" s="1205">
        <v>0</v>
      </c>
    </row>
    <row r="19" spans="1:44" s="1742" customFormat="1" ht="17.25" customHeight="1">
      <c r="A19" s="256"/>
      <c r="C19" s="255"/>
      <c r="D19" s="3626"/>
      <c r="E19" s="3655"/>
      <c r="F19" s="3637"/>
      <c r="G19" s="3634"/>
      <c r="H19" s="3640"/>
      <c r="I19" s="3642"/>
      <c r="J19" s="3644"/>
      <c r="K19" s="3629"/>
      <c r="L19" s="3629"/>
      <c r="M19" s="3629"/>
      <c r="N19" s="3631"/>
      <c r="O19" s="3629"/>
      <c r="P19" s="3629"/>
      <c r="Q19" s="3629"/>
      <c r="R19" s="3632"/>
      <c r="S19" s="3629"/>
      <c r="T19" s="1219"/>
      <c r="U19" s="1219"/>
      <c r="V19" s="1219"/>
      <c r="W19" s="1220"/>
      <c r="X19" s="1181"/>
      <c r="Y19" s="1181"/>
      <c r="Z19" s="1181"/>
      <c r="AA19" s="1181"/>
      <c r="AB19" s="1181"/>
      <c r="AC19" s="1181"/>
      <c r="AD19" s="1181"/>
      <c r="AE19" s="1181"/>
      <c r="AF19" s="1181"/>
      <c r="AG19" s="1181"/>
      <c r="AH19" s="1181"/>
      <c r="AI19" s="1181"/>
      <c r="AJ19" s="1181"/>
      <c r="AK19" s="1181"/>
      <c r="AL19" s="1181"/>
      <c r="AM19" s="1181"/>
      <c r="AN19" s="1181"/>
      <c r="AO19" s="1181"/>
      <c r="AP19" s="1181"/>
      <c r="AQ19" s="1181"/>
      <c r="AR19" s="1205">
        <v>0</v>
      </c>
    </row>
    <row r="20" spans="1:44" s="1742" customFormat="1" ht="17.25" customHeight="1">
      <c r="A20" s="256"/>
      <c r="C20" s="255"/>
      <c r="D20" s="3627"/>
      <c r="E20" s="3656"/>
      <c r="F20" s="3637"/>
      <c r="G20" s="3635"/>
      <c r="H20" s="3640"/>
      <c r="I20" s="3642"/>
      <c r="J20" s="3645"/>
      <c r="K20" s="3629"/>
      <c r="L20" s="3629"/>
      <c r="M20" s="3629"/>
      <c r="N20" s="3632"/>
      <c r="O20" s="3629"/>
      <c r="P20" s="1340"/>
      <c r="Q20" s="1219"/>
      <c r="R20" s="1219"/>
      <c r="S20" s="264"/>
      <c r="T20" s="264"/>
      <c r="U20" s="264"/>
      <c r="V20" s="264"/>
      <c r="W20" s="1220"/>
      <c r="X20" s="1181"/>
      <c r="Y20" s="1181"/>
      <c r="Z20" s="1181"/>
      <c r="AA20" s="1181"/>
      <c r="AB20" s="1181"/>
      <c r="AC20" s="1181"/>
      <c r="AD20" s="1181"/>
      <c r="AE20" s="1181"/>
      <c r="AF20" s="1181"/>
      <c r="AG20" s="1181"/>
      <c r="AH20" s="1181"/>
      <c r="AI20" s="1181"/>
      <c r="AJ20" s="1181"/>
      <c r="AK20" s="1181"/>
      <c r="AL20" s="1181"/>
      <c r="AM20" s="1181"/>
      <c r="AN20" s="1181"/>
      <c r="AO20" s="1181"/>
      <c r="AP20" s="1181"/>
      <c r="AQ20" s="1181"/>
      <c r="AR20" s="1205">
        <v>0</v>
      </c>
    </row>
    <row r="21" spans="1:44" s="1742" customFormat="1" ht="17.25" customHeight="1">
      <c r="A21" s="256"/>
      <c r="C21" s="255"/>
      <c r="D21" s="3627"/>
      <c r="E21" s="3656"/>
      <c r="F21" s="3637"/>
      <c r="G21" s="3635"/>
      <c r="H21" s="3640"/>
      <c r="I21" s="3642"/>
      <c r="J21" s="3645"/>
      <c r="K21" s="3629"/>
      <c r="L21" s="1219"/>
      <c r="M21" s="1219"/>
      <c r="N21" s="1219"/>
      <c r="O21" s="1219"/>
      <c r="P21" s="1219"/>
      <c r="Q21" s="1219"/>
      <c r="R21" s="1219"/>
      <c r="S21" s="264"/>
      <c r="T21" s="264"/>
      <c r="U21" s="264"/>
      <c r="V21" s="264"/>
      <c r="W21" s="1220"/>
      <c r="X21" s="1181"/>
      <c r="Y21" s="1181"/>
      <c r="Z21" s="1181"/>
      <c r="AA21" s="1181"/>
      <c r="AB21" s="1181"/>
      <c r="AC21" s="1181"/>
      <c r="AD21" s="1181"/>
      <c r="AE21" s="1181"/>
      <c r="AF21" s="1181"/>
      <c r="AG21" s="1181"/>
      <c r="AH21" s="1181"/>
      <c r="AI21" s="1181"/>
      <c r="AJ21" s="1181"/>
      <c r="AK21" s="1181"/>
      <c r="AL21" s="1181"/>
      <c r="AM21" s="1181"/>
      <c r="AN21" s="1181"/>
      <c r="AO21" s="1181"/>
      <c r="AP21" s="1181"/>
      <c r="AQ21" s="1181"/>
      <c r="AR21" s="1205">
        <v>0</v>
      </c>
    </row>
    <row r="22" spans="1:44" s="1742" customFormat="1" ht="17.25" customHeight="1">
      <c r="A22" s="256"/>
      <c r="C22" s="255"/>
      <c r="D22" s="3627"/>
      <c r="E22" s="3656"/>
      <c r="F22" s="3638"/>
      <c r="G22" s="3635"/>
      <c r="H22" s="1221"/>
      <c r="I22" s="1222"/>
      <c r="J22" s="1222"/>
      <c r="K22" s="1222"/>
      <c r="L22" s="1222"/>
      <c r="M22" s="1222"/>
      <c r="N22" s="1222"/>
      <c r="O22" s="1222"/>
      <c r="P22" s="1222"/>
      <c r="Q22" s="1222"/>
      <c r="R22" s="1222"/>
      <c r="S22" s="1223"/>
      <c r="T22" s="1223"/>
      <c r="U22" s="1223"/>
      <c r="V22" s="1223"/>
      <c r="W22" s="1224"/>
      <c r="X22" s="1181"/>
      <c r="Y22" s="1181"/>
      <c r="Z22" s="1181"/>
      <c r="AA22" s="1181"/>
      <c r="AB22" s="1181"/>
      <c r="AC22" s="1181"/>
      <c r="AD22" s="1181"/>
      <c r="AE22" s="1181"/>
      <c r="AF22" s="1181"/>
      <c r="AG22" s="1181"/>
      <c r="AH22" s="1181"/>
      <c r="AI22" s="1181"/>
      <c r="AJ22" s="1181"/>
      <c r="AK22" s="1181"/>
      <c r="AL22" s="1181"/>
      <c r="AM22" s="1181"/>
      <c r="AN22" s="1181"/>
      <c r="AO22" s="1181"/>
      <c r="AP22" s="1181"/>
      <c r="AQ22" s="1181"/>
      <c r="AR22" s="1205">
        <v>0</v>
      </c>
    </row>
    <row r="23" spans="1:44" s="1742" customFormat="1" ht="17.25" customHeight="1">
      <c r="A23" s="256"/>
      <c r="C23" s="144"/>
      <c r="D23" s="3626">
        <v>2</v>
      </c>
      <c r="E23" s="3634" t="s">
        <v>212</v>
      </c>
      <c r="F23" s="3636" t="s">
        <v>6</v>
      </c>
      <c r="G23" s="3634"/>
      <c r="H23" s="3639"/>
      <c r="I23" s="3641"/>
      <c r="J23" s="3643"/>
      <c r="K23" s="3628"/>
      <c r="L23" s="3628"/>
      <c r="M23" s="3628"/>
      <c r="N23" s="3630"/>
      <c r="O23" s="3628"/>
      <c r="P23" s="3628"/>
      <c r="Q23" s="3628"/>
      <c r="R23" s="3633"/>
      <c r="S23" s="3628"/>
      <c r="T23" s="1884"/>
      <c r="U23" s="1884"/>
      <c r="V23" s="1886"/>
      <c r="W23" s="1218"/>
      <c r="X23" s="1189"/>
      <c r="Y23" s="1189"/>
      <c r="Z23" s="1189"/>
      <c r="AA23" s="1189"/>
      <c r="AB23" s="1189"/>
      <c r="AC23" s="1189" t="s">
        <v>207</v>
      </c>
      <c r="AD23" s="1189" t="s">
        <v>208</v>
      </c>
      <c r="AE23" s="1189" t="s">
        <v>209</v>
      </c>
      <c r="AF23" s="1189" t="s">
        <v>210</v>
      </c>
      <c r="AG23" s="1189" t="s">
        <v>211</v>
      </c>
      <c r="AH23" s="1189"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9" t="str">
        <f>IF($G$23=0,"",$G$23)</f>
        <v/>
      </c>
      <c r="AJ23" s="1189" t="str">
        <f>IF($J$23=0,"",$J$23)</f>
        <v/>
      </c>
      <c r="AK23" s="1189" t="str">
        <f>IF($K$23="нет","без дифференциации",IF($N$23=0,"",$N$23))</f>
        <v/>
      </c>
      <c r="AL23" s="1189" t="str">
        <f>IF($O$23="нет","без дифференциации",IF($R$23=0,"",$R$23))</f>
        <v/>
      </c>
      <c r="AM23" s="1189" t="str">
        <f>IF($S$23="нет","без дифференциации",IF($V$23=0,"",$V$23))</f>
        <v/>
      </c>
      <c r="AN23" s="1665">
        <f>$I$23</f>
        <v>0</v>
      </c>
      <c r="AO23" s="1189" t="str">
        <f>$I$23&amp;"."&amp;$M$23</f>
        <v>.</v>
      </c>
      <c r="AP23" s="1188" t="str">
        <f>$I$23&amp;"."&amp;$M$23&amp;"."&amp;$Q$23</f>
        <v>..</v>
      </c>
      <c r="AQ23" s="1188" t="str">
        <f>$I$23&amp;"."&amp;$M$23&amp;"."&amp;$Q$23&amp;"."&amp;$U$23</f>
        <v>...</v>
      </c>
      <c r="AR23" s="1389">
        <v>0</v>
      </c>
    </row>
    <row r="24" spans="1:44" s="1742" customFormat="1" ht="17.25" customHeight="1">
      <c r="A24" s="256"/>
      <c r="C24" s="255"/>
      <c r="D24" s="3626"/>
      <c r="E24" s="3634"/>
      <c r="F24" s="3637"/>
      <c r="G24" s="3634"/>
      <c r="H24" s="3640"/>
      <c r="I24" s="3642"/>
      <c r="J24" s="3644"/>
      <c r="K24" s="3629"/>
      <c r="L24" s="3629"/>
      <c r="M24" s="3629"/>
      <c r="N24" s="3631"/>
      <c r="O24" s="3629"/>
      <c r="P24" s="3629"/>
      <c r="Q24" s="3629"/>
      <c r="R24" s="3632"/>
      <c r="S24" s="3629"/>
      <c r="T24" s="1889"/>
      <c r="U24" s="1889"/>
      <c r="V24" s="1889"/>
      <c r="W24" s="1890"/>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389">
        <v>0</v>
      </c>
    </row>
    <row r="25" spans="1:44" s="1742" customFormat="1" ht="17.25" customHeight="1">
      <c r="A25" s="256"/>
      <c r="C25" s="255"/>
      <c r="D25" s="3627"/>
      <c r="E25" s="3635"/>
      <c r="F25" s="3637"/>
      <c r="G25" s="3635"/>
      <c r="H25" s="3640"/>
      <c r="I25" s="3642"/>
      <c r="J25" s="3645"/>
      <c r="K25" s="3629"/>
      <c r="L25" s="3629"/>
      <c r="M25" s="3629"/>
      <c r="N25" s="3632"/>
      <c r="O25" s="3629"/>
      <c r="P25" s="1885"/>
      <c r="Q25" s="1889"/>
      <c r="R25" s="1889"/>
      <c r="S25" s="264"/>
      <c r="T25" s="264"/>
      <c r="U25" s="264"/>
      <c r="V25" s="264"/>
      <c r="W25" s="1890"/>
      <c r="X25" s="1188"/>
      <c r="Y25" s="1188"/>
      <c r="Z25" s="1188"/>
      <c r="AA25" s="1188"/>
      <c r="AB25" s="1188"/>
      <c r="AC25" s="1188"/>
      <c r="AD25" s="1188"/>
      <c r="AE25" s="1188"/>
      <c r="AF25" s="1188"/>
      <c r="AG25" s="1188"/>
      <c r="AH25" s="1188"/>
      <c r="AI25" s="1188"/>
      <c r="AJ25" s="1188"/>
      <c r="AK25" s="1188"/>
      <c r="AL25" s="1188"/>
      <c r="AM25" s="1188"/>
      <c r="AN25" s="1188"/>
      <c r="AO25" s="1188"/>
      <c r="AP25" s="1188"/>
      <c r="AQ25" s="1188"/>
      <c r="AR25" s="1389">
        <v>0</v>
      </c>
    </row>
    <row r="26" spans="1:44" s="1742" customFormat="1" ht="17.25" customHeight="1">
      <c r="A26" s="256"/>
      <c r="C26" s="255"/>
      <c r="D26" s="3627"/>
      <c r="E26" s="3635"/>
      <c r="F26" s="3637"/>
      <c r="G26" s="3635"/>
      <c r="H26" s="3640"/>
      <c r="I26" s="3642"/>
      <c r="J26" s="3645"/>
      <c r="K26" s="3629"/>
      <c r="L26" s="1889"/>
      <c r="M26" s="1889"/>
      <c r="N26" s="1889"/>
      <c r="O26" s="1889"/>
      <c r="P26" s="1889"/>
      <c r="Q26" s="1889"/>
      <c r="R26" s="1889"/>
      <c r="S26" s="264"/>
      <c r="T26" s="264"/>
      <c r="U26" s="264"/>
      <c r="V26" s="264"/>
      <c r="W26" s="1890"/>
      <c r="X26" s="1188"/>
      <c r="Y26" s="1188"/>
      <c r="Z26" s="1188"/>
      <c r="AA26" s="1188"/>
      <c r="AB26" s="1188"/>
      <c r="AC26" s="1188"/>
      <c r="AD26" s="1188"/>
      <c r="AE26" s="1188"/>
      <c r="AF26" s="1188"/>
      <c r="AG26" s="1188"/>
      <c r="AH26" s="1188"/>
      <c r="AI26" s="1188"/>
      <c r="AJ26" s="1188"/>
      <c r="AK26" s="1188"/>
      <c r="AL26" s="1188"/>
      <c r="AM26" s="1188"/>
      <c r="AN26" s="1188"/>
      <c r="AO26" s="1188"/>
      <c r="AP26" s="1188"/>
      <c r="AQ26" s="1188"/>
      <c r="AR26" s="1389">
        <v>0</v>
      </c>
    </row>
    <row r="27" spans="1:44" s="1742" customFormat="1" ht="17.25" customHeight="1">
      <c r="A27" s="256"/>
      <c r="C27" s="255"/>
      <c r="D27" s="3627"/>
      <c r="E27" s="3635"/>
      <c r="F27" s="3638"/>
      <c r="G27" s="3635"/>
      <c r="H27" s="1221"/>
      <c r="I27" s="1887"/>
      <c r="J27" s="1887"/>
      <c r="K27" s="1887"/>
      <c r="L27" s="1887"/>
      <c r="M27" s="1887"/>
      <c r="N27" s="1887"/>
      <c r="O27" s="1887"/>
      <c r="P27" s="1887"/>
      <c r="Q27" s="1887"/>
      <c r="R27" s="1887"/>
      <c r="S27" s="1223"/>
      <c r="T27" s="1223"/>
      <c r="U27" s="1223"/>
      <c r="V27" s="1223"/>
      <c r="W27" s="1888"/>
      <c r="X27" s="1188"/>
      <c r="Y27" s="1188"/>
      <c r="Z27" s="1188"/>
      <c r="AA27" s="1188"/>
      <c r="AB27" s="1188"/>
      <c r="AC27" s="1188"/>
      <c r="AD27" s="1188"/>
      <c r="AE27" s="1188"/>
      <c r="AF27" s="1188"/>
      <c r="AG27" s="1188"/>
      <c r="AH27" s="1188"/>
      <c r="AI27" s="1188"/>
      <c r="AJ27" s="1188"/>
      <c r="AK27" s="1188"/>
      <c r="AL27" s="1188"/>
      <c r="AM27" s="1188"/>
      <c r="AN27" s="1188"/>
      <c r="AO27" s="1188"/>
      <c r="AP27" s="1188"/>
      <c r="AQ27" s="1188"/>
      <c r="AR27" s="1389">
        <v>0</v>
      </c>
    </row>
    <row r="28" spans="1:44" s="1742" customFormat="1" ht="17.25" customHeight="1">
      <c r="A28" s="256"/>
      <c r="C28" s="144"/>
      <c r="D28" s="3626">
        <v>3</v>
      </c>
      <c r="E28" s="3634" t="s">
        <v>213</v>
      </c>
      <c r="F28" s="3636" t="s">
        <v>6</v>
      </c>
      <c r="G28" s="3634"/>
      <c r="H28" s="3639"/>
      <c r="I28" s="3641"/>
      <c r="J28" s="3643"/>
      <c r="K28" s="3628"/>
      <c r="L28" s="3628"/>
      <c r="M28" s="3628"/>
      <c r="N28" s="3630"/>
      <c r="O28" s="3628"/>
      <c r="P28" s="3628"/>
      <c r="Q28" s="3628"/>
      <c r="R28" s="3633"/>
      <c r="S28" s="3628"/>
      <c r="T28" s="1342"/>
      <c r="U28" s="1342"/>
      <c r="V28" s="1341"/>
      <c r="W28" s="1218"/>
      <c r="X28" s="1189"/>
      <c r="Y28" s="1189"/>
      <c r="Z28" s="1189"/>
      <c r="AA28" s="1189"/>
      <c r="AB28" s="1189"/>
      <c r="AC28" s="1189" t="s">
        <v>214</v>
      </c>
      <c r="AD28" s="1189" t="s">
        <v>215</v>
      </c>
      <c r="AE28" s="1189" t="s">
        <v>216</v>
      </c>
      <c r="AF28" s="1189" t="s">
        <v>217</v>
      </c>
      <c r="AG28" s="1189" t="s">
        <v>218</v>
      </c>
      <c r="AH28" s="1189" t="str">
        <f>IF($E$28=0,"",$E$28)</f>
        <v>Тарифы на теплоноситель, поставляемый теплоснабжающими организациями потребителям, другим теплоснабжающим организациям</v>
      </c>
      <c r="AI28" s="1189" t="str">
        <f>IF($G$28=0,"",$G$28)</f>
        <v/>
      </c>
      <c r="AJ28" s="1189" t="str">
        <f>IF($J$28=0,"",$J$28)</f>
        <v/>
      </c>
      <c r="AK28" s="1189" t="str">
        <f>IF($K$28="нет","без дифференциации",IF($N$28=0,"",$N$28))</f>
        <v/>
      </c>
      <c r="AL28" s="1189" t="str">
        <f>IF($O$28="нет","без дифференциации",IF($R$28=0,"",$R$28))</f>
        <v/>
      </c>
      <c r="AM28" s="1189" t="str">
        <f>IF($S$28="нет","без дифференциации",IF($V$28=0,"",$V$28))</f>
        <v/>
      </c>
      <c r="AN28" s="1665">
        <f>$I$28</f>
        <v>0</v>
      </c>
      <c r="AO28" s="1189" t="str">
        <f>$I$28&amp;"."&amp;$M$28</f>
        <v>.</v>
      </c>
      <c r="AP28" s="1181" t="str">
        <f>$I$28&amp;"."&amp;$M$28&amp;"."&amp;$Q$28</f>
        <v>..</v>
      </c>
      <c r="AQ28" s="1181" t="str">
        <f>$I$28&amp;"."&amp;$M$28&amp;"."&amp;$Q$28&amp;"."&amp;$U$28</f>
        <v>...</v>
      </c>
      <c r="AR28" s="1205">
        <v>0</v>
      </c>
    </row>
    <row r="29" spans="1:44" s="1742" customFormat="1" ht="17.25" customHeight="1">
      <c r="A29" s="256"/>
      <c r="C29" s="255"/>
      <c r="D29" s="3626"/>
      <c r="E29" s="3634"/>
      <c r="F29" s="3637"/>
      <c r="G29" s="3634"/>
      <c r="H29" s="3640"/>
      <c r="I29" s="3642"/>
      <c r="J29" s="3644"/>
      <c r="K29" s="3629"/>
      <c r="L29" s="3629"/>
      <c r="M29" s="3629"/>
      <c r="N29" s="3631"/>
      <c r="O29" s="3629"/>
      <c r="P29" s="3629"/>
      <c r="Q29" s="3629"/>
      <c r="R29" s="3632"/>
      <c r="S29" s="3629"/>
      <c r="T29" s="1219"/>
      <c r="U29" s="1219"/>
      <c r="V29" s="1219"/>
      <c r="W29" s="1220"/>
      <c r="X29" s="1181"/>
      <c r="Y29" s="1181"/>
      <c r="Z29" s="1181"/>
      <c r="AA29" s="1181"/>
      <c r="AB29" s="1181"/>
      <c r="AC29" s="1181"/>
      <c r="AD29" s="1181"/>
      <c r="AE29" s="1181"/>
      <c r="AF29" s="1181"/>
      <c r="AG29" s="1181"/>
      <c r="AH29" s="1181"/>
      <c r="AI29" s="1181"/>
      <c r="AJ29" s="1181"/>
      <c r="AK29" s="1181"/>
      <c r="AL29" s="1181"/>
      <c r="AM29" s="1181"/>
      <c r="AN29" s="1181"/>
      <c r="AO29" s="1181"/>
      <c r="AP29" s="1181"/>
      <c r="AQ29" s="1181"/>
      <c r="AR29" s="1205">
        <v>0</v>
      </c>
    </row>
    <row r="30" spans="1:44" s="1742" customFormat="1" ht="17.25" customHeight="1">
      <c r="A30" s="256"/>
      <c r="C30" s="255"/>
      <c r="D30" s="3627"/>
      <c r="E30" s="3635"/>
      <c r="F30" s="3637"/>
      <c r="G30" s="3635"/>
      <c r="H30" s="3640"/>
      <c r="I30" s="3642"/>
      <c r="J30" s="3645"/>
      <c r="K30" s="3629"/>
      <c r="L30" s="3629"/>
      <c r="M30" s="3629"/>
      <c r="N30" s="3632"/>
      <c r="O30" s="3629"/>
      <c r="P30" s="1340"/>
      <c r="Q30" s="1219"/>
      <c r="R30" s="1219"/>
      <c r="S30" s="264"/>
      <c r="T30" s="264"/>
      <c r="U30" s="264"/>
      <c r="V30" s="264"/>
      <c r="W30" s="1220"/>
      <c r="X30" s="1181"/>
      <c r="Y30" s="1181"/>
      <c r="Z30" s="1181"/>
      <c r="AA30" s="1181"/>
      <c r="AB30" s="1181"/>
      <c r="AC30" s="1181"/>
      <c r="AD30" s="1181"/>
      <c r="AE30" s="1181"/>
      <c r="AF30" s="1181"/>
      <c r="AG30" s="1181"/>
      <c r="AH30" s="1181"/>
      <c r="AI30" s="1181"/>
      <c r="AJ30" s="1181"/>
      <c r="AK30" s="1181"/>
      <c r="AL30" s="1181"/>
      <c r="AM30" s="1181"/>
      <c r="AN30" s="1181"/>
      <c r="AO30" s="1181"/>
      <c r="AP30" s="1181"/>
      <c r="AQ30" s="1181"/>
      <c r="AR30" s="1205">
        <v>0</v>
      </c>
    </row>
    <row r="31" spans="1:44" s="1742" customFormat="1" ht="17.25" customHeight="1">
      <c r="A31" s="256"/>
      <c r="C31" s="255"/>
      <c r="D31" s="3627"/>
      <c r="E31" s="3635"/>
      <c r="F31" s="3637"/>
      <c r="G31" s="3635"/>
      <c r="H31" s="3640"/>
      <c r="I31" s="3642"/>
      <c r="J31" s="3645"/>
      <c r="K31" s="3629"/>
      <c r="L31" s="1219"/>
      <c r="M31" s="1219"/>
      <c r="N31" s="1219"/>
      <c r="O31" s="1219"/>
      <c r="P31" s="1219"/>
      <c r="Q31" s="1219"/>
      <c r="R31" s="1219"/>
      <c r="S31" s="264"/>
      <c r="T31" s="264"/>
      <c r="U31" s="264"/>
      <c r="V31" s="264"/>
      <c r="W31" s="1220"/>
      <c r="X31" s="1181"/>
      <c r="Y31" s="1181"/>
      <c r="Z31" s="1181"/>
      <c r="AA31" s="1181"/>
      <c r="AB31" s="1181"/>
      <c r="AC31" s="1181"/>
      <c r="AD31" s="1181"/>
      <c r="AE31" s="1181"/>
      <c r="AF31" s="1181"/>
      <c r="AG31" s="1181"/>
      <c r="AH31" s="1181"/>
      <c r="AI31" s="1181"/>
      <c r="AJ31" s="1181"/>
      <c r="AK31" s="1181"/>
      <c r="AL31" s="1181"/>
      <c r="AM31" s="1181"/>
      <c r="AN31" s="1181"/>
      <c r="AO31" s="1181"/>
      <c r="AP31" s="1181"/>
      <c r="AQ31" s="1181"/>
      <c r="AR31" s="1205">
        <v>0</v>
      </c>
    </row>
    <row r="32" spans="1:44" s="1742" customFormat="1" ht="17.25" customHeight="1">
      <c r="A32" s="256"/>
      <c r="C32" s="255"/>
      <c r="D32" s="3627"/>
      <c r="E32" s="3635"/>
      <c r="F32" s="3638"/>
      <c r="G32" s="3635"/>
      <c r="H32" s="1221"/>
      <c r="I32" s="1222"/>
      <c r="J32" s="1222"/>
      <c r="K32" s="1222"/>
      <c r="L32" s="1222"/>
      <c r="M32" s="1222"/>
      <c r="N32" s="1222"/>
      <c r="O32" s="1222"/>
      <c r="P32" s="1222"/>
      <c r="Q32" s="1222"/>
      <c r="R32" s="1222"/>
      <c r="S32" s="1223"/>
      <c r="T32" s="1223"/>
      <c r="U32" s="1223"/>
      <c r="V32" s="1223"/>
      <c r="W32" s="1224"/>
      <c r="X32" s="1181"/>
      <c r="Y32" s="1181"/>
      <c r="Z32" s="1181"/>
      <c r="AA32" s="1181"/>
      <c r="AB32" s="1181"/>
      <c r="AC32" s="1181"/>
      <c r="AD32" s="1181"/>
      <c r="AE32" s="1181"/>
      <c r="AF32" s="1181"/>
      <c r="AG32" s="1181"/>
      <c r="AH32" s="1181"/>
      <c r="AI32" s="1181"/>
      <c r="AJ32" s="1181"/>
      <c r="AK32" s="1181"/>
      <c r="AL32" s="1181"/>
      <c r="AM32" s="1181"/>
      <c r="AN32" s="1181"/>
      <c r="AO32" s="1181"/>
      <c r="AP32" s="1181"/>
      <c r="AQ32" s="1181"/>
      <c r="AR32" s="1205">
        <v>0</v>
      </c>
    </row>
    <row r="33" spans="1:44" s="1742" customFormat="1" ht="17.25" customHeight="1">
      <c r="A33" s="256"/>
      <c r="C33" s="144"/>
      <c r="D33" s="3626">
        <v>4</v>
      </c>
      <c r="E33" s="3634" t="s">
        <v>219</v>
      </c>
      <c r="F33" s="3636" t="s">
        <v>6</v>
      </c>
      <c r="G33" s="3634"/>
      <c r="H33" s="3639"/>
      <c r="I33" s="3641"/>
      <c r="J33" s="3643"/>
      <c r="K33" s="3628"/>
      <c r="L33" s="3628"/>
      <c r="M33" s="3628"/>
      <c r="N33" s="3630"/>
      <c r="O33" s="3628"/>
      <c r="P33" s="3628"/>
      <c r="Q33" s="3628"/>
      <c r="R33" s="3633"/>
      <c r="S33" s="3628"/>
      <c r="T33" s="1342"/>
      <c r="U33" s="1342"/>
      <c r="V33" s="1341"/>
      <c r="W33" s="1218"/>
      <c r="X33" s="1189"/>
      <c r="Y33" s="1189"/>
      <c r="Z33" s="1189"/>
      <c r="AA33" s="1189"/>
      <c r="AB33" s="1189"/>
      <c r="AC33" s="1189" t="s">
        <v>220</v>
      </c>
      <c r="AD33" s="1189" t="s">
        <v>221</v>
      </c>
      <c r="AE33" s="1189" t="s">
        <v>222</v>
      </c>
      <c r="AF33" s="1189" t="s">
        <v>223</v>
      </c>
      <c r="AG33" s="1189" t="s">
        <v>224</v>
      </c>
      <c r="AH33" s="118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65">
        <f>$I$33</f>
        <v>0</v>
      </c>
      <c r="AO33" s="1189" t="str">
        <f>$I$33&amp;"."&amp;$M$33</f>
        <v>.</v>
      </c>
      <c r="AP33" s="1181" t="str">
        <f>$I$33&amp;"."&amp;$M$33&amp;"."&amp;$Q$33</f>
        <v>..</v>
      </c>
      <c r="AQ33" s="1181" t="str">
        <f>$I$33&amp;"."&amp;$M$33&amp;"."&amp;$Q$33&amp;"."&amp;$U$33</f>
        <v>...</v>
      </c>
      <c r="AR33" s="1205">
        <v>0</v>
      </c>
    </row>
    <row r="34" spans="1:44" s="1742" customFormat="1" ht="17.25" customHeight="1">
      <c r="A34" s="256"/>
      <c r="C34" s="255"/>
      <c r="D34" s="3626"/>
      <c r="E34" s="3634"/>
      <c r="F34" s="3637"/>
      <c r="G34" s="3634"/>
      <c r="H34" s="3640"/>
      <c r="I34" s="3642"/>
      <c r="J34" s="3644"/>
      <c r="K34" s="3629"/>
      <c r="L34" s="3629"/>
      <c r="M34" s="3629"/>
      <c r="N34" s="3631"/>
      <c r="O34" s="3629"/>
      <c r="P34" s="3629"/>
      <c r="Q34" s="3629"/>
      <c r="R34" s="3632"/>
      <c r="S34" s="3629"/>
      <c r="T34" s="1219"/>
      <c r="U34" s="1219"/>
      <c r="V34" s="1219"/>
      <c r="W34" s="1220"/>
      <c r="X34" s="1181"/>
      <c r="Y34" s="1181"/>
      <c r="Z34" s="1181"/>
      <c r="AA34" s="1181"/>
      <c r="AB34" s="1181"/>
      <c r="AC34" s="1181"/>
      <c r="AD34" s="1181"/>
      <c r="AE34" s="1181"/>
      <c r="AF34" s="1181"/>
      <c r="AG34" s="1181"/>
      <c r="AH34" s="1181"/>
      <c r="AI34" s="1181"/>
      <c r="AJ34" s="1181"/>
      <c r="AK34" s="1181"/>
      <c r="AL34" s="1181"/>
      <c r="AM34" s="1181"/>
      <c r="AN34" s="1181"/>
      <c r="AO34" s="1181"/>
      <c r="AP34" s="1181"/>
      <c r="AQ34" s="1181"/>
      <c r="AR34" s="1205">
        <v>0</v>
      </c>
    </row>
    <row r="35" spans="1:44" s="1742" customFormat="1" ht="17.25" customHeight="1">
      <c r="A35" s="256"/>
      <c r="C35" s="255"/>
      <c r="D35" s="3627"/>
      <c r="E35" s="3635"/>
      <c r="F35" s="3637"/>
      <c r="G35" s="3635"/>
      <c r="H35" s="3640"/>
      <c r="I35" s="3642"/>
      <c r="J35" s="3645"/>
      <c r="K35" s="3629"/>
      <c r="L35" s="3629"/>
      <c r="M35" s="3629"/>
      <c r="N35" s="3632"/>
      <c r="O35" s="3629"/>
      <c r="P35" s="1340"/>
      <c r="Q35" s="1219"/>
      <c r="R35" s="1219"/>
      <c r="S35" s="264"/>
      <c r="T35" s="264"/>
      <c r="U35" s="264"/>
      <c r="V35" s="264"/>
      <c r="W35" s="1220"/>
      <c r="X35" s="1181"/>
      <c r="Y35" s="1181"/>
      <c r="Z35" s="1181"/>
      <c r="AA35" s="1181"/>
      <c r="AB35" s="1181"/>
      <c r="AC35" s="1181"/>
      <c r="AD35" s="1181"/>
      <c r="AE35" s="1181"/>
      <c r="AF35" s="1181"/>
      <c r="AG35" s="1181"/>
      <c r="AH35" s="1181"/>
      <c r="AI35" s="1181"/>
      <c r="AJ35" s="1181"/>
      <c r="AK35" s="1181"/>
      <c r="AL35" s="1181"/>
      <c r="AM35" s="1181"/>
      <c r="AN35" s="1181"/>
      <c r="AO35" s="1181"/>
      <c r="AP35" s="1181"/>
      <c r="AQ35" s="1181"/>
      <c r="AR35" s="1205">
        <v>0</v>
      </c>
    </row>
    <row r="36" spans="1:44" s="1742" customFormat="1" ht="17.25" customHeight="1">
      <c r="A36" s="256"/>
      <c r="C36" s="255"/>
      <c r="D36" s="3627"/>
      <c r="E36" s="3635"/>
      <c r="F36" s="3637"/>
      <c r="G36" s="3635"/>
      <c r="H36" s="3640"/>
      <c r="I36" s="3642"/>
      <c r="J36" s="3645"/>
      <c r="K36" s="3629"/>
      <c r="L36" s="1219"/>
      <c r="M36" s="1219"/>
      <c r="N36" s="1219"/>
      <c r="O36" s="1219"/>
      <c r="P36" s="1219"/>
      <c r="Q36" s="1219"/>
      <c r="R36" s="1219"/>
      <c r="S36" s="264"/>
      <c r="T36" s="264"/>
      <c r="U36" s="264"/>
      <c r="V36" s="264"/>
      <c r="W36" s="1220"/>
      <c r="X36" s="1181"/>
      <c r="Y36" s="1181"/>
      <c r="Z36" s="1181"/>
      <c r="AA36" s="1181"/>
      <c r="AB36" s="1181"/>
      <c r="AC36" s="1181"/>
      <c r="AD36" s="1181"/>
      <c r="AE36" s="1181"/>
      <c r="AF36" s="1181"/>
      <c r="AG36" s="1181"/>
      <c r="AH36" s="1181"/>
      <c r="AI36" s="1181"/>
      <c r="AJ36" s="1181"/>
      <c r="AK36" s="1181"/>
      <c r="AL36" s="1181"/>
      <c r="AM36" s="1181"/>
      <c r="AN36" s="1181"/>
      <c r="AO36" s="1181"/>
      <c r="AP36" s="1181"/>
      <c r="AQ36" s="1181"/>
      <c r="AR36" s="1205">
        <v>0</v>
      </c>
    </row>
    <row r="37" spans="1:44" s="1742" customFormat="1" ht="17.25" customHeight="1">
      <c r="A37" s="256"/>
      <c r="C37" s="255"/>
      <c r="D37" s="3627"/>
      <c r="E37" s="3635"/>
      <c r="F37" s="3638"/>
      <c r="G37" s="3635"/>
      <c r="H37" s="1221"/>
      <c r="I37" s="1222"/>
      <c r="J37" s="1222"/>
      <c r="K37" s="1222"/>
      <c r="L37" s="1222"/>
      <c r="M37" s="1222"/>
      <c r="N37" s="1222"/>
      <c r="O37" s="1222"/>
      <c r="P37" s="1222"/>
      <c r="Q37" s="1222"/>
      <c r="R37" s="1222"/>
      <c r="S37" s="1223"/>
      <c r="T37" s="1223"/>
      <c r="U37" s="1223"/>
      <c r="V37" s="1223"/>
      <c r="W37" s="1224"/>
      <c r="X37" s="1181"/>
      <c r="Y37" s="1181"/>
      <c r="Z37" s="1181"/>
      <c r="AA37" s="1181"/>
      <c r="AB37" s="1181"/>
      <c r="AC37" s="1181"/>
      <c r="AD37" s="1181"/>
      <c r="AE37" s="1181"/>
      <c r="AF37" s="1181"/>
      <c r="AG37" s="1181"/>
      <c r="AH37" s="1181"/>
      <c r="AI37" s="1181"/>
      <c r="AJ37" s="1181"/>
      <c r="AK37" s="1181"/>
      <c r="AL37" s="1181"/>
      <c r="AM37" s="1181"/>
      <c r="AN37" s="1181"/>
      <c r="AO37" s="1181"/>
      <c r="AP37" s="1181"/>
      <c r="AQ37" s="1181"/>
      <c r="AR37" s="1205">
        <v>0</v>
      </c>
    </row>
    <row r="38" spans="1:44" s="1742" customFormat="1" ht="17.25" customHeight="1">
      <c r="A38" s="256"/>
      <c r="C38" s="144"/>
      <c r="D38" s="3626">
        <v>5</v>
      </c>
      <c r="E38" s="3634" t="s">
        <v>225</v>
      </c>
      <c r="F38" s="3636" t="s">
        <v>6</v>
      </c>
      <c r="G38" s="3634"/>
      <c r="H38" s="3639"/>
      <c r="I38" s="3641"/>
      <c r="J38" s="3643"/>
      <c r="K38" s="3628"/>
      <c r="L38" s="3628"/>
      <c r="M38" s="3628"/>
      <c r="N38" s="3630"/>
      <c r="O38" s="3628"/>
      <c r="P38" s="3628"/>
      <c r="Q38" s="3628"/>
      <c r="R38" s="3633"/>
      <c r="S38" s="3628"/>
      <c r="T38" s="1342"/>
      <c r="U38" s="1342"/>
      <c r="V38" s="1341"/>
      <c r="W38" s="1218"/>
      <c r="X38" s="1189"/>
      <c r="Y38" s="1189"/>
      <c r="Z38" s="1189"/>
      <c r="AA38" s="1189"/>
      <c r="AB38" s="1189"/>
      <c r="AC38" s="1189" t="s">
        <v>226</v>
      </c>
      <c r="AD38" s="1189" t="s">
        <v>227</v>
      </c>
      <c r="AE38" s="1189" t="s">
        <v>228</v>
      </c>
      <c r="AF38" s="1189" t="s">
        <v>229</v>
      </c>
      <c r="AG38" s="1189" t="s">
        <v>230</v>
      </c>
      <c r="AH38" s="1189" t="str">
        <f>IF($E$38=0,"",$E$38)</f>
        <v>Тарифы на услуги по передаче тепловой энергии</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65">
        <f>$I$38</f>
        <v>0</v>
      </c>
      <c r="AO38" s="1189" t="str">
        <f>$I$38&amp;"."&amp;$M$38</f>
        <v>.</v>
      </c>
      <c r="AP38" s="1181" t="str">
        <f>$I$38&amp;"."&amp;$M$38&amp;"."&amp;$Q$38</f>
        <v>..</v>
      </c>
      <c r="AQ38" s="1181" t="str">
        <f>$I$38&amp;"."&amp;$M$38&amp;"."&amp;$Q$38&amp;"."&amp;$U$38</f>
        <v>...</v>
      </c>
      <c r="AR38" s="1205">
        <v>0</v>
      </c>
    </row>
    <row r="39" spans="1:44" s="1742" customFormat="1" ht="17.25" customHeight="1">
      <c r="A39" s="256"/>
      <c r="C39" s="255"/>
      <c r="D39" s="3626"/>
      <c r="E39" s="3634"/>
      <c r="F39" s="3637"/>
      <c r="G39" s="3634"/>
      <c r="H39" s="3640"/>
      <c r="I39" s="3642"/>
      <c r="J39" s="3644"/>
      <c r="K39" s="3629"/>
      <c r="L39" s="3629"/>
      <c r="M39" s="3629"/>
      <c r="N39" s="3631"/>
      <c r="O39" s="3629"/>
      <c r="P39" s="3629"/>
      <c r="Q39" s="3629"/>
      <c r="R39" s="3632"/>
      <c r="S39" s="3629"/>
      <c r="T39" s="1219"/>
      <c r="U39" s="1219"/>
      <c r="V39" s="1219"/>
      <c r="W39" s="1220"/>
      <c r="X39" s="1181"/>
      <c r="Y39" s="1181"/>
      <c r="Z39" s="1181"/>
      <c r="AA39" s="1181"/>
      <c r="AB39" s="1181"/>
      <c r="AC39" s="1181"/>
      <c r="AD39" s="1181"/>
      <c r="AE39" s="1181"/>
      <c r="AF39" s="1181"/>
      <c r="AG39" s="1181"/>
      <c r="AH39" s="1181"/>
      <c r="AI39" s="1181"/>
      <c r="AJ39" s="1181"/>
      <c r="AK39" s="1181"/>
      <c r="AL39" s="1181"/>
      <c r="AM39" s="1181"/>
      <c r="AN39" s="1181"/>
      <c r="AO39" s="1181"/>
      <c r="AP39" s="1181"/>
      <c r="AQ39" s="1181"/>
      <c r="AR39" s="1205">
        <v>0</v>
      </c>
    </row>
    <row r="40" spans="1:44" s="1742" customFormat="1" ht="17.25" customHeight="1">
      <c r="A40" s="256"/>
      <c r="C40" s="255"/>
      <c r="D40" s="3627"/>
      <c r="E40" s="3635"/>
      <c r="F40" s="3637"/>
      <c r="G40" s="3635"/>
      <c r="H40" s="3640"/>
      <c r="I40" s="3642"/>
      <c r="J40" s="3645"/>
      <c r="K40" s="3629"/>
      <c r="L40" s="3629"/>
      <c r="M40" s="3629"/>
      <c r="N40" s="3632"/>
      <c r="O40" s="3629"/>
      <c r="P40" s="1340"/>
      <c r="Q40" s="1219"/>
      <c r="R40" s="1219"/>
      <c r="S40" s="264"/>
      <c r="T40" s="264"/>
      <c r="U40" s="264"/>
      <c r="V40" s="264"/>
      <c r="W40" s="1220"/>
      <c r="X40" s="1181"/>
      <c r="Y40" s="1181"/>
      <c r="Z40" s="1181"/>
      <c r="AA40" s="1181"/>
      <c r="AB40" s="1181"/>
      <c r="AC40" s="1181"/>
      <c r="AD40" s="1181"/>
      <c r="AE40" s="1181"/>
      <c r="AF40" s="1181"/>
      <c r="AG40" s="1181"/>
      <c r="AH40" s="1181"/>
      <c r="AI40" s="1181"/>
      <c r="AJ40" s="1181"/>
      <c r="AK40" s="1181"/>
      <c r="AL40" s="1181"/>
      <c r="AM40" s="1181"/>
      <c r="AN40" s="1181"/>
      <c r="AO40" s="1181"/>
      <c r="AP40" s="1181"/>
      <c r="AQ40" s="1181"/>
      <c r="AR40" s="1205">
        <v>0</v>
      </c>
    </row>
    <row r="41" spans="1:44" s="1742" customFormat="1" ht="17.25" customHeight="1">
      <c r="A41" s="256"/>
      <c r="C41" s="255"/>
      <c r="D41" s="3627"/>
      <c r="E41" s="3635"/>
      <c r="F41" s="3637"/>
      <c r="G41" s="3635"/>
      <c r="H41" s="3640"/>
      <c r="I41" s="3642"/>
      <c r="J41" s="3645"/>
      <c r="K41" s="3629"/>
      <c r="L41" s="1219"/>
      <c r="M41" s="1219"/>
      <c r="N41" s="1219"/>
      <c r="O41" s="1219"/>
      <c r="P41" s="1219"/>
      <c r="Q41" s="1219"/>
      <c r="R41" s="1219"/>
      <c r="S41" s="264"/>
      <c r="T41" s="264"/>
      <c r="U41" s="264"/>
      <c r="V41" s="264"/>
      <c r="W41" s="1220"/>
      <c r="X41" s="1181"/>
      <c r="Y41" s="1181"/>
      <c r="Z41" s="1181"/>
      <c r="AA41" s="1181"/>
      <c r="AB41" s="1181"/>
      <c r="AC41" s="1181"/>
      <c r="AD41" s="1181"/>
      <c r="AE41" s="1181"/>
      <c r="AF41" s="1181"/>
      <c r="AG41" s="1181"/>
      <c r="AH41" s="1181"/>
      <c r="AI41" s="1181"/>
      <c r="AJ41" s="1181"/>
      <c r="AK41" s="1181"/>
      <c r="AL41" s="1181"/>
      <c r="AM41" s="1181"/>
      <c r="AN41" s="1181"/>
      <c r="AO41" s="1181"/>
      <c r="AP41" s="1181"/>
      <c r="AQ41" s="1181"/>
      <c r="AR41" s="1205">
        <v>0</v>
      </c>
    </row>
    <row r="42" spans="1:44" s="1742" customFormat="1" ht="17.25" customHeight="1">
      <c r="A42" s="256"/>
      <c r="C42" s="255"/>
      <c r="D42" s="3627"/>
      <c r="E42" s="3635"/>
      <c r="F42" s="3638"/>
      <c r="G42" s="3635"/>
      <c r="H42" s="1221"/>
      <c r="I42" s="1222"/>
      <c r="J42" s="1222"/>
      <c r="K42" s="1222"/>
      <c r="L42" s="1222"/>
      <c r="M42" s="1222"/>
      <c r="N42" s="1222"/>
      <c r="O42" s="1222"/>
      <c r="P42" s="1222"/>
      <c r="Q42" s="1222"/>
      <c r="R42" s="1222"/>
      <c r="S42" s="1223"/>
      <c r="T42" s="1223"/>
      <c r="U42" s="1223"/>
      <c r="V42" s="1223"/>
      <c r="W42" s="1224"/>
      <c r="X42" s="1181"/>
      <c r="Y42" s="1181"/>
      <c r="Z42" s="1181"/>
      <c r="AA42" s="1181"/>
      <c r="AB42" s="1181"/>
      <c r="AC42" s="1181"/>
      <c r="AD42" s="1181"/>
      <c r="AE42" s="1181"/>
      <c r="AF42" s="1181"/>
      <c r="AG42" s="1181"/>
      <c r="AH42" s="1181"/>
      <c r="AI42" s="1181"/>
      <c r="AJ42" s="1181"/>
      <c r="AK42" s="1181"/>
      <c r="AL42" s="1181"/>
      <c r="AM42" s="1181"/>
      <c r="AN42" s="1181"/>
      <c r="AO42" s="1181"/>
      <c r="AP42" s="1181"/>
      <c r="AQ42" s="1181"/>
      <c r="AR42" s="1205">
        <v>0</v>
      </c>
    </row>
    <row r="43" spans="1:44" s="1742" customFormat="1" ht="17.25" customHeight="1">
      <c r="A43" s="256"/>
      <c r="C43" s="144"/>
      <c r="D43" s="3626">
        <v>6</v>
      </c>
      <c r="E43" s="3634" t="s">
        <v>231</v>
      </c>
      <c r="F43" s="3636" t="s">
        <v>6</v>
      </c>
      <c r="G43" s="3634"/>
      <c r="H43" s="3639"/>
      <c r="I43" s="3641"/>
      <c r="J43" s="3643"/>
      <c r="K43" s="3628"/>
      <c r="L43" s="3628"/>
      <c r="M43" s="3628"/>
      <c r="N43" s="3630"/>
      <c r="O43" s="3628"/>
      <c r="P43" s="3628"/>
      <c r="Q43" s="3628"/>
      <c r="R43" s="3633"/>
      <c r="S43" s="3628"/>
      <c r="T43" s="1342"/>
      <c r="U43" s="1342"/>
      <c r="V43" s="1341"/>
      <c r="W43" s="1218"/>
      <c r="X43" s="1189"/>
      <c r="Y43" s="1189"/>
      <c r="Z43" s="1189"/>
      <c r="AA43" s="1189"/>
      <c r="AB43" s="1189"/>
      <c r="AC43" s="1189" t="s">
        <v>232</v>
      </c>
      <c r="AD43" s="1189" t="s">
        <v>233</v>
      </c>
      <c r="AE43" s="1189" t="s">
        <v>234</v>
      </c>
      <c r="AF43" s="1189" t="s">
        <v>235</v>
      </c>
      <c r="AG43" s="1189" t="s">
        <v>236</v>
      </c>
      <c r="AH43" s="1189" t="str">
        <f>IF($E$43=0,"",$E$43)</f>
        <v>Тарифы на услуги по передаче теплоносителя</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65">
        <f>$I$43</f>
        <v>0</v>
      </c>
      <c r="AO43" s="1189" t="str">
        <f>$I$43&amp;"."&amp;$M$43</f>
        <v>.</v>
      </c>
      <c r="AP43" s="1181" t="str">
        <f>$I$43&amp;"."&amp;$M$43&amp;"."&amp;$Q$43</f>
        <v>..</v>
      </c>
      <c r="AQ43" s="1181" t="str">
        <f>$I$43&amp;"."&amp;$M$43&amp;"."&amp;$Q$43&amp;"."&amp;$U$43</f>
        <v>...</v>
      </c>
      <c r="AR43" s="1205">
        <v>0</v>
      </c>
    </row>
    <row r="44" spans="1:44" s="1742" customFormat="1" ht="17.25" customHeight="1">
      <c r="A44" s="256"/>
      <c r="C44" s="255"/>
      <c r="D44" s="3626"/>
      <c r="E44" s="3634"/>
      <c r="F44" s="3637"/>
      <c r="G44" s="3634"/>
      <c r="H44" s="3640"/>
      <c r="I44" s="3642"/>
      <c r="J44" s="3644"/>
      <c r="K44" s="3629"/>
      <c r="L44" s="3629"/>
      <c r="M44" s="3629"/>
      <c r="N44" s="3631"/>
      <c r="O44" s="3629"/>
      <c r="P44" s="3629"/>
      <c r="Q44" s="3629"/>
      <c r="R44" s="3632"/>
      <c r="S44" s="3629"/>
      <c r="T44" s="1219"/>
      <c r="U44" s="1219"/>
      <c r="V44" s="1219"/>
      <c r="W44" s="1220"/>
      <c r="X44" s="1181"/>
      <c r="Y44" s="1181"/>
      <c r="Z44" s="1181"/>
      <c r="AA44" s="1181"/>
      <c r="AB44" s="1181"/>
      <c r="AC44" s="1181"/>
      <c r="AD44" s="1181"/>
      <c r="AE44" s="1181"/>
      <c r="AF44" s="1181"/>
      <c r="AG44" s="1181"/>
      <c r="AH44" s="1181"/>
      <c r="AI44" s="1181"/>
      <c r="AJ44" s="1181"/>
      <c r="AK44" s="1181"/>
      <c r="AL44" s="1181"/>
      <c r="AM44" s="1181"/>
      <c r="AN44" s="1181"/>
      <c r="AO44" s="1181"/>
      <c r="AP44" s="1181"/>
      <c r="AQ44" s="1181"/>
      <c r="AR44" s="1205">
        <v>0</v>
      </c>
    </row>
    <row r="45" spans="1:44" s="1742" customFormat="1" ht="17.25" customHeight="1">
      <c r="A45" s="256"/>
      <c r="C45" s="255"/>
      <c r="D45" s="3627"/>
      <c r="E45" s="3635"/>
      <c r="F45" s="3637"/>
      <c r="G45" s="3635"/>
      <c r="H45" s="3640"/>
      <c r="I45" s="3642"/>
      <c r="J45" s="3645"/>
      <c r="K45" s="3629"/>
      <c r="L45" s="3629"/>
      <c r="M45" s="3629"/>
      <c r="N45" s="3632"/>
      <c r="O45" s="3629"/>
      <c r="P45" s="1340"/>
      <c r="Q45" s="1219"/>
      <c r="R45" s="1219"/>
      <c r="S45" s="264"/>
      <c r="T45" s="264"/>
      <c r="U45" s="264"/>
      <c r="V45" s="264"/>
      <c r="W45" s="1220"/>
      <c r="X45" s="1181"/>
      <c r="Y45" s="1181"/>
      <c r="Z45" s="1181"/>
      <c r="AA45" s="1181"/>
      <c r="AB45" s="1181"/>
      <c r="AC45" s="1181"/>
      <c r="AD45" s="1181"/>
      <c r="AE45" s="1181"/>
      <c r="AF45" s="1181"/>
      <c r="AG45" s="1181"/>
      <c r="AH45" s="1181"/>
      <c r="AI45" s="1181"/>
      <c r="AJ45" s="1181"/>
      <c r="AK45" s="1181"/>
      <c r="AL45" s="1181"/>
      <c r="AM45" s="1181"/>
      <c r="AN45" s="1181"/>
      <c r="AO45" s="1181"/>
      <c r="AP45" s="1181"/>
      <c r="AQ45" s="1181"/>
      <c r="AR45" s="1205">
        <v>0</v>
      </c>
    </row>
    <row r="46" spans="1:44" s="1742" customFormat="1" ht="17.25" customHeight="1">
      <c r="A46" s="256"/>
      <c r="C46" s="144"/>
      <c r="D46" s="3627"/>
      <c r="E46" s="3635"/>
      <c r="F46" s="3637"/>
      <c r="G46" s="3635"/>
      <c r="H46" s="3640"/>
      <c r="I46" s="3642"/>
      <c r="J46" s="3645"/>
      <c r="K46" s="3629"/>
      <c r="L46" s="1219"/>
      <c r="M46" s="1219"/>
      <c r="N46" s="1219"/>
      <c r="O46" s="1219"/>
      <c r="P46" s="1219"/>
      <c r="Q46" s="1219"/>
      <c r="R46" s="1219"/>
      <c r="S46" s="264"/>
      <c r="T46" s="264"/>
      <c r="U46" s="264"/>
      <c r="V46" s="264"/>
      <c r="W46" s="1220"/>
      <c r="Y46" s="1189"/>
      <c r="Z46" s="1189"/>
      <c r="AA46" s="1189"/>
      <c r="AB46" s="1189"/>
      <c r="AC46" s="1189"/>
      <c r="AD46" s="1189"/>
      <c r="AE46" s="1189"/>
      <c r="AF46" s="1189"/>
      <c r="AG46" s="1189"/>
      <c r="AH46" s="1189"/>
      <c r="AI46" s="1189"/>
      <c r="AJ46" s="1189"/>
      <c r="AK46" s="1189"/>
      <c r="AL46" s="1189"/>
      <c r="AM46" s="1189"/>
      <c r="AN46" s="1189"/>
      <c r="AO46" s="1189"/>
      <c r="AP46" s="1189"/>
      <c r="AQ46" s="1189"/>
      <c r="AR46" s="1248">
        <v>0</v>
      </c>
    </row>
    <row r="47" spans="1:44" s="1742" customFormat="1" ht="17.25" customHeight="1">
      <c r="A47" s="256"/>
      <c r="C47" s="255"/>
      <c r="D47" s="3627"/>
      <c r="E47" s="3635"/>
      <c r="F47" s="3638"/>
      <c r="G47" s="3635"/>
      <c r="H47" s="1221"/>
      <c r="I47" s="1222"/>
      <c r="J47" s="1222"/>
      <c r="K47" s="1222"/>
      <c r="L47" s="1222"/>
      <c r="M47" s="1222"/>
      <c r="N47" s="1222"/>
      <c r="O47" s="1222"/>
      <c r="P47" s="1222"/>
      <c r="Q47" s="1222"/>
      <c r="R47" s="1222"/>
      <c r="S47" s="1223"/>
      <c r="T47" s="1223"/>
      <c r="U47" s="1223"/>
      <c r="V47" s="1223"/>
      <c r="W47" s="1224"/>
      <c r="X47" s="1181"/>
      <c r="Y47" s="1181"/>
      <c r="Z47" s="1181"/>
      <c r="AA47" s="1181"/>
      <c r="AB47" s="1181"/>
      <c r="AC47" s="1181"/>
      <c r="AD47" s="1181"/>
      <c r="AE47" s="1181"/>
      <c r="AF47" s="1181"/>
      <c r="AG47" s="1181"/>
      <c r="AH47" s="1181"/>
      <c r="AI47" s="1181"/>
      <c r="AJ47" s="1181"/>
      <c r="AK47" s="1181"/>
      <c r="AL47" s="1181"/>
      <c r="AM47" s="1181"/>
      <c r="AN47" s="1181"/>
      <c r="AO47" s="1181"/>
      <c r="AP47" s="1181"/>
      <c r="AQ47" s="1181"/>
      <c r="AR47" s="1205">
        <v>0</v>
      </c>
    </row>
    <row r="48" spans="1:44" s="1742" customFormat="1" ht="17.25" customHeight="1">
      <c r="A48" s="256"/>
      <c r="C48" s="144"/>
      <c r="D48" s="3657">
        <v>7</v>
      </c>
      <c r="E48" s="3660" t="s">
        <v>237</v>
      </c>
      <c r="F48" s="3636" t="s">
        <v>6</v>
      </c>
      <c r="G48" s="3660"/>
      <c r="H48" s="3639"/>
      <c r="I48" s="3641"/>
      <c r="J48" s="3643"/>
      <c r="K48" s="3628"/>
      <c r="L48" s="3628"/>
      <c r="M48" s="3628"/>
      <c r="N48" s="3630"/>
      <c r="O48" s="3628"/>
      <c r="P48" s="3628"/>
      <c r="Q48" s="3628"/>
      <c r="R48" s="3633"/>
      <c r="S48" s="3628"/>
      <c r="T48" s="1342"/>
      <c r="U48" s="1342"/>
      <c r="V48" s="1341"/>
      <c r="W48" s="1218"/>
      <c r="X48" s="1189"/>
      <c r="Y48" s="1189"/>
      <c r="Z48" s="1189"/>
      <c r="AA48" s="1189"/>
      <c r="AB48" s="1189"/>
      <c r="AC48" s="1189" t="s">
        <v>238</v>
      </c>
      <c r="AD48" s="1189" t="s">
        <v>239</v>
      </c>
      <c r="AE48" s="1189" t="s">
        <v>240</v>
      </c>
      <c r="AF48" s="1189" t="s">
        <v>241</v>
      </c>
      <c r="AG48" s="1189" t="s">
        <v>242</v>
      </c>
      <c r="AH48" s="1189" t="str">
        <f>IF($E$48=0,"",$E$48)</f>
        <v>Плата за услуги по поддержанию резервной тепловой мощности при отсутствии потребления тепловой энергии</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65">
        <f>$I$48</f>
        <v>0</v>
      </c>
      <c r="AO48" s="1189" t="str">
        <f>$I$48&amp;"."&amp;$M$48</f>
        <v>.</v>
      </c>
      <c r="AP48" s="1181" t="str">
        <f>$I$48&amp;"."&amp;$M$48&amp;"."&amp;$Q$48</f>
        <v>..</v>
      </c>
      <c r="AQ48" s="1181" t="str">
        <f>$I$48&amp;"."&amp;$M$48&amp;"."&amp;$Q$48&amp;"."&amp;$U$48</f>
        <v>...</v>
      </c>
      <c r="AR48" s="1230">
        <v>0</v>
      </c>
    </row>
    <row r="49" spans="1:44" s="1742" customFormat="1" ht="17.25" customHeight="1">
      <c r="A49" s="256"/>
      <c r="C49" s="255"/>
      <c r="D49" s="3658"/>
      <c r="E49" s="3661"/>
      <c r="F49" s="3637"/>
      <c r="G49" s="3661"/>
      <c r="H49" s="3640"/>
      <c r="I49" s="3642"/>
      <c r="J49" s="3644"/>
      <c r="K49" s="3629"/>
      <c r="L49" s="3629"/>
      <c r="M49" s="3629"/>
      <c r="N49" s="3631"/>
      <c r="O49" s="3629"/>
      <c r="P49" s="3629"/>
      <c r="Q49" s="3629"/>
      <c r="R49" s="3632"/>
      <c r="S49" s="3629"/>
      <c r="T49" s="1219"/>
      <c r="U49" s="1219"/>
      <c r="V49" s="1219"/>
      <c r="W49" s="1220"/>
      <c r="X49" s="1181"/>
      <c r="Y49" s="1181"/>
      <c r="Z49" s="1181"/>
      <c r="AA49" s="1181"/>
      <c r="AB49" s="1181"/>
      <c r="AC49" s="1181"/>
      <c r="AD49" s="1181"/>
      <c r="AE49" s="1181"/>
      <c r="AF49" s="1181"/>
      <c r="AG49" s="1181"/>
      <c r="AH49" s="1181"/>
      <c r="AI49" s="1181"/>
      <c r="AJ49" s="1181"/>
      <c r="AK49" s="1181"/>
      <c r="AL49" s="1181"/>
      <c r="AM49" s="1181"/>
      <c r="AN49" s="1181"/>
      <c r="AO49" s="1181"/>
      <c r="AP49" s="1181"/>
      <c r="AQ49" s="1181"/>
      <c r="AR49" s="1230">
        <v>0</v>
      </c>
    </row>
    <row r="50" spans="1:44" s="1742" customFormat="1" ht="17.25" customHeight="1">
      <c r="A50" s="256"/>
      <c r="C50" s="255"/>
      <c r="D50" s="3658"/>
      <c r="E50" s="3661"/>
      <c r="F50" s="3637"/>
      <c r="G50" s="3661"/>
      <c r="H50" s="3640"/>
      <c r="I50" s="3642"/>
      <c r="J50" s="3645"/>
      <c r="K50" s="3629"/>
      <c r="L50" s="3629"/>
      <c r="M50" s="3629"/>
      <c r="N50" s="3632"/>
      <c r="O50" s="3629"/>
      <c r="P50" s="1340"/>
      <c r="Q50" s="1219"/>
      <c r="R50" s="1219"/>
      <c r="S50" s="264"/>
      <c r="T50" s="264"/>
      <c r="U50" s="264"/>
      <c r="V50" s="264"/>
      <c r="W50" s="1220"/>
      <c r="X50" s="1181"/>
      <c r="Y50" s="1181"/>
      <c r="Z50" s="1181"/>
      <c r="AA50" s="1181"/>
      <c r="AB50" s="1181"/>
      <c r="AC50" s="1181"/>
      <c r="AD50" s="1181"/>
      <c r="AE50" s="1181"/>
      <c r="AF50" s="1181"/>
      <c r="AG50" s="1181"/>
      <c r="AH50" s="1181"/>
      <c r="AI50" s="1181"/>
      <c r="AJ50" s="1181"/>
      <c r="AK50" s="1181"/>
      <c r="AL50" s="1181"/>
      <c r="AM50" s="1181"/>
      <c r="AN50" s="1181"/>
      <c r="AO50" s="1181"/>
      <c r="AP50" s="1181"/>
      <c r="AQ50" s="1181"/>
      <c r="AR50" s="1230">
        <v>0</v>
      </c>
    </row>
    <row r="51" spans="1:44" s="1742" customFormat="1" ht="17.25" customHeight="1">
      <c r="A51" s="256"/>
      <c r="C51" s="144"/>
      <c r="D51" s="3658"/>
      <c r="E51" s="3661"/>
      <c r="F51" s="3637"/>
      <c r="G51" s="3661"/>
      <c r="H51" s="3640"/>
      <c r="I51" s="3642"/>
      <c r="J51" s="3645"/>
      <c r="K51" s="3629"/>
      <c r="L51" s="1219"/>
      <c r="M51" s="1219"/>
      <c r="N51" s="1219"/>
      <c r="O51" s="1219"/>
      <c r="P51" s="1219"/>
      <c r="Q51" s="1219"/>
      <c r="R51" s="1219"/>
      <c r="S51" s="264"/>
      <c r="T51" s="264"/>
      <c r="U51" s="264"/>
      <c r="V51" s="264"/>
      <c r="W51" s="1220"/>
      <c r="Y51" s="1189"/>
      <c r="Z51" s="1189"/>
      <c r="AA51" s="1189"/>
      <c r="AB51" s="1189"/>
      <c r="AC51" s="1189"/>
      <c r="AD51" s="1189"/>
      <c r="AE51" s="1189"/>
      <c r="AF51" s="1189"/>
      <c r="AG51" s="1189"/>
      <c r="AH51" s="1189"/>
      <c r="AI51" s="1189"/>
      <c r="AJ51" s="1189"/>
      <c r="AK51" s="1189"/>
      <c r="AL51" s="1189"/>
      <c r="AM51" s="1189"/>
      <c r="AN51" s="1189"/>
      <c r="AO51" s="1189"/>
      <c r="AP51" s="1189"/>
      <c r="AQ51" s="1189"/>
      <c r="AR51" s="1248">
        <v>0</v>
      </c>
    </row>
    <row r="52" spans="1:44" s="1742" customFormat="1" ht="17.25" customHeight="1">
      <c r="A52" s="256"/>
      <c r="C52" s="255"/>
      <c r="D52" s="3659"/>
      <c r="E52" s="3662"/>
      <c r="F52" s="3638"/>
      <c r="G52" s="3662"/>
      <c r="H52" s="1221"/>
      <c r="I52" s="1222"/>
      <c r="J52" s="1222"/>
      <c r="K52" s="1222"/>
      <c r="L52" s="1222"/>
      <c r="M52" s="1222"/>
      <c r="N52" s="1222"/>
      <c r="O52" s="1222"/>
      <c r="P52" s="1222"/>
      <c r="Q52" s="1222"/>
      <c r="R52" s="1222"/>
      <c r="S52" s="1223"/>
      <c r="T52" s="1223"/>
      <c r="U52" s="1223"/>
      <c r="V52" s="1223"/>
      <c r="W52" s="1224"/>
      <c r="X52" s="1181"/>
      <c r="Y52" s="1181"/>
      <c r="Z52" s="1181"/>
      <c r="AA52" s="1181"/>
      <c r="AB52" s="1181"/>
      <c r="AC52" s="1181"/>
      <c r="AD52" s="1181"/>
      <c r="AE52" s="1181"/>
      <c r="AF52" s="1181"/>
      <c r="AG52" s="1181"/>
      <c r="AH52" s="1181"/>
      <c r="AI52" s="1181"/>
      <c r="AJ52" s="1181"/>
      <c r="AK52" s="1181"/>
      <c r="AL52" s="1181"/>
      <c r="AM52" s="1181"/>
      <c r="AN52" s="1181"/>
      <c r="AO52" s="1181"/>
      <c r="AP52" s="1181"/>
      <c r="AQ52" s="1181"/>
      <c r="AR52" s="1230">
        <v>0</v>
      </c>
    </row>
    <row r="53" spans="1:44" s="1742" customFormat="1" ht="17.25" customHeight="1">
      <c r="A53" s="256"/>
      <c r="C53" s="144"/>
      <c r="D53" s="3626">
        <v>8</v>
      </c>
      <c r="E53" s="3634" t="s">
        <v>243</v>
      </c>
      <c r="F53" s="3636" t="s">
        <v>6</v>
      </c>
      <c r="G53" s="3634"/>
      <c r="H53" s="3639"/>
      <c r="I53" s="3641"/>
      <c r="J53" s="3643"/>
      <c r="K53" s="3628"/>
      <c r="L53" s="3628"/>
      <c r="M53" s="3628"/>
      <c r="N53" s="3630"/>
      <c r="O53" s="3628"/>
      <c r="P53" s="3628"/>
      <c r="Q53" s="3628"/>
      <c r="R53" s="3633"/>
      <c r="S53" s="3628"/>
      <c r="T53" s="1392"/>
      <c r="U53" s="1392"/>
      <c r="V53" s="1394"/>
      <c r="W53" s="1218"/>
      <c r="X53" s="1189"/>
      <c r="Y53" s="1189"/>
      <c r="Z53" s="1189"/>
      <c r="AA53" s="1189"/>
      <c r="AB53" s="1189"/>
      <c r="AC53" s="1189" t="s">
        <v>244</v>
      </c>
      <c r="AD53" s="1189" t="s">
        <v>245</v>
      </c>
      <c r="AE53" s="1189" t="s">
        <v>246</v>
      </c>
      <c r="AF53" s="1189" t="s">
        <v>247</v>
      </c>
      <c r="AG53" s="1189" t="s">
        <v>248</v>
      </c>
      <c r="AH53" s="1189" t="str">
        <f>IF($E$53=0,"",$E$53)</f>
        <v>Плата за подключение (технологическое присоединение) к системе теплоснабжения</v>
      </c>
      <c r="AI53" s="1189" t="str">
        <f>IF($G$53=0,"",$G$53)</f>
        <v/>
      </c>
      <c r="AJ53" s="1189" t="str">
        <f>IF($J$53=0,"",$J$53)</f>
        <v/>
      </c>
      <c r="AK53" s="1189" t="str">
        <f>IF($K$53="нет","без дифференциации",IF($N$53=0,"",$N$53))</f>
        <v/>
      </c>
      <c r="AL53" s="1189" t="str">
        <f>IF($O$53="нет","без дифференциации",IF($R$53=0,"",$R$53))</f>
        <v/>
      </c>
      <c r="AM53" s="1189" t="str">
        <f>IF($S$53="нет","без дифференциации",IF($V$53=0,"",$V$53))</f>
        <v/>
      </c>
      <c r="AN53" s="1665">
        <f>$I$53</f>
        <v>0</v>
      </c>
      <c r="AO53" s="1189" t="str">
        <f>$I$53&amp;"."&amp;$M$53</f>
        <v>.</v>
      </c>
      <c r="AP53" s="1181" t="str">
        <f>$I$53&amp;"."&amp;$M$53&amp;"."&amp;$Q$53</f>
        <v>..</v>
      </c>
      <c r="AQ53" s="1181" t="str">
        <f>$I$53&amp;"."&amp;$M$53&amp;"."&amp;$Q$53&amp;"."&amp;$U$53</f>
        <v>...</v>
      </c>
      <c r="AR53" s="1230">
        <v>0</v>
      </c>
    </row>
    <row r="54" spans="1:44" s="1742" customFormat="1" ht="17.25" customHeight="1">
      <c r="A54" s="256"/>
      <c r="C54" s="255"/>
      <c r="D54" s="3626"/>
      <c r="E54" s="3634"/>
      <c r="F54" s="3637"/>
      <c r="G54" s="3634"/>
      <c r="H54" s="3640"/>
      <c r="I54" s="3642"/>
      <c r="J54" s="3644"/>
      <c r="K54" s="3629"/>
      <c r="L54" s="3629"/>
      <c r="M54" s="3629"/>
      <c r="N54" s="3631"/>
      <c r="O54" s="3629"/>
      <c r="P54" s="3629"/>
      <c r="Q54" s="3629"/>
      <c r="R54" s="3632"/>
      <c r="S54" s="3629"/>
      <c r="T54" s="1219"/>
      <c r="U54" s="1219"/>
      <c r="V54" s="1219"/>
      <c r="W54" s="1220"/>
      <c r="X54" s="1181"/>
      <c r="Y54" s="1181"/>
      <c r="Z54" s="1181"/>
      <c r="AA54" s="1181"/>
      <c r="AB54" s="1181"/>
      <c r="AC54" s="1181"/>
      <c r="AD54" s="1181"/>
      <c r="AE54" s="1181"/>
      <c r="AF54" s="1181"/>
      <c r="AG54" s="1181"/>
      <c r="AH54" s="1181"/>
      <c r="AI54" s="1181"/>
      <c r="AJ54" s="1181"/>
      <c r="AK54" s="1181"/>
      <c r="AL54" s="1181"/>
      <c r="AM54" s="1181"/>
      <c r="AN54" s="1181"/>
      <c r="AO54" s="1181"/>
      <c r="AP54" s="1181"/>
      <c r="AQ54" s="1181"/>
      <c r="AR54" s="1230">
        <v>0</v>
      </c>
    </row>
    <row r="55" spans="1:44" s="1742" customFormat="1" ht="17.25" customHeight="1">
      <c r="A55" s="256"/>
      <c r="C55" s="255"/>
      <c r="D55" s="3627"/>
      <c r="E55" s="3635"/>
      <c r="F55" s="3637"/>
      <c r="G55" s="3635"/>
      <c r="H55" s="3640"/>
      <c r="I55" s="3642"/>
      <c r="J55" s="3645"/>
      <c r="K55" s="3629"/>
      <c r="L55" s="3629"/>
      <c r="M55" s="3629"/>
      <c r="N55" s="3632"/>
      <c r="O55" s="3629"/>
      <c r="P55" s="1393"/>
      <c r="Q55" s="1219"/>
      <c r="R55" s="1219"/>
      <c r="S55" s="264"/>
      <c r="T55" s="264"/>
      <c r="U55" s="264"/>
      <c r="V55" s="264"/>
      <c r="W55" s="1220"/>
      <c r="X55" s="1181"/>
      <c r="Y55" s="1181"/>
      <c r="Z55" s="1181"/>
      <c r="AA55" s="1181"/>
      <c r="AB55" s="1181"/>
      <c r="AC55" s="1181"/>
      <c r="AD55" s="1181"/>
      <c r="AE55" s="1181"/>
      <c r="AF55" s="1181"/>
      <c r="AG55" s="1181"/>
      <c r="AH55" s="1181"/>
      <c r="AI55" s="1181"/>
      <c r="AJ55" s="1181"/>
      <c r="AK55" s="1181"/>
      <c r="AL55" s="1181"/>
      <c r="AM55" s="1181"/>
      <c r="AN55" s="1181"/>
      <c r="AO55" s="1181"/>
      <c r="AP55" s="1181"/>
      <c r="AQ55" s="1181"/>
      <c r="AR55" s="1230">
        <v>0</v>
      </c>
    </row>
    <row r="56" spans="1:44" s="1742" customFormat="1" ht="17.25" customHeight="1">
      <c r="A56" s="256"/>
      <c r="C56" s="144"/>
      <c r="D56" s="3627"/>
      <c r="E56" s="3635"/>
      <c r="F56" s="3637"/>
      <c r="G56" s="3635"/>
      <c r="H56" s="3640"/>
      <c r="I56" s="3642"/>
      <c r="J56" s="3645"/>
      <c r="K56" s="3629"/>
      <c r="L56" s="1219"/>
      <c r="M56" s="1219"/>
      <c r="N56" s="1219"/>
      <c r="O56" s="1219"/>
      <c r="P56" s="1219"/>
      <c r="Q56" s="1219"/>
      <c r="R56" s="1219"/>
      <c r="S56" s="264"/>
      <c r="T56" s="264"/>
      <c r="U56" s="264"/>
      <c r="V56" s="264"/>
      <c r="W56" s="1220"/>
      <c r="Y56" s="1189"/>
      <c r="Z56" s="1189"/>
      <c r="AA56" s="1189"/>
      <c r="AB56" s="1189"/>
      <c r="AC56" s="1189"/>
      <c r="AD56" s="1189"/>
      <c r="AE56" s="1189"/>
      <c r="AF56" s="1189"/>
      <c r="AG56" s="1189"/>
      <c r="AH56" s="1189"/>
      <c r="AI56" s="1189"/>
      <c r="AJ56" s="1189"/>
      <c r="AK56" s="1189"/>
      <c r="AL56" s="1189"/>
      <c r="AM56" s="1189"/>
      <c r="AN56" s="1189"/>
      <c r="AO56" s="1189"/>
      <c r="AP56" s="1189"/>
      <c r="AQ56" s="1189"/>
      <c r="AR56" s="1248">
        <v>0</v>
      </c>
    </row>
    <row r="57" spans="1:44" s="1742" customFormat="1" ht="17.25" customHeight="1">
      <c r="A57" s="256"/>
      <c r="C57" s="255"/>
      <c r="D57" s="3627"/>
      <c r="E57" s="3635"/>
      <c r="F57" s="3638"/>
      <c r="G57" s="3635"/>
      <c r="H57" s="1221"/>
      <c r="I57" s="1222"/>
      <c r="J57" s="1222"/>
      <c r="K57" s="1222"/>
      <c r="L57" s="1222"/>
      <c r="M57" s="1222"/>
      <c r="N57" s="1222"/>
      <c r="O57" s="1222"/>
      <c r="P57" s="1222"/>
      <c r="Q57" s="1222"/>
      <c r="R57" s="1222"/>
      <c r="S57" s="1223"/>
      <c r="T57" s="1223"/>
      <c r="U57" s="1223"/>
      <c r="V57" s="1223"/>
      <c r="W57" s="1224"/>
      <c r="X57" s="1181"/>
      <c r="Y57" s="1181"/>
      <c r="Z57" s="1181"/>
      <c r="AA57" s="1181"/>
      <c r="AB57" s="1181"/>
      <c r="AC57" s="1181"/>
      <c r="AD57" s="1181"/>
      <c r="AE57" s="1181"/>
      <c r="AF57" s="1181"/>
      <c r="AG57" s="1181"/>
      <c r="AH57" s="1181"/>
      <c r="AI57" s="1181"/>
      <c r="AJ57" s="1181"/>
      <c r="AK57" s="1181"/>
      <c r="AL57" s="1181"/>
      <c r="AM57" s="1181"/>
      <c r="AN57" s="1181"/>
      <c r="AO57" s="1181"/>
      <c r="AP57" s="1181"/>
      <c r="AQ57" s="1181"/>
      <c r="AR57" s="1230">
        <v>0</v>
      </c>
    </row>
    <row r="58" spans="1:44" s="1742" customFormat="1" ht="17.25" customHeight="1">
      <c r="A58" s="256"/>
      <c r="C58" s="144"/>
      <c r="D58" s="3626">
        <v>9</v>
      </c>
      <c r="E58" s="3634" t="s">
        <v>249</v>
      </c>
      <c r="F58" s="3636" t="s">
        <v>6</v>
      </c>
      <c r="G58" s="3634"/>
      <c r="H58" s="3639"/>
      <c r="I58" s="3641"/>
      <c r="J58" s="3643"/>
      <c r="K58" s="3628"/>
      <c r="L58" s="3628"/>
      <c r="M58" s="3628"/>
      <c r="N58" s="3630"/>
      <c r="O58" s="3628"/>
      <c r="P58" s="3628"/>
      <c r="Q58" s="3628"/>
      <c r="R58" s="3633"/>
      <c r="S58" s="3628"/>
      <c r="T58" s="1817"/>
      <c r="U58" s="1817"/>
      <c r="V58" s="1819"/>
      <c r="W58" s="1218"/>
      <c r="X58" s="1189"/>
      <c r="Y58" s="1189"/>
      <c r="Z58" s="1189"/>
      <c r="AA58" s="1189"/>
      <c r="AB58" s="1189"/>
      <c r="AC58" s="1189" t="s">
        <v>250</v>
      </c>
      <c r="AD58" s="1189" t="s">
        <v>251</v>
      </c>
      <c r="AE58" s="1189" t="s">
        <v>252</v>
      </c>
      <c r="AF58" s="1189" t="s">
        <v>253</v>
      </c>
      <c r="AG58" s="1189" t="s">
        <v>254</v>
      </c>
      <c r="AH58" s="1189" t="str">
        <f>IF($E$58=0,"",$E$58)</f>
        <v>Плата за подключение (технологическое присоединение) к системе теплоснабжения (индивидуальная)</v>
      </c>
      <c r="AI58" s="1189" t="str">
        <f>IF($G$58=0,"",$G$58)</f>
        <v/>
      </c>
      <c r="AJ58" s="1189" t="str">
        <f>IF($J$58=0,"",$J$58)</f>
        <v/>
      </c>
      <c r="AK58" s="1189" t="str">
        <f>IF($K$58="нет","без дифференциации",IF($N$58=0,"",$N$58))</f>
        <v/>
      </c>
      <c r="AL58" s="1189" t="str">
        <f>IF($O$58="нет","без дифференциации",IF($R$58=0,"",$R$58))</f>
        <v/>
      </c>
      <c r="AM58" s="1189" t="str">
        <f>IF($S$58="нет","без дифференциации",IF($V$58=0,"",$V$58))</f>
        <v/>
      </c>
      <c r="AN58" s="1665">
        <f>$I$58</f>
        <v>0</v>
      </c>
      <c r="AO58" s="1189" t="str">
        <f>$I$58&amp;"."&amp;$M$58</f>
        <v>.</v>
      </c>
      <c r="AP58" s="1188" t="str">
        <f>$I$58&amp;"."&amp;$M$58&amp;"."&amp;$Q$58</f>
        <v>..</v>
      </c>
      <c r="AQ58" s="1188" t="str">
        <f>$I$58&amp;"."&amp;$M$58&amp;"."&amp;$Q$58&amp;"."&amp;$U$58</f>
        <v>...</v>
      </c>
      <c r="AR58" s="1389">
        <v>0</v>
      </c>
    </row>
    <row r="59" spans="1:44" s="1742" customFormat="1" ht="17.25" customHeight="1">
      <c r="A59" s="256"/>
      <c r="C59" s="255"/>
      <c r="D59" s="3626"/>
      <c r="E59" s="3634"/>
      <c r="F59" s="3637"/>
      <c r="G59" s="3634"/>
      <c r="H59" s="3640"/>
      <c r="I59" s="3642"/>
      <c r="J59" s="3644"/>
      <c r="K59" s="3629"/>
      <c r="L59" s="3629"/>
      <c r="M59" s="3629"/>
      <c r="N59" s="3631"/>
      <c r="O59" s="3629"/>
      <c r="P59" s="3629"/>
      <c r="Q59" s="3629"/>
      <c r="R59" s="3632"/>
      <c r="S59" s="3629"/>
      <c r="T59" s="1820"/>
      <c r="U59" s="1820"/>
      <c r="V59" s="1820"/>
      <c r="W59" s="1821"/>
      <c r="X59" s="1188"/>
      <c r="Y59" s="1188"/>
      <c r="Z59" s="1188"/>
      <c r="AA59" s="1188"/>
      <c r="AB59" s="1188"/>
      <c r="AC59" s="1188"/>
      <c r="AD59" s="1188"/>
      <c r="AE59" s="1188"/>
      <c r="AF59" s="1188"/>
      <c r="AG59" s="1188"/>
      <c r="AH59" s="1188"/>
      <c r="AI59" s="1188"/>
      <c r="AJ59" s="1188"/>
      <c r="AK59" s="1188"/>
      <c r="AL59" s="1188"/>
      <c r="AM59" s="1188"/>
      <c r="AN59" s="1188"/>
      <c r="AO59" s="1188"/>
      <c r="AP59" s="1188"/>
      <c r="AQ59" s="1188"/>
      <c r="AR59" s="1389">
        <v>0</v>
      </c>
    </row>
    <row r="60" spans="1:44" s="1742" customFormat="1" ht="17.25" customHeight="1">
      <c r="A60" s="256"/>
      <c r="C60" s="255"/>
      <c r="D60" s="3627"/>
      <c r="E60" s="3635"/>
      <c r="F60" s="3637"/>
      <c r="G60" s="3635"/>
      <c r="H60" s="3640"/>
      <c r="I60" s="3642"/>
      <c r="J60" s="3645"/>
      <c r="K60" s="3629"/>
      <c r="L60" s="3629"/>
      <c r="M60" s="3629"/>
      <c r="N60" s="3632"/>
      <c r="O60" s="3629"/>
      <c r="P60" s="1818"/>
      <c r="Q60" s="1820"/>
      <c r="R60" s="1820"/>
      <c r="S60" s="264"/>
      <c r="T60" s="264"/>
      <c r="U60" s="264"/>
      <c r="V60" s="264"/>
      <c r="W60" s="1821"/>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389">
        <v>0</v>
      </c>
    </row>
    <row r="61" spans="1:44" s="1742" customFormat="1" ht="17.25" customHeight="1">
      <c r="A61" s="256"/>
      <c r="C61" s="144"/>
      <c r="D61" s="3627"/>
      <c r="E61" s="3635"/>
      <c r="F61" s="3637"/>
      <c r="G61" s="3635"/>
      <c r="H61" s="3640"/>
      <c r="I61" s="3642"/>
      <c r="J61" s="3645"/>
      <c r="K61" s="3629"/>
      <c r="L61" s="1820"/>
      <c r="M61" s="1820"/>
      <c r="N61" s="1820"/>
      <c r="O61" s="1820"/>
      <c r="P61" s="1820"/>
      <c r="Q61" s="1820"/>
      <c r="R61" s="1820"/>
      <c r="S61" s="264"/>
      <c r="T61" s="264"/>
      <c r="U61" s="264"/>
      <c r="V61" s="264"/>
      <c r="W61" s="1821"/>
      <c r="Y61" s="1189"/>
      <c r="Z61" s="1189"/>
      <c r="AA61" s="1189"/>
      <c r="AB61" s="1189"/>
      <c r="AC61" s="1189"/>
      <c r="AD61" s="1189"/>
      <c r="AE61" s="1189"/>
      <c r="AF61" s="1189"/>
      <c r="AG61" s="1189"/>
      <c r="AH61" s="1189"/>
      <c r="AI61" s="1189"/>
      <c r="AJ61" s="1189"/>
      <c r="AK61" s="1189"/>
      <c r="AL61" s="1189"/>
      <c r="AM61" s="1189"/>
      <c r="AN61" s="1189"/>
      <c r="AO61" s="1189"/>
      <c r="AP61" s="1189"/>
      <c r="AQ61" s="1189"/>
      <c r="AR61" s="1389">
        <v>0</v>
      </c>
    </row>
    <row r="62" spans="1:44" s="1742" customFormat="1" ht="17.25" customHeight="1">
      <c r="A62" s="256"/>
      <c r="C62" s="255"/>
      <c r="D62" s="3627"/>
      <c r="E62" s="3635"/>
      <c r="F62" s="3638"/>
      <c r="G62" s="3635"/>
      <c r="H62" s="1221"/>
      <c r="I62" s="1822"/>
      <c r="J62" s="1822"/>
      <c r="K62" s="1822"/>
      <c r="L62" s="1822"/>
      <c r="M62" s="1822"/>
      <c r="N62" s="1822"/>
      <c r="O62" s="1822"/>
      <c r="P62" s="1822"/>
      <c r="Q62" s="1822"/>
      <c r="R62" s="1822"/>
      <c r="S62" s="1223"/>
      <c r="T62" s="1223"/>
      <c r="U62" s="1223"/>
      <c r="V62" s="1223"/>
      <c r="W62" s="1823"/>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389">
        <v>0</v>
      </c>
    </row>
    <row r="63" spans="1:44" s="1742" customFormat="1" ht="17.25" customHeight="1">
      <c r="A63" s="256"/>
      <c r="C63" s="144"/>
      <c r="D63" s="3626">
        <v>10</v>
      </c>
      <c r="E63" s="3634" t="s">
        <v>255</v>
      </c>
      <c r="F63" s="3636" t="s">
        <v>6</v>
      </c>
      <c r="G63" s="3634"/>
      <c r="H63" s="3639"/>
      <c r="I63" s="3641"/>
      <c r="J63" s="3643"/>
      <c r="K63" s="3628"/>
      <c r="L63" s="3628"/>
      <c r="M63" s="3628"/>
      <c r="N63" s="3630"/>
      <c r="O63" s="3628"/>
      <c r="P63" s="3628"/>
      <c r="Q63" s="3628"/>
      <c r="R63" s="3633"/>
      <c r="S63" s="3628"/>
      <c r="T63" s="1817"/>
      <c r="U63" s="1817"/>
      <c r="V63" s="1819"/>
      <c r="W63" s="1218"/>
      <c r="X63" s="1189"/>
      <c r="Y63" s="1189"/>
      <c r="Z63" s="1189"/>
      <c r="AA63" s="1189"/>
      <c r="AB63" s="1189"/>
      <c r="AC63" s="1189" t="s">
        <v>256</v>
      </c>
      <c r="AD63" s="1189" t="s">
        <v>257</v>
      </c>
      <c r="AE63" s="1189" t="s">
        <v>258</v>
      </c>
      <c r="AF63" s="1189" t="s">
        <v>259</v>
      </c>
      <c r="AG63" s="1189" t="s">
        <v>260</v>
      </c>
      <c r="AH63" s="1189" t="str">
        <f>IF($E$63=0,"",$E$63)</f>
        <v>Предельный уровень цены на тепловую энергию (мощность), поставляемую теплоснабжающими организациями потребителям</v>
      </c>
      <c r="AI63" s="1189" t="str">
        <f>IF($G$63=0,"",$G$63)</f>
        <v/>
      </c>
      <c r="AJ63" s="1189" t="str">
        <f>IF($J$63=0,"",$J$63)</f>
        <v/>
      </c>
      <c r="AK63" s="1189" t="str">
        <f>IF($K$63="нет","без дифференциации",IF($N$63=0,"",$N$63))</f>
        <v/>
      </c>
      <c r="AL63" s="1189" t="str">
        <f>IF($O$63="нет","без дифференциации",IF($R$63=0,"",$R$63))</f>
        <v/>
      </c>
      <c r="AM63" s="1189" t="str">
        <f>IF($S$63="нет","без дифференциации",IF($V$63=0,"",$V$63))</f>
        <v/>
      </c>
      <c r="AN63" s="1665">
        <f>$I$63</f>
        <v>0</v>
      </c>
      <c r="AO63" s="1189" t="str">
        <f>$I$63&amp;"."&amp;$M$63</f>
        <v>.</v>
      </c>
      <c r="AP63" s="1188" t="str">
        <f>$I$63&amp;"."&amp;$M$63&amp;"."&amp;$Q$63</f>
        <v>..</v>
      </c>
      <c r="AQ63" s="1188" t="str">
        <f>$I$63&amp;"."&amp;$M$63&amp;"."&amp;$Q$63&amp;"."&amp;$U$63</f>
        <v>...</v>
      </c>
      <c r="AR63" s="1389">
        <v>0</v>
      </c>
    </row>
    <row r="64" spans="1:44" s="1742" customFormat="1" ht="17.25" customHeight="1">
      <c r="A64" s="256"/>
      <c r="C64" s="255"/>
      <c r="D64" s="3626"/>
      <c r="E64" s="3634"/>
      <c r="F64" s="3637"/>
      <c r="G64" s="3634"/>
      <c r="H64" s="3640"/>
      <c r="I64" s="3642"/>
      <c r="J64" s="3644"/>
      <c r="K64" s="3629"/>
      <c r="L64" s="3629"/>
      <c r="M64" s="3629"/>
      <c r="N64" s="3631"/>
      <c r="O64" s="3629"/>
      <c r="P64" s="3629"/>
      <c r="Q64" s="3629"/>
      <c r="R64" s="3632"/>
      <c r="S64" s="3629"/>
      <c r="T64" s="1820"/>
      <c r="U64" s="1820"/>
      <c r="V64" s="1820"/>
      <c r="W64" s="1821"/>
      <c r="X64" s="1188"/>
      <c r="Y64" s="1188"/>
      <c r="Z64" s="1188"/>
      <c r="AA64" s="1188"/>
      <c r="AB64" s="1188"/>
      <c r="AC64" s="1188"/>
      <c r="AD64" s="1188"/>
      <c r="AE64" s="1188"/>
      <c r="AF64" s="1188"/>
      <c r="AG64" s="1188"/>
      <c r="AH64" s="1188"/>
      <c r="AI64" s="1188"/>
      <c r="AJ64" s="1188"/>
      <c r="AK64" s="1188"/>
      <c r="AL64" s="1188"/>
      <c r="AM64" s="1188"/>
      <c r="AN64" s="1188"/>
      <c r="AO64" s="1188"/>
      <c r="AP64" s="1188"/>
      <c r="AQ64" s="1188"/>
      <c r="AR64" s="1389">
        <v>0</v>
      </c>
    </row>
    <row r="65" spans="1:44" s="1742" customFormat="1" ht="17.25" customHeight="1">
      <c r="A65" s="256"/>
      <c r="C65" s="255"/>
      <c r="D65" s="3627"/>
      <c r="E65" s="3635"/>
      <c r="F65" s="3637"/>
      <c r="G65" s="3635"/>
      <c r="H65" s="3640"/>
      <c r="I65" s="3642"/>
      <c r="J65" s="3645"/>
      <c r="K65" s="3629"/>
      <c r="L65" s="3629"/>
      <c r="M65" s="3629"/>
      <c r="N65" s="3632"/>
      <c r="O65" s="3629"/>
      <c r="P65" s="1818"/>
      <c r="Q65" s="1820"/>
      <c r="R65" s="1820"/>
      <c r="S65" s="264"/>
      <c r="T65" s="264"/>
      <c r="U65" s="264"/>
      <c r="V65" s="264"/>
      <c r="W65" s="1821"/>
      <c r="X65" s="1188"/>
      <c r="Y65" s="1188"/>
      <c r="Z65" s="1188"/>
      <c r="AA65" s="1188"/>
      <c r="AB65" s="1188"/>
      <c r="AC65" s="1188"/>
      <c r="AD65" s="1188"/>
      <c r="AE65" s="1188"/>
      <c r="AF65" s="1188"/>
      <c r="AG65" s="1188"/>
      <c r="AH65" s="1188"/>
      <c r="AI65" s="1188"/>
      <c r="AJ65" s="1188"/>
      <c r="AK65" s="1188"/>
      <c r="AL65" s="1188"/>
      <c r="AM65" s="1188"/>
      <c r="AN65" s="1188"/>
      <c r="AO65" s="1188"/>
      <c r="AP65" s="1188"/>
      <c r="AQ65" s="1188"/>
      <c r="AR65" s="1389">
        <v>0</v>
      </c>
    </row>
    <row r="66" spans="1:44" s="1742" customFormat="1" ht="17.25" customHeight="1">
      <c r="A66" s="256"/>
      <c r="C66" s="144"/>
      <c r="D66" s="3627"/>
      <c r="E66" s="3635"/>
      <c r="F66" s="3637"/>
      <c r="G66" s="3635"/>
      <c r="H66" s="3640"/>
      <c r="I66" s="3642"/>
      <c r="J66" s="3645"/>
      <c r="K66" s="3629"/>
      <c r="L66" s="1820"/>
      <c r="M66" s="1820"/>
      <c r="N66" s="1820"/>
      <c r="O66" s="1820"/>
      <c r="P66" s="1820"/>
      <c r="Q66" s="1820"/>
      <c r="R66" s="1820"/>
      <c r="S66" s="264"/>
      <c r="T66" s="264"/>
      <c r="U66" s="264"/>
      <c r="V66" s="264"/>
      <c r="W66" s="1821"/>
      <c r="Y66" s="1189"/>
      <c r="Z66" s="1189"/>
      <c r="AA66" s="1189"/>
      <c r="AB66" s="1189"/>
      <c r="AC66" s="1189"/>
      <c r="AD66" s="1189"/>
      <c r="AE66" s="1189"/>
      <c r="AF66" s="1189"/>
      <c r="AG66" s="1189"/>
      <c r="AH66" s="1189"/>
      <c r="AI66" s="1189"/>
      <c r="AJ66" s="1189"/>
      <c r="AK66" s="1189"/>
      <c r="AL66" s="1189"/>
      <c r="AM66" s="1189"/>
      <c r="AN66" s="1189"/>
      <c r="AO66" s="1189"/>
      <c r="AP66" s="1189"/>
      <c r="AQ66" s="1189"/>
      <c r="AR66" s="1389">
        <v>0</v>
      </c>
    </row>
    <row r="67" spans="1:44" s="1742" customFormat="1" ht="17.25" customHeight="1">
      <c r="A67" s="256"/>
      <c r="C67" s="255"/>
      <c r="D67" s="3627"/>
      <c r="E67" s="3635"/>
      <c r="F67" s="3638"/>
      <c r="G67" s="3635"/>
      <c r="H67" s="1221"/>
      <c r="I67" s="1822"/>
      <c r="J67" s="1822"/>
      <c r="K67" s="1822"/>
      <c r="L67" s="1822"/>
      <c r="M67" s="1822"/>
      <c r="N67" s="1822"/>
      <c r="O67" s="1822"/>
      <c r="P67" s="1822"/>
      <c r="Q67" s="1822"/>
      <c r="R67" s="1822"/>
      <c r="S67" s="1223"/>
      <c r="T67" s="1223"/>
      <c r="U67" s="1223"/>
      <c r="V67" s="1223"/>
      <c r="W67" s="1823"/>
      <c r="X67" s="1188"/>
      <c r="Y67" s="1188"/>
      <c r="Z67" s="1188"/>
      <c r="AA67" s="1188"/>
      <c r="AB67" s="1188"/>
      <c r="AC67" s="1188"/>
      <c r="AD67" s="1188"/>
      <c r="AE67" s="1188"/>
      <c r="AF67" s="1188"/>
      <c r="AG67" s="1188"/>
      <c r="AH67" s="1188"/>
      <c r="AI67" s="1188"/>
      <c r="AJ67" s="1188"/>
      <c r="AK67" s="1188"/>
      <c r="AL67" s="1188"/>
      <c r="AM67" s="1188"/>
      <c r="AN67" s="1188"/>
      <c r="AO67" s="1188"/>
      <c r="AP67" s="1188"/>
      <c r="AQ67" s="1188"/>
      <c r="AR67" s="1389">
        <v>0</v>
      </c>
    </row>
    <row r="68" spans="1:44" ht="11.25" customHeight="1">
      <c r="AR68" s="43">
        <v>0</v>
      </c>
    </row>
    <row r="69" spans="1:44" ht="11.25" customHeight="1">
      <c r="E69" s="3665" t="s">
        <v>261</v>
      </c>
      <c r="F69" s="3665"/>
      <c r="G69" s="3665"/>
      <c r="H69" s="3665"/>
      <c r="I69" s="3665"/>
      <c r="J69" s="3665"/>
      <c r="K69" s="3665"/>
      <c r="L69" s="3665"/>
      <c r="M69" s="3665"/>
      <c r="N69" s="3665"/>
      <c r="O69" s="3665"/>
      <c r="P69" s="3665"/>
      <c r="Q69" s="3665"/>
      <c r="R69" s="3665"/>
      <c r="S69" s="3665"/>
      <c r="T69" s="3665"/>
      <c r="U69" s="3665"/>
      <c r="V69" s="3665"/>
      <c r="W69" s="3665"/>
      <c r="AR69" s="43">
        <v>0</v>
      </c>
    </row>
    <row r="70" spans="1:44" ht="36.75" customHeight="1">
      <c r="E70" s="3663" t="s">
        <v>262</v>
      </c>
      <c r="F70" s="3663"/>
      <c r="G70" s="3664"/>
      <c r="H70" s="3664"/>
      <c r="I70" s="3664"/>
      <c r="J70" s="3664"/>
      <c r="K70" s="3664"/>
      <c r="L70" s="3664"/>
      <c r="M70" s="3664"/>
      <c r="N70" s="3664"/>
      <c r="O70" s="3664"/>
      <c r="P70" s="3664"/>
      <c r="Q70" s="3664"/>
      <c r="R70" s="3664"/>
      <c r="S70" s="3664"/>
      <c r="T70" s="3664"/>
      <c r="U70" s="3664"/>
      <c r="V70" s="3664"/>
      <c r="W70" s="3664"/>
      <c r="AR70" s="43">
        <v>0</v>
      </c>
    </row>
    <row r="71" spans="1:44" ht="28.5" customHeight="1">
      <c r="E71" s="3663" t="s">
        <v>263</v>
      </c>
      <c r="F71" s="3663"/>
      <c r="G71" s="3664"/>
      <c r="H71" s="3664"/>
      <c r="I71" s="3664"/>
      <c r="J71" s="3664"/>
      <c r="K71" s="3664"/>
      <c r="L71" s="3664"/>
      <c r="M71" s="3664"/>
      <c r="N71" s="3664"/>
      <c r="O71" s="3664"/>
      <c r="P71" s="3664"/>
      <c r="Q71" s="3664"/>
      <c r="R71" s="3664"/>
      <c r="S71" s="3664"/>
      <c r="T71" s="3664"/>
      <c r="U71" s="3664"/>
      <c r="V71" s="3664"/>
      <c r="W71" s="3664"/>
      <c r="AR71" s="43">
        <v>0</v>
      </c>
    </row>
    <row r="72" spans="1:44" ht="27" customHeight="1">
      <c r="E72" s="3663" t="s">
        <v>264</v>
      </c>
      <c r="F72" s="3663"/>
      <c r="G72" s="3664"/>
      <c r="H72" s="3664"/>
      <c r="I72" s="3664"/>
      <c r="J72" s="3664"/>
      <c r="K72" s="3664"/>
      <c r="L72" s="3664"/>
      <c r="M72" s="3664"/>
      <c r="N72" s="3664"/>
      <c r="O72" s="3664"/>
      <c r="P72" s="3664"/>
      <c r="Q72" s="3664"/>
      <c r="R72" s="3664"/>
      <c r="S72" s="3664"/>
      <c r="T72" s="3664"/>
      <c r="U72" s="3664"/>
      <c r="V72" s="3664"/>
      <c r="W72" s="3664"/>
      <c r="AR72" s="43">
        <v>0</v>
      </c>
    </row>
    <row r="73" spans="1:44" ht="17.25" customHeight="1">
      <c r="E73" s="3663" t="s">
        <v>265</v>
      </c>
      <c r="F73" s="3663"/>
      <c r="G73" s="3664"/>
      <c r="H73" s="3664"/>
      <c r="I73" s="3664"/>
      <c r="J73" s="3664"/>
      <c r="K73" s="3664"/>
      <c r="L73" s="3664"/>
      <c r="M73" s="3664"/>
      <c r="N73" s="3664"/>
      <c r="O73" s="3664"/>
      <c r="P73" s="3664"/>
      <c r="Q73" s="3664"/>
      <c r="R73" s="3664"/>
      <c r="S73" s="3664"/>
      <c r="T73" s="3664"/>
      <c r="U73" s="3664"/>
      <c r="V73" s="3664"/>
      <c r="W73" s="3664"/>
      <c r="AR73" s="43">
        <v>0</v>
      </c>
    </row>
    <row r="74" spans="1:44" ht="15" customHeight="1">
      <c r="E74" s="275"/>
      <c r="F74" s="1207"/>
      <c r="G74" s="92"/>
      <c r="H74" s="92"/>
      <c r="I74" s="92"/>
      <c r="J74" s="92"/>
      <c r="K74" s="92"/>
      <c r="L74" s="92"/>
      <c r="M74" s="92"/>
      <c r="N74" s="92"/>
      <c r="O74" s="92"/>
      <c r="P74" s="92"/>
      <c r="Q74" s="92"/>
      <c r="R74" s="92"/>
      <c r="S74" s="92"/>
      <c r="T74" s="92"/>
      <c r="U74" s="92"/>
      <c r="V74" s="92"/>
      <c r="W74" s="92"/>
      <c r="AR74" s="43">
        <v>0</v>
      </c>
    </row>
    <row r="75" spans="1:44" ht="15" customHeight="1">
      <c r="E75" s="3665" t="s">
        <v>266</v>
      </c>
      <c r="F75" s="3665"/>
      <c r="G75" s="3665"/>
      <c r="H75" s="3665"/>
      <c r="I75" s="3665"/>
      <c r="J75" s="3665"/>
      <c r="K75" s="3665"/>
      <c r="L75" s="3665"/>
      <c r="M75" s="3665"/>
      <c r="N75" s="3665"/>
      <c r="O75" s="3665"/>
      <c r="P75" s="3665"/>
      <c r="Q75" s="3665"/>
      <c r="R75" s="3665"/>
      <c r="S75" s="3665"/>
      <c r="T75" s="3665"/>
      <c r="U75" s="3665"/>
      <c r="V75" s="3665"/>
      <c r="W75" s="3665"/>
      <c r="AR75" s="43">
        <v>0</v>
      </c>
    </row>
    <row r="76" spans="1:44" ht="17.25" customHeight="1">
      <c r="E76" s="3663" t="s">
        <v>267</v>
      </c>
      <c r="F76" s="3663"/>
      <c r="G76" s="3664"/>
      <c r="H76" s="3664"/>
      <c r="I76" s="3664"/>
      <c r="J76" s="3664"/>
      <c r="K76" s="3664"/>
      <c r="L76" s="3664"/>
      <c r="M76" s="3664"/>
      <c r="N76" s="3664"/>
      <c r="O76" s="3664"/>
      <c r="P76" s="3664"/>
      <c r="Q76" s="3664"/>
      <c r="R76" s="3664"/>
      <c r="S76" s="3664"/>
      <c r="T76" s="3664"/>
      <c r="U76" s="3664"/>
      <c r="V76" s="3664"/>
      <c r="W76" s="3664"/>
      <c r="AR76" s="43">
        <v>0</v>
      </c>
    </row>
    <row r="77" spans="1:44" ht="17.25" customHeight="1">
      <c r="E77" s="3663" t="s">
        <v>268</v>
      </c>
      <c r="F77" s="3663"/>
      <c r="G77" s="3664"/>
      <c r="H77" s="3664"/>
      <c r="I77" s="3664"/>
      <c r="J77" s="3664"/>
      <c r="K77" s="3664"/>
      <c r="L77" s="3664"/>
      <c r="M77" s="3664"/>
      <c r="N77" s="3664"/>
      <c r="O77" s="3664"/>
      <c r="P77" s="3664"/>
      <c r="Q77" s="3664"/>
      <c r="R77" s="3664"/>
      <c r="S77" s="3664"/>
      <c r="T77" s="3664"/>
      <c r="U77" s="3664"/>
      <c r="V77" s="3664"/>
      <c r="W77" s="3664"/>
      <c r="AR77" s="43">
        <v>0</v>
      </c>
    </row>
    <row r="78" spans="1:44" s="1742" customFormat="1" ht="11.25" customHeight="1">
      <c r="A78" s="212"/>
      <c r="B78" s="212"/>
      <c r="Y78" s="1181"/>
      <c r="Z78" s="1181"/>
      <c r="AA78" s="1181"/>
      <c r="AB78" s="1181"/>
      <c r="AC78" s="1181"/>
      <c r="AD78" s="1181"/>
      <c r="AE78" s="1181"/>
      <c r="AF78" s="1181"/>
      <c r="AG78" s="1181"/>
      <c r="AH78" s="1181"/>
      <c r="AI78" s="1181"/>
      <c r="AJ78" s="1181"/>
      <c r="AK78" s="1181"/>
      <c r="AL78" s="1181"/>
      <c r="AM78" s="1181"/>
      <c r="AN78" s="1181"/>
      <c r="AO78" s="1181"/>
      <c r="AP78" s="1181"/>
      <c r="AQ78" s="1181"/>
      <c r="AR78" s="1272">
        <v>0</v>
      </c>
    </row>
    <row r="79" spans="1:44" s="1742" customFormat="1" ht="17.25" customHeight="1">
      <c r="A79" s="256"/>
      <c r="C79" s="144"/>
      <c r="D79" s="3626">
        <v>1</v>
      </c>
      <c r="E79" s="3634" t="s">
        <v>269</v>
      </c>
      <c r="F79" s="3636" t="s">
        <v>6</v>
      </c>
      <c r="G79" s="3634"/>
      <c r="H79" s="3639"/>
      <c r="I79" s="3641"/>
      <c r="J79" s="3643"/>
      <c r="K79" s="3628"/>
      <c r="L79" s="3628"/>
      <c r="M79" s="3628"/>
      <c r="N79" s="3630"/>
      <c r="O79" s="3628"/>
      <c r="P79" s="3628"/>
      <c r="Q79" s="3628"/>
      <c r="R79" s="3633"/>
      <c r="S79" s="3628"/>
      <c r="T79" s="1392"/>
      <c r="U79" s="1392"/>
      <c r="V79" s="1394"/>
      <c r="W79" s="1218"/>
      <c r="Y79" s="1189"/>
      <c r="Z79" s="1189"/>
      <c r="AA79" s="1189"/>
      <c r="AB79" s="1189"/>
      <c r="AC79" s="1189" t="s">
        <v>270</v>
      </c>
      <c r="AD79" s="1189" t="s">
        <v>271</v>
      </c>
      <c r="AE79" s="1189" t="s">
        <v>272</v>
      </c>
      <c r="AF79" s="1189" t="s">
        <v>273</v>
      </c>
      <c r="AG79" s="1189"/>
      <c r="AH79" s="1189" t="str">
        <f>IF($E$79=0,"",$E$79)</f>
        <v>Тариф на питьевую воду (питьевое водоснабжение)</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189">
        <f>$I$79</f>
        <v>0</v>
      </c>
      <c r="AO79" s="1189" t="str">
        <f>$I$79&amp;"."&amp;$M$79</f>
        <v>.</v>
      </c>
      <c r="AP79" s="1189" t="str">
        <f>$I$79&amp;"."&amp;$M$79&amp;"."&amp;$Q$79</f>
        <v>..</v>
      </c>
      <c r="AQ79" s="1189" t="str">
        <f>$I$79&amp;"."&amp;$M$79&amp;"."&amp;$Q$79&amp;"."&amp;$U$79</f>
        <v>...</v>
      </c>
      <c r="AR79" s="1272">
        <v>0</v>
      </c>
    </row>
    <row r="80" spans="1:44" s="1742" customFormat="1" ht="17.25" customHeight="1">
      <c r="A80" s="256"/>
      <c r="C80" s="255"/>
      <c r="D80" s="3626"/>
      <c r="E80" s="3634"/>
      <c r="F80" s="3637"/>
      <c r="G80" s="3634"/>
      <c r="H80" s="3640"/>
      <c r="I80" s="3642"/>
      <c r="J80" s="3644"/>
      <c r="K80" s="3629"/>
      <c r="L80" s="3629"/>
      <c r="M80" s="3629"/>
      <c r="N80" s="3631"/>
      <c r="O80" s="3629"/>
      <c r="P80" s="3629"/>
      <c r="Q80" s="3629"/>
      <c r="R80" s="3632"/>
      <c r="S80" s="3629"/>
      <c r="T80" s="1219"/>
      <c r="U80" s="1219"/>
      <c r="V80" s="1219"/>
      <c r="W80" s="1220"/>
      <c r="Y80" s="1181"/>
      <c r="Z80" s="1181"/>
      <c r="AA80" s="1181"/>
      <c r="AB80" s="1181"/>
      <c r="AC80" s="1181"/>
      <c r="AD80" s="1181"/>
      <c r="AE80" s="1181"/>
      <c r="AF80" s="1181"/>
      <c r="AG80" s="1181"/>
      <c r="AH80" s="1181"/>
      <c r="AI80" s="1181"/>
      <c r="AJ80" s="1181"/>
      <c r="AK80" s="1181"/>
      <c r="AL80" s="1181"/>
      <c r="AM80" s="1181"/>
      <c r="AN80" s="1181"/>
      <c r="AO80" s="1181"/>
      <c r="AP80" s="1181"/>
      <c r="AQ80" s="1181"/>
      <c r="AR80" s="1272">
        <v>0</v>
      </c>
    </row>
    <row r="81" spans="1:44" s="1742" customFormat="1" ht="17.25" customHeight="1">
      <c r="A81" s="256"/>
      <c r="C81" s="144"/>
      <c r="D81" s="3626"/>
      <c r="E81" s="3634"/>
      <c r="F81" s="3637"/>
      <c r="G81" s="3634"/>
      <c r="H81" s="3640"/>
      <c r="I81" s="3642"/>
      <c r="J81" s="3645"/>
      <c r="K81" s="3629"/>
      <c r="L81" s="3629"/>
      <c r="M81" s="3629"/>
      <c r="N81" s="3632"/>
      <c r="O81" s="3629"/>
      <c r="P81" s="1393"/>
      <c r="Q81" s="1219"/>
      <c r="R81" s="1219"/>
      <c r="S81" s="264"/>
      <c r="T81" s="264"/>
      <c r="U81" s="264"/>
      <c r="V81" s="264"/>
      <c r="W81" s="1220"/>
      <c r="Y81" s="1189"/>
      <c r="Z81" s="1189"/>
      <c r="AA81" s="1189"/>
      <c r="AB81" s="1189"/>
      <c r="AC81" s="1189"/>
      <c r="AD81" s="1189"/>
      <c r="AE81" s="1189"/>
      <c r="AF81" s="1189"/>
      <c r="AG81" s="1189"/>
      <c r="AH81" s="1189"/>
      <c r="AI81" s="1189"/>
      <c r="AJ81" s="1189"/>
      <c r="AK81" s="1189"/>
      <c r="AL81" s="1189"/>
      <c r="AM81" s="1189"/>
      <c r="AN81" s="1189"/>
      <c r="AO81" s="1189"/>
      <c r="AP81" s="1189"/>
      <c r="AQ81" s="1189"/>
      <c r="AR81" s="1363">
        <v>0</v>
      </c>
    </row>
    <row r="82" spans="1:44" s="1742" customFormat="1" ht="17.25" customHeight="1">
      <c r="A82" s="256"/>
      <c r="C82" s="255"/>
      <c r="D82" s="3626"/>
      <c r="E82" s="3634"/>
      <c r="F82" s="3637"/>
      <c r="G82" s="3634"/>
      <c r="H82" s="3640"/>
      <c r="I82" s="3642"/>
      <c r="J82" s="3645"/>
      <c r="K82" s="3629"/>
      <c r="L82" s="1219"/>
      <c r="M82" s="1219"/>
      <c r="N82" s="1219"/>
      <c r="O82" s="1219"/>
      <c r="P82" s="1219"/>
      <c r="Q82" s="1219"/>
      <c r="R82" s="1219"/>
      <c r="S82" s="264"/>
      <c r="T82" s="264"/>
      <c r="U82" s="264"/>
      <c r="V82" s="264"/>
      <c r="W82" s="1220"/>
      <c r="Y82" s="1181"/>
      <c r="Z82" s="1181"/>
      <c r="AA82" s="1181"/>
      <c r="AB82" s="1181"/>
      <c r="AC82" s="1181"/>
      <c r="AD82" s="1181"/>
      <c r="AE82" s="1181"/>
      <c r="AF82" s="1181"/>
      <c r="AG82" s="1181"/>
      <c r="AH82" s="1181"/>
      <c r="AI82" s="1181"/>
      <c r="AJ82" s="1181"/>
      <c r="AK82" s="1181"/>
      <c r="AL82" s="1181"/>
      <c r="AM82" s="1181"/>
      <c r="AN82" s="1181"/>
      <c r="AO82" s="1181"/>
      <c r="AP82" s="1181"/>
      <c r="AQ82" s="1181"/>
      <c r="AR82" s="1363">
        <v>0</v>
      </c>
    </row>
    <row r="83" spans="1:44" s="1742" customFormat="1" ht="17.25" customHeight="1">
      <c r="A83" s="256"/>
      <c r="C83" s="255"/>
      <c r="D83" s="3627"/>
      <c r="E83" s="3635"/>
      <c r="F83" s="3638"/>
      <c r="G83" s="3635"/>
      <c r="H83" s="1221"/>
      <c r="I83" s="1222"/>
      <c r="J83" s="1222"/>
      <c r="K83" s="1222"/>
      <c r="L83" s="1222"/>
      <c r="M83" s="1222"/>
      <c r="N83" s="1222"/>
      <c r="O83" s="1222"/>
      <c r="P83" s="1222"/>
      <c r="Q83" s="1222"/>
      <c r="R83" s="1222"/>
      <c r="S83" s="1223"/>
      <c r="T83" s="1223"/>
      <c r="U83" s="1223"/>
      <c r="V83" s="1223"/>
      <c r="W83" s="1224"/>
      <c r="Y83" s="1181"/>
      <c r="Z83" s="1181"/>
      <c r="AA83" s="1181"/>
      <c r="AB83" s="1181"/>
      <c r="AC83" s="1181"/>
      <c r="AD83" s="1181"/>
      <c r="AE83" s="1181"/>
      <c r="AF83" s="1181"/>
      <c r="AG83" s="1181"/>
      <c r="AH83" s="1181"/>
      <c r="AI83" s="1181"/>
      <c r="AJ83" s="1181"/>
      <c r="AK83" s="1181"/>
      <c r="AL83" s="1181"/>
      <c r="AM83" s="1181"/>
      <c r="AN83" s="1181"/>
      <c r="AO83" s="1181"/>
      <c r="AP83" s="1181"/>
      <c r="AQ83" s="1181"/>
      <c r="AR83" s="1272">
        <v>0</v>
      </c>
    </row>
    <row r="84" spans="1:44" s="1742" customFormat="1" ht="17.25" customHeight="1">
      <c r="A84" s="256"/>
      <c r="C84" s="144"/>
      <c r="D84" s="3626">
        <v>2</v>
      </c>
      <c r="E84" s="3634" t="s">
        <v>274</v>
      </c>
      <c r="F84" s="3636" t="s">
        <v>6</v>
      </c>
      <c r="G84" s="3634"/>
      <c r="H84" s="3639"/>
      <c r="I84" s="3641"/>
      <c r="J84" s="3643"/>
      <c r="K84" s="3628"/>
      <c r="L84" s="3628"/>
      <c r="M84" s="3628"/>
      <c r="N84" s="3630"/>
      <c r="O84" s="3628"/>
      <c r="P84" s="3628"/>
      <c r="Q84" s="3628"/>
      <c r="R84" s="3633"/>
      <c r="S84" s="3628"/>
      <c r="T84" s="1365"/>
      <c r="U84" s="1365"/>
      <c r="V84" s="1367"/>
      <c r="W84" s="1218"/>
      <c r="X84" s="1189"/>
      <c r="Y84" s="1189"/>
      <c r="Z84" s="1189"/>
      <c r="AA84" s="1189"/>
      <c r="AB84" s="1189"/>
      <c r="AC84" s="1189" t="s">
        <v>275</v>
      </c>
      <c r="AD84" s="1189" t="s">
        <v>276</v>
      </c>
      <c r="AE84" s="1189" t="s">
        <v>277</v>
      </c>
      <c r="AF84" s="1189" t="s">
        <v>278</v>
      </c>
      <c r="AG84" s="1189"/>
      <c r="AH84" s="1189" t="str">
        <f>IF($E$84=0,"",$E$84)</f>
        <v>Тариф на техническую воду</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65">
        <f>$I$84</f>
        <v>0</v>
      </c>
      <c r="AO84" s="1189" t="str">
        <f>$I$84&amp;"."&amp;$M$84</f>
        <v>.</v>
      </c>
      <c r="AP84" s="1181" t="str">
        <f>$I$84&amp;"."&amp;$M$84&amp;"."&amp;$Q$84</f>
        <v>..</v>
      </c>
      <c r="AQ84" s="1181" t="str">
        <f>$I$84&amp;"."&amp;$M$84&amp;"."&amp;$Q$84&amp;"."&amp;$U$84</f>
        <v>...</v>
      </c>
      <c r="AR84" s="1272">
        <v>0</v>
      </c>
    </row>
    <row r="85" spans="1:44" s="1742" customFormat="1" ht="17.25" customHeight="1">
      <c r="A85" s="256"/>
      <c r="C85" s="255"/>
      <c r="D85" s="3626"/>
      <c r="E85" s="3634"/>
      <c r="F85" s="3637"/>
      <c r="G85" s="3634"/>
      <c r="H85" s="3640"/>
      <c r="I85" s="3642"/>
      <c r="J85" s="3644"/>
      <c r="K85" s="3629"/>
      <c r="L85" s="3629"/>
      <c r="M85" s="3629"/>
      <c r="N85" s="3631"/>
      <c r="O85" s="3629"/>
      <c r="P85" s="3629"/>
      <c r="Q85" s="3629"/>
      <c r="R85" s="3632"/>
      <c r="S85" s="3629"/>
      <c r="T85" s="1219"/>
      <c r="U85" s="1219"/>
      <c r="V85" s="1219"/>
      <c r="W85" s="1220"/>
      <c r="X85" s="1181"/>
      <c r="Y85" s="1181"/>
      <c r="Z85" s="1181"/>
      <c r="AA85" s="1181"/>
      <c r="AB85" s="1181"/>
      <c r="AC85" s="1181"/>
      <c r="AD85" s="1181"/>
      <c r="AE85" s="1181"/>
      <c r="AF85" s="1181"/>
      <c r="AG85" s="1181"/>
      <c r="AH85" s="1181"/>
      <c r="AI85" s="1181"/>
      <c r="AJ85" s="1181"/>
      <c r="AK85" s="1181"/>
      <c r="AL85" s="1181"/>
      <c r="AM85" s="1181"/>
      <c r="AN85" s="1181"/>
      <c r="AO85" s="1181"/>
      <c r="AP85" s="1181"/>
      <c r="AQ85" s="1181"/>
      <c r="AR85" s="1272">
        <v>0</v>
      </c>
    </row>
    <row r="86" spans="1:44" s="1742" customFormat="1" ht="17.25" customHeight="1">
      <c r="A86" s="256"/>
      <c r="C86" s="255"/>
      <c r="D86" s="3627"/>
      <c r="E86" s="3635"/>
      <c r="F86" s="3637"/>
      <c r="G86" s="3635"/>
      <c r="H86" s="3640"/>
      <c r="I86" s="3642"/>
      <c r="J86" s="3645"/>
      <c r="K86" s="3629"/>
      <c r="L86" s="3629"/>
      <c r="M86" s="3629"/>
      <c r="N86" s="3632"/>
      <c r="O86" s="3629"/>
      <c r="P86" s="1366"/>
      <c r="Q86" s="1219"/>
      <c r="R86" s="1219"/>
      <c r="S86" s="264"/>
      <c r="T86" s="264"/>
      <c r="U86" s="264"/>
      <c r="V86" s="264"/>
      <c r="W86" s="1220"/>
      <c r="X86" s="1181"/>
      <c r="Y86" s="1181"/>
      <c r="Z86" s="1181"/>
      <c r="AA86" s="1181"/>
      <c r="AB86" s="1181"/>
      <c r="AC86" s="1181"/>
      <c r="AD86" s="1181"/>
      <c r="AE86" s="1181"/>
      <c r="AF86" s="1181"/>
      <c r="AG86" s="1181"/>
      <c r="AH86" s="1181"/>
      <c r="AI86" s="1181"/>
      <c r="AJ86" s="1181"/>
      <c r="AK86" s="1181"/>
      <c r="AL86" s="1181"/>
      <c r="AM86" s="1181"/>
      <c r="AN86" s="1181"/>
      <c r="AO86" s="1181"/>
      <c r="AP86" s="1181"/>
      <c r="AQ86" s="1181"/>
      <c r="AR86" s="1272">
        <v>0</v>
      </c>
    </row>
    <row r="87" spans="1:44" s="1742" customFormat="1" ht="17.25" customHeight="1">
      <c r="A87" s="256"/>
      <c r="C87" s="255"/>
      <c r="D87" s="3627"/>
      <c r="E87" s="3635"/>
      <c r="F87" s="3637"/>
      <c r="G87" s="3635"/>
      <c r="H87" s="3640"/>
      <c r="I87" s="3642"/>
      <c r="J87" s="3645"/>
      <c r="K87" s="3629"/>
      <c r="L87" s="1219"/>
      <c r="M87" s="1219"/>
      <c r="N87" s="1219"/>
      <c r="O87" s="1219"/>
      <c r="P87" s="1219"/>
      <c r="Q87" s="1219"/>
      <c r="R87" s="1219"/>
      <c r="S87" s="264"/>
      <c r="T87" s="264"/>
      <c r="U87" s="264"/>
      <c r="V87" s="264"/>
      <c r="W87" s="1220"/>
      <c r="X87" s="1181"/>
      <c r="Y87" s="1181"/>
      <c r="Z87" s="1181"/>
      <c r="AA87" s="1181"/>
      <c r="AB87" s="1181"/>
      <c r="AC87" s="1181"/>
      <c r="AD87" s="1181"/>
      <c r="AE87" s="1181"/>
      <c r="AF87" s="1181"/>
      <c r="AG87" s="1181"/>
      <c r="AH87" s="1181"/>
      <c r="AI87" s="1181"/>
      <c r="AJ87" s="1181"/>
      <c r="AK87" s="1181"/>
      <c r="AL87" s="1181"/>
      <c r="AM87" s="1181"/>
      <c r="AN87" s="1181"/>
      <c r="AO87" s="1181"/>
      <c r="AP87" s="1181"/>
      <c r="AQ87" s="1181"/>
      <c r="AR87" s="1272">
        <v>0</v>
      </c>
    </row>
    <row r="88" spans="1:44" s="1742" customFormat="1" ht="17.25" customHeight="1">
      <c r="A88" s="256"/>
      <c r="C88" s="255"/>
      <c r="D88" s="3627"/>
      <c r="E88" s="3635"/>
      <c r="F88" s="3638"/>
      <c r="G88" s="3635"/>
      <c r="H88" s="1221"/>
      <c r="I88" s="1222"/>
      <c r="J88" s="1222"/>
      <c r="K88" s="1222"/>
      <c r="L88" s="1222"/>
      <c r="M88" s="1222"/>
      <c r="N88" s="1222"/>
      <c r="O88" s="1222"/>
      <c r="P88" s="1222"/>
      <c r="Q88" s="1222"/>
      <c r="R88" s="1222"/>
      <c r="S88" s="1223"/>
      <c r="T88" s="1223"/>
      <c r="U88" s="1223"/>
      <c r="V88" s="1223"/>
      <c r="W88" s="1224"/>
      <c r="X88" s="1181"/>
      <c r="Y88" s="1181"/>
      <c r="Z88" s="1181"/>
      <c r="AA88" s="1181"/>
      <c r="AB88" s="1181"/>
      <c r="AC88" s="1181"/>
      <c r="AD88" s="1181"/>
      <c r="AE88" s="1181"/>
      <c r="AF88" s="1181"/>
      <c r="AG88" s="1181"/>
      <c r="AH88" s="1181"/>
      <c r="AI88" s="1181"/>
      <c r="AJ88" s="1181"/>
      <c r="AK88" s="1181"/>
      <c r="AL88" s="1181"/>
      <c r="AM88" s="1181"/>
      <c r="AN88" s="1181"/>
      <c r="AO88" s="1181"/>
      <c r="AP88" s="1181"/>
      <c r="AQ88" s="1181"/>
      <c r="AR88" s="1272">
        <v>0</v>
      </c>
    </row>
    <row r="89" spans="1:44" s="1742" customFormat="1" ht="17.25" customHeight="1">
      <c r="A89" s="256"/>
      <c r="C89" s="144"/>
      <c r="D89" s="3626">
        <v>3</v>
      </c>
      <c r="E89" s="3634" t="s">
        <v>279</v>
      </c>
      <c r="F89" s="3636" t="s">
        <v>6</v>
      </c>
      <c r="G89" s="3634"/>
      <c r="H89" s="3639"/>
      <c r="I89" s="3641"/>
      <c r="J89" s="3643"/>
      <c r="K89" s="3628"/>
      <c r="L89" s="3628"/>
      <c r="M89" s="3628"/>
      <c r="N89" s="3630"/>
      <c r="O89" s="3628"/>
      <c r="P89" s="3628"/>
      <c r="Q89" s="3628"/>
      <c r="R89" s="3633"/>
      <c r="S89" s="3628"/>
      <c r="T89" s="1365"/>
      <c r="U89" s="1365"/>
      <c r="V89" s="1367"/>
      <c r="W89" s="1218"/>
      <c r="X89" s="1189"/>
      <c r="Y89" s="1189"/>
      <c r="Z89" s="1189"/>
      <c r="AA89" s="1189"/>
      <c r="AB89" s="1189"/>
      <c r="AC89" s="1189" t="s">
        <v>280</v>
      </c>
      <c r="AD89" s="1189" t="s">
        <v>281</v>
      </c>
      <c r="AE89" s="1189" t="s">
        <v>282</v>
      </c>
      <c r="AF89" s="1189" t="s">
        <v>283</v>
      </c>
      <c r="AG89" s="1189"/>
      <c r="AH89" s="1189" t="str">
        <f>IF($E$89=0,"",$E$89)</f>
        <v>Тариф на транспортировку воды</v>
      </c>
      <c r="AI89" s="1189" t="str">
        <f>IF($G$89=0,"",$G$89)</f>
        <v/>
      </c>
      <c r="AJ89" s="1189" t="str">
        <f>IF($J$89=0,"",$J$89)</f>
        <v/>
      </c>
      <c r="AK89" s="1189" t="str">
        <f>IF($K$89="нет","без дифференциации",IF($N$89=0,"",$N$89))</f>
        <v/>
      </c>
      <c r="AL89" s="1189" t="str">
        <f>IF($O$89="нет","без дифференциации",IF($R$89=0,"",$R$89))</f>
        <v/>
      </c>
      <c r="AM89" s="1189" t="str">
        <f>IF($S$89="нет","без дифференциации",IF($V$89=0,"",$V$89))</f>
        <v/>
      </c>
      <c r="AN89" s="1665">
        <f>$I$89</f>
        <v>0</v>
      </c>
      <c r="AO89" s="1189" t="str">
        <f>$I$89&amp;"."&amp;$M$89</f>
        <v>.</v>
      </c>
      <c r="AP89" s="1181" t="str">
        <f>$I$89&amp;"."&amp;$M$89&amp;"."&amp;$Q$89</f>
        <v>..</v>
      </c>
      <c r="AQ89" s="1181" t="str">
        <f>$I$89&amp;"."&amp;$M$89&amp;"."&amp;$Q$89&amp;"."&amp;$U$89</f>
        <v>...</v>
      </c>
      <c r="AR89" s="1272">
        <v>0</v>
      </c>
    </row>
    <row r="90" spans="1:44" s="1742" customFormat="1" ht="17.25" customHeight="1">
      <c r="A90" s="256"/>
      <c r="C90" s="255"/>
      <c r="D90" s="3626"/>
      <c r="E90" s="3634"/>
      <c r="F90" s="3637"/>
      <c r="G90" s="3634"/>
      <c r="H90" s="3640"/>
      <c r="I90" s="3642"/>
      <c r="J90" s="3644"/>
      <c r="K90" s="3629"/>
      <c r="L90" s="3629"/>
      <c r="M90" s="3629"/>
      <c r="N90" s="3631"/>
      <c r="O90" s="3629"/>
      <c r="P90" s="3629"/>
      <c r="Q90" s="3629"/>
      <c r="R90" s="3632"/>
      <c r="S90" s="3629"/>
      <c r="T90" s="1219"/>
      <c r="U90" s="1219"/>
      <c r="V90" s="1219"/>
      <c r="W90" s="1220"/>
      <c r="X90" s="1181"/>
      <c r="Y90" s="1181"/>
      <c r="Z90" s="1181"/>
      <c r="AA90" s="1181"/>
      <c r="AB90" s="1181"/>
      <c r="AC90" s="1181"/>
      <c r="AD90" s="1181"/>
      <c r="AE90" s="1181"/>
      <c r="AF90" s="1181"/>
      <c r="AG90" s="1181"/>
      <c r="AH90" s="1181"/>
      <c r="AI90" s="1181"/>
      <c r="AJ90" s="1181"/>
      <c r="AK90" s="1181"/>
      <c r="AL90" s="1181"/>
      <c r="AM90" s="1181"/>
      <c r="AN90" s="1181"/>
      <c r="AO90" s="1181"/>
      <c r="AP90" s="1181"/>
      <c r="AQ90" s="1181"/>
      <c r="AR90" s="1272">
        <v>0</v>
      </c>
    </row>
    <row r="91" spans="1:44" s="1742" customFormat="1" ht="17.25" customHeight="1">
      <c r="A91" s="256"/>
      <c r="C91" s="255"/>
      <c r="D91" s="3627"/>
      <c r="E91" s="3635"/>
      <c r="F91" s="3637"/>
      <c r="G91" s="3635"/>
      <c r="H91" s="3640"/>
      <c r="I91" s="3642"/>
      <c r="J91" s="3645"/>
      <c r="K91" s="3629"/>
      <c r="L91" s="3629"/>
      <c r="M91" s="3629"/>
      <c r="N91" s="3632"/>
      <c r="O91" s="3629"/>
      <c r="P91" s="1366"/>
      <c r="Q91" s="1219"/>
      <c r="R91" s="1219"/>
      <c r="S91" s="264"/>
      <c r="T91" s="264"/>
      <c r="U91" s="264"/>
      <c r="V91" s="264"/>
      <c r="W91" s="1220"/>
      <c r="X91" s="1181"/>
      <c r="Y91" s="1181"/>
      <c r="Z91" s="1181"/>
      <c r="AA91" s="1181"/>
      <c r="AB91" s="1181"/>
      <c r="AC91" s="1181"/>
      <c r="AD91" s="1181"/>
      <c r="AE91" s="1181"/>
      <c r="AF91" s="1181"/>
      <c r="AG91" s="1181"/>
      <c r="AH91" s="1181"/>
      <c r="AI91" s="1181"/>
      <c r="AJ91" s="1181"/>
      <c r="AK91" s="1181"/>
      <c r="AL91" s="1181"/>
      <c r="AM91" s="1181"/>
      <c r="AN91" s="1181"/>
      <c r="AO91" s="1181"/>
      <c r="AP91" s="1181"/>
      <c r="AQ91" s="1181"/>
      <c r="AR91" s="1272">
        <v>0</v>
      </c>
    </row>
    <row r="92" spans="1:44" s="1742" customFormat="1" ht="17.25" customHeight="1">
      <c r="A92" s="256"/>
      <c r="C92" s="255"/>
      <c r="D92" s="3627"/>
      <c r="E92" s="3635"/>
      <c r="F92" s="3637"/>
      <c r="G92" s="3635"/>
      <c r="H92" s="3640"/>
      <c r="I92" s="3642"/>
      <c r="J92" s="3645"/>
      <c r="K92" s="3629"/>
      <c r="L92" s="1219"/>
      <c r="M92" s="1219"/>
      <c r="N92" s="1219"/>
      <c r="O92" s="1219"/>
      <c r="P92" s="1219"/>
      <c r="Q92" s="1219"/>
      <c r="R92" s="1219"/>
      <c r="S92" s="264"/>
      <c r="T92" s="264"/>
      <c r="U92" s="264"/>
      <c r="V92" s="264"/>
      <c r="W92" s="1220"/>
      <c r="X92" s="1181"/>
      <c r="Y92" s="1181"/>
      <c r="Z92" s="1181"/>
      <c r="AA92" s="1181"/>
      <c r="AB92" s="1181"/>
      <c r="AC92" s="1181"/>
      <c r="AD92" s="1181"/>
      <c r="AE92" s="1181"/>
      <c r="AF92" s="1181"/>
      <c r="AG92" s="1181"/>
      <c r="AH92" s="1181"/>
      <c r="AI92" s="1181"/>
      <c r="AJ92" s="1181"/>
      <c r="AK92" s="1181"/>
      <c r="AL92" s="1181"/>
      <c r="AM92" s="1181"/>
      <c r="AN92" s="1181"/>
      <c r="AO92" s="1181"/>
      <c r="AP92" s="1181"/>
      <c r="AQ92" s="1181"/>
      <c r="AR92" s="1272">
        <v>0</v>
      </c>
    </row>
    <row r="93" spans="1:44" s="1742" customFormat="1" ht="17.25" customHeight="1">
      <c r="A93" s="256"/>
      <c r="C93" s="255"/>
      <c r="D93" s="3627"/>
      <c r="E93" s="3635"/>
      <c r="F93" s="3638"/>
      <c r="G93" s="3635"/>
      <c r="H93" s="1221"/>
      <c r="I93" s="1222"/>
      <c r="J93" s="1222"/>
      <c r="K93" s="1222"/>
      <c r="L93" s="1222"/>
      <c r="M93" s="1222"/>
      <c r="N93" s="1222"/>
      <c r="O93" s="1222"/>
      <c r="P93" s="1222"/>
      <c r="Q93" s="1222"/>
      <c r="R93" s="1222"/>
      <c r="S93" s="1223"/>
      <c r="T93" s="1223"/>
      <c r="U93" s="1223"/>
      <c r="V93" s="1223"/>
      <c r="W93" s="1224"/>
      <c r="X93" s="1181"/>
      <c r="Y93" s="1181"/>
      <c r="Z93" s="1181"/>
      <c r="AA93" s="1181"/>
      <c r="AB93" s="1181"/>
      <c r="AC93" s="1181"/>
      <c r="AD93" s="1181"/>
      <c r="AE93" s="1181"/>
      <c r="AF93" s="1181"/>
      <c r="AG93" s="1181"/>
      <c r="AH93" s="1181"/>
      <c r="AI93" s="1181"/>
      <c r="AJ93" s="1181"/>
      <c r="AK93" s="1181"/>
      <c r="AL93" s="1181"/>
      <c r="AM93" s="1181"/>
      <c r="AN93" s="1181"/>
      <c r="AO93" s="1181"/>
      <c r="AP93" s="1181"/>
      <c r="AQ93" s="1181"/>
      <c r="AR93" s="1272">
        <v>0</v>
      </c>
    </row>
    <row r="94" spans="1:44" s="1742" customFormat="1" ht="17.25" customHeight="1">
      <c r="A94" s="256"/>
      <c r="C94" s="144"/>
      <c r="D94" s="3626">
        <v>4</v>
      </c>
      <c r="E94" s="3634" t="s">
        <v>284</v>
      </c>
      <c r="F94" s="3636" t="s">
        <v>6</v>
      </c>
      <c r="G94" s="3634"/>
      <c r="H94" s="3639"/>
      <c r="I94" s="3641"/>
      <c r="J94" s="3643"/>
      <c r="K94" s="3628"/>
      <c r="L94" s="3628"/>
      <c r="M94" s="3628"/>
      <c r="N94" s="3630"/>
      <c r="O94" s="3628"/>
      <c r="P94" s="3628"/>
      <c r="Q94" s="3628"/>
      <c r="R94" s="3633"/>
      <c r="S94" s="3628"/>
      <c r="T94" s="1365"/>
      <c r="U94" s="1365"/>
      <c r="V94" s="1367"/>
      <c r="W94" s="1218"/>
      <c r="X94" s="1189"/>
      <c r="Y94" s="1189"/>
      <c r="Z94" s="1189"/>
      <c r="AA94" s="1189"/>
      <c r="AB94" s="1189"/>
      <c r="AC94" s="1189" t="s">
        <v>285</v>
      </c>
      <c r="AD94" s="1189" t="s">
        <v>286</v>
      </c>
      <c r="AE94" s="1189" t="s">
        <v>287</v>
      </c>
      <c r="AF94" s="1189" t="s">
        <v>288</v>
      </c>
      <c r="AG94" s="1189"/>
      <c r="AH94" s="1189" t="str">
        <f>IF($E$94=0,"",$E$94)</f>
        <v>Тариф на подвоз воды</v>
      </c>
      <c r="AI94" s="1189" t="str">
        <f>IF($G$94=0,"",$G$94)</f>
        <v/>
      </c>
      <c r="AJ94" s="1189" t="str">
        <f>IF($J$94=0,"",$J$94)</f>
        <v/>
      </c>
      <c r="AK94" s="1189" t="str">
        <f>IF($K$94="нет","без дифференциации",IF($N$94=0,"",$N$94))</f>
        <v/>
      </c>
      <c r="AL94" s="1189" t="str">
        <f>IF($O$94="нет","без дифференциации",IF($R$94=0,"",$R$94))</f>
        <v/>
      </c>
      <c r="AM94" s="1189" t="str">
        <f>IF($S$94="нет","без дифференциации",IF($V$94=0,"",$V$94))</f>
        <v/>
      </c>
      <c r="AN94" s="1665">
        <f>$I$94</f>
        <v>0</v>
      </c>
      <c r="AO94" s="1189" t="str">
        <f>$I$94&amp;"."&amp;$M$94</f>
        <v>.</v>
      </c>
      <c r="AP94" s="1181" t="str">
        <f>$I$94&amp;"."&amp;$M$94&amp;"."&amp;$Q$94</f>
        <v>..</v>
      </c>
      <c r="AQ94" s="1181" t="str">
        <f>$I$94&amp;"."&amp;$M$94&amp;"."&amp;$Q$94&amp;"."&amp;$U$94</f>
        <v>...</v>
      </c>
      <c r="AR94" s="1272">
        <v>0</v>
      </c>
    </row>
    <row r="95" spans="1:44" s="1742" customFormat="1" ht="17.25" customHeight="1">
      <c r="A95" s="256"/>
      <c r="C95" s="255"/>
      <c r="D95" s="3626"/>
      <c r="E95" s="3634"/>
      <c r="F95" s="3637"/>
      <c r="G95" s="3634"/>
      <c r="H95" s="3640"/>
      <c r="I95" s="3642"/>
      <c r="J95" s="3644"/>
      <c r="K95" s="3629"/>
      <c r="L95" s="3629"/>
      <c r="M95" s="3629"/>
      <c r="N95" s="3631"/>
      <c r="O95" s="3629"/>
      <c r="P95" s="3629"/>
      <c r="Q95" s="3629"/>
      <c r="R95" s="3632"/>
      <c r="S95" s="3629"/>
      <c r="T95" s="1219"/>
      <c r="U95" s="1219"/>
      <c r="V95" s="1219"/>
      <c r="W95" s="1220"/>
      <c r="X95" s="1181"/>
      <c r="Y95" s="1181"/>
      <c r="Z95" s="1181"/>
      <c r="AA95" s="1181"/>
      <c r="AB95" s="1181"/>
      <c r="AC95" s="1181"/>
      <c r="AD95" s="1181"/>
      <c r="AE95" s="1181"/>
      <c r="AF95" s="1181"/>
      <c r="AG95" s="1181"/>
      <c r="AH95" s="1181"/>
      <c r="AI95" s="1181"/>
      <c r="AJ95" s="1181"/>
      <c r="AK95" s="1181"/>
      <c r="AL95" s="1181"/>
      <c r="AM95" s="1181"/>
      <c r="AN95" s="1181"/>
      <c r="AO95" s="1181"/>
      <c r="AP95" s="1181"/>
      <c r="AQ95" s="1181"/>
      <c r="AR95" s="1272">
        <v>0</v>
      </c>
    </row>
    <row r="96" spans="1:44" s="1742" customFormat="1" ht="17.25" customHeight="1">
      <c r="A96" s="256"/>
      <c r="C96" s="255"/>
      <c r="D96" s="3627"/>
      <c r="E96" s="3635"/>
      <c r="F96" s="3637"/>
      <c r="G96" s="3635"/>
      <c r="H96" s="3640"/>
      <c r="I96" s="3642"/>
      <c r="J96" s="3645"/>
      <c r="K96" s="3629"/>
      <c r="L96" s="3629"/>
      <c r="M96" s="3629"/>
      <c r="N96" s="3632"/>
      <c r="O96" s="3629"/>
      <c r="P96" s="1366"/>
      <c r="Q96" s="1219"/>
      <c r="R96" s="1219"/>
      <c r="S96" s="264"/>
      <c r="T96" s="264"/>
      <c r="U96" s="264"/>
      <c r="V96" s="264"/>
      <c r="W96" s="1220"/>
      <c r="X96" s="1181"/>
      <c r="Y96" s="1181"/>
      <c r="Z96" s="1181"/>
      <c r="AA96" s="1181"/>
      <c r="AB96" s="1181"/>
      <c r="AC96" s="1181"/>
      <c r="AD96" s="1181"/>
      <c r="AE96" s="1181"/>
      <c r="AF96" s="1181"/>
      <c r="AG96" s="1181"/>
      <c r="AH96" s="1181"/>
      <c r="AI96" s="1181"/>
      <c r="AJ96" s="1181"/>
      <c r="AK96" s="1181"/>
      <c r="AL96" s="1181"/>
      <c r="AM96" s="1181"/>
      <c r="AN96" s="1181"/>
      <c r="AO96" s="1181"/>
      <c r="AP96" s="1181"/>
      <c r="AQ96" s="1181"/>
      <c r="AR96" s="1272">
        <v>0</v>
      </c>
    </row>
    <row r="97" spans="1:44" s="1742" customFormat="1" ht="17.25" customHeight="1">
      <c r="A97" s="256"/>
      <c r="C97" s="255"/>
      <c r="D97" s="3627"/>
      <c r="E97" s="3635"/>
      <c r="F97" s="3637"/>
      <c r="G97" s="3635"/>
      <c r="H97" s="3640"/>
      <c r="I97" s="3642"/>
      <c r="J97" s="3645"/>
      <c r="K97" s="3629"/>
      <c r="L97" s="1219"/>
      <c r="M97" s="1219"/>
      <c r="N97" s="1219"/>
      <c r="O97" s="1219"/>
      <c r="P97" s="1219"/>
      <c r="Q97" s="1219"/>
      <c r="R97" s="1219"/>
      <c r="S97" s="264"/>
      <c r="T97" s="264"/>
      <c r="U97" s="264"/>
      <c r="V97" s="264"/>
      <c r="W97" s="1220"/>
      <c r="X97" s="1181"/>
      <c r="Y97" s="1181"/>
      <c r="Z97" s="1181"/>
      <c r="AA97" s="1181"/>
      <c r="AB97" s="1181"/>
      <c r="AC97" s="1181"/>
      <c r="AD97" s="1181"/>
      <c r="AE97" s="1181"/>
      <c r="AF97" s="1181"/>
      <c r="AG97" s="1181"/>
      <c r="AH97" s="1181"/>
      <c r="AI97" s="1181"/>
      <c r="AJ97" s="1181"/>
      <c r="AK97" s="1181"/>
      <c r="AL97" s="1181"/>
      <c r="AM97" s="1181"/>
      <c r="AN97" s="1181"/>
      <c r="AO97" s="1181"/>
      <c r="AP97" s="1181"/>
      <c r="AQ97" s="1181"/>
      <c r="AR97" s="1272">
        <v>0</v>
      </c>
    </row>
    <row r="98" spans="1:44" s="1742" customFormat="1" ht="17.25" customHeight="1">
      <c r="A98" s="256"/>
      <c r="C98" s="255"/>
      <c r="D98" s="3627"/>
      <c r="E98" s="3635"/>
      <c r="F98" s="3638"/>
      <c r="G98" s="3635"/>
      <c r="H98" s="1221"/>
      <c r="I98" s="1222"/>
      <c r="J98" s="1222"/>
      <c r="K98" s="1222"/>
      <c r="L98" s="1222"/>
      <c r="M98" s="1222"/>
      <c r="N98" s="1222"/>
      <c r="O98" s="1222"/>
      <c r="P98" s="1222"/>
      <c r="Q98" s="1222"/>
      <c r="R98" s="1222"/>
      <c r="S98" s="1223"/>
      <c r="T98" s="1223"/>
      <c r="U98" s="1223"/>
      <c r="V98" s="1223"/>
      <c r="W98" s="1224"/>
      <c r="X98" s="1181"/>
      <c r="Y98" s="1181"/>
      <c r="Z98" s="1181"/>
      <c r="AA98" s="1181"/>
      <c r="AB98" s="1181"/>
      <c r="AC98" s="1181"/>
      <c r="AD98" s="1181"/>
      <c r="AE98" s="1181"/>
      <c r="AF98" s="1181"/>
      <c r="AG98" s="1181"/>
      <c r="AH98" s="1181"/>
      <c r="AI98" s="1181"/>
      <c r="AJ98" s="1181"/>
      <c r="AK98" s="1181"/>
      <c r="AL98" s="1181"/>
      <c r="AM98" s="1181"/>
      <c r="AN98" s="1181"/>
      <c r="AO98" s="1181"/>
      <c r="AP98" s="1181"/>
      <c r="AQ98" s="1181"/>
      <c r="AR98" s="1272">
        <v>0</v>
      </c>
    </row>
    <row r="99" spans="1:44" s="1742" customFormat="1" ht="17.25" customHeight="1">
      <c r="A99" s="256"/>
      <c r="C99" s="144"/>
      <c r="D99" s="3626">
        <v>5</v>
      </c>
      <c r="E99" s="3634" t="s">
        <v>289</v>
      </c>
      <c r="F99" s="3636" t="s">
        <v>6</v>
      </c>
      <c r="G99" s="3634"/>
      <c r="H99" s="3639"/>
      <c r="I99" s="3641"/>
      <c r="J99" s="3643"/>
      <c r="K99" s="3628"/>
      <c r="L99" s="3628"/>
      <c r="M99" s="3628"/>
      <c r="N99" s="3630"/>
      <c r="O99" s="3628"/>
      <c r="P99" s="3628"/>
      <c r="Q99" s="3628"/>
      <c r="R99" s="3633"/>
      <c r="S99" s="3628"/>
      <c r="T99" s="1829"/>
      <c r="U99" s="1829"/>
      <c r="V99" s="1831"/>
      <c r="W99" s="1218"/>
      <c r="X99" s="1189"/>
      <c r="Y99" s="1189"/>
      <c r="Z99" s="1189"/>
      <c r="AA99" s="1189"/>
      <c r="AB99" s="1189"/>
      <c r="AC99" s="1189" t="s">
        <v>290</v>
      </c>
      <c r="AD99" s="1189" t="s">
        <v>291</v>
      </c>
      <c r="AE99" s="1189" t="s">
        <v>292</v>
      </c>
      <c r="AF99" s="1189" t="s">
        <v>293</v>
      </c>
      <c r="AG99" s="1189"/>
      <c r="AH99" s="1189" t="str">
        <f>IF($E$99=0,"",$E$99)</f>
        <v>Тариф на подключение (технологическое присоединение) к централизованной системе холодного водоснабжения</v>
      </c>
      <c r="AI99" s="1189" t="str">
        <f>IF($G$99=0,"",$G$99)</f>
        <v/>
      </c>
      <c r="AJ99" s="1189" t="str">
        <f>IF($J$99=0,"",$J$99)</f>
        <v/>
      </c>
      <c r="AK99" s="1189" t="str">
        <f>IF($K$99="нет","без дифференциации",IF($N$99=0,"",$N$99))</f>
        <v/>
      </c>
      <c r="AL99" s="1189" t="str">
        <f>IF($O$99="нет","без дифференциации",IF($R$99=0,"",$R$99))</f>
        <v/>
      </c>
      <c r="AM99" s="1189" t="str">
        <f>IF($S$99="нет","без дифференциации",IF($V$99=0,"",$V$99))</f>
        <v/>
      </c>
      <c r="AN99" s="1665">
        <f>$I$99</f>
        <v>0</v>
      </c>
      <c r="AO99" s="1189" t="str">
        <f>$I$99&amp;"."&amp;$M$99</f>
        <v>.</v>
      </c>
      <c r="AP99" s="1188" t="str">
        <f>$I$99&amp;"."&amp;$M$99&amp;"."&amp;$Q$99</f>
        <v>..</v>
      </c>
      <c r="AQ99" s="1188" t="str">
        <f>$I$99&amp;"."&amp;$M$99&amp;"."&amp;$Q$99&amp;"."&amp;$U$99</f>
        <v>...</v>
      </c>
      <c r="AR99" s="1389">
        <v>0</v>
      </c>
    </row>
    <row r="100" spans="1:44" s="1742" customFormat="1" ht="17.25" customHeight="1">
      <c r="A100" s="256"/>
      <c r="C100" s="255"/>
      <c r="D100" s="3626"/>
      <c r="E100" s="3634"/>
      <c r="F100" s="3637"/>
      <c r="G100" s="3634"/>
      <c r="H100" s="3640"/>
      <c r="I100" s="3642"/>
      <c r="J100" s="3644"/>
      <c r="K100" s="3629"/>
      <c r="L100" s="3629"/>
      <c r="M100" s="3629"/>
      <c r="N100" s="3631"/>
      <c r="O100" s="3629"/>
      <c r="P100" s="3629"/>
      <c r="Q100" s="3629"/>
      <c r="R100" s="3632"/>
      <c r="S100" s="3629"/>
      <c r="T100" s="1834"/>
      <c r="U100" s="1834"/>
      <c r="V100" s="1834"/>
      <c r="W100" s="1835"/>
      <c r="X100" s="1188"/>
      <c r="Y100" s="1188"/>
      <c r="Z100" s="1188"/>
      <c r="AA100" s="1188"/>
      <c r="AB100" s="1188"/>
      <c r="AC100" s="1188"/>
      <c r="AD100" s="1188"/>
      <c r="AE100" s="1188"/>
      <c r="AF100" s="1188"/>
      <c r="AG100" s="1188"/>
      <c r="AH100" s="1188"/>
      <c r="AI100" s="1188"/>
      <c r="AJ100" s="1188"/>
      <c r="AK100" s="1188"/>
      <c r="AL100" s="1188"/>
      <c r="AM100" s="1188"/>
      <c r="AN100" s="1188"/>
      <c r="AO100" s="1188"/>
      <c r="AP100" s="1188"/>
      <c r="AQ100" s="1188"/>
      <c r="AR100" s="1389">
        <v>0</v>
      </c>
    </row>
    <row r="101" spans="1:44" s="1742" customFormat="1" ht="17.25" customHeight="1">
      <c r="A101" s="256"/>
      <c r="C101" s="255"/>
      <c r="D101" s="3627"/>
      <c r="E101" s="3635"/>
      <c r="F101" s="3637"/>
      <c r="G101" s="3635"/>
      <c r="H101" s="3640"/>
      <c r="I101" s="3642"/>
      <c r="J101" s="3645"/>
      <c r="K101" s="3629"/>
      <c r="L101" s="3629"/>
      <c r="M101" s="3629"/>
      <c r="N101" s="3632"/>
      <c r="O101" s="3629"/>
      <c r="P101" s="1830"/>
      <c r="Q101" s="1834"/>
      <c r="R101" s="1834"/>
      <c r="S101" s="264"/>
      <c r="T101" s="264"/>
      <c r="U101" s="264"/>
      <c r="V101" s="264"/>
      <c r="W101" s="1835"/>
      <c r="X101" s="1188"/>
      <c r="Y101" s="1188"/>
      <c r="Z101" s="1188"/>
      <c r="AA101" s="1188"/>
      <c r="AB101" s="1188"/>
      <c r="AC101" s="1188"/>
      <c r="AD101" s="1188"/>
      <c r="AE101" s="1188"/>
      <c r="AF101" s="1188"/>
      <c r="AG101" s="1188"/>
      <c r="AH101" s="1188"/>
      <c r="AI101" s="1188"/>
      <c r="AJ101" s="1188"/>
      <c r="AK101" s="1188"/>
      <c r="AL101" s="1188"/>
      <c r="AM101" s="1188"/>
      <c r="AN101" s="1188"/>
      <c r="AO101" s="1188"/>
      <c r="AP101" s="1188"/>
      <c r="AQ101" s="1188"/>
      <c r="AR101" s="1389">
        <v>0</v>
      </c>
    </row>
    <row r="102" spans="1:44" s="1742" customFormat="1" ht="17.25" customHeight="1">
      <c r="A102" s="256"/>
      <c r="C102" s="255"/>
      <c r="D102" s="3627"/>
      <c r="E102" s="3635"/>
      <c r="F102" s="3637"/>
      <c r="G102" s="3635"/>
      <c r="H102" s="3640"/>
      <c r="I102" s="3642"/>
      <c r="J102" s="3645"/>
      <c r="K102" s="3629"/>
      <c r="L102" s="1834"/>
      <c r="M102" s="1834"/>
      <c r="N102" s="1834"/>
      <c r="O102" s="1834"/>
      <c r="P102" s="1834"/>
      <c r="Q102" s="1834"/>
      <c r="R102" s="1834"/>
      <c r="S102" s="264"/>
      <c r="T102" s="264"/>
      <c r="U102" s="264"/>
      <c r="V102" s="264"/>
      <c r="W102" s="1835"/>
      <c r="X102" s="1188"/>
      <c r="Y102" s="1188"/>
      <c r="Z102" s="1188"/>
      <c r="AA102" s="1188"/>
      <c r="AB102" s="1188"/>
      <c r="AC102" s="1188"/>
      <c r="AD102" s="1188"/>
      <c r="AE102" s="1188"/>
      <c r="AF102" s="1188"/>
      <c r="AG102" s="1188"/>
      <c r="AH102" s="1188"/>
      <c r="AI102" s="1188"/>
      <c r="AJ102" s="1188"/>
      <c r="AK102" s="1188"/>
      <c r="AL102" s="1188"/>
      <c r="AM102" s="1188"/>
      <c r="AN102" s="1188"/>
      <c r="AO102" s="1188"/>
      <c r="AP102" s="1188"/>
      <c r="AQ102" s="1188"/>
      <c r="AR102" s="1389">
        <v>0</v>
      </c>
    </row>
    <row r="103" spans="1:44" s="1742" customFormat="1" ht="17.25" customHeight="1">
      <c r="A103" s="256"/>
      <c r="C103" s="255"/>
      <c r="D103" s="3627"/>
      <c r="E103" s="3635"/>
      <c r="F103" s="3638"/>
      <c r="G103" s="3635"/>
      <c r="H103" s="1221"/>
      <c r="I103" s="1832"/>
      <c r="J103" s="1832"/>
      <c r="K103" s="1832"/>
      <c r="L103" s="1832"/>
      <c r="M103" s="1832"/>
      <c r="N103" s="1832"/>
      <c r="O103" s="1832"/>
      <c r="P103" s="1832"/>
      <c r="Q103" s="1832"/>
      <c r="R103" s="1832"/>
      <c r="S103" s="1223"/>
      <c r="T103" s="1223"/>
      <c r="U103" s="1223"/>
      <c r="V103" s="1223"/>
      <c r="W103" s="1833"/>
      <c r="X103" s="1188"/>
      <c r="Y103" s="1188"/>
      <c r="Z103" s="1188"/>
      <c r="AA103" s="1188"/>
      <c r="AB103" s="1188"/>
      <c r="AC103" s="1188"/>
      <c r="AD103" s="1188"/>
      <c r="AE103" s="1188"/>
      <c r="AF103" s="1188"/>
      <c r="AG103" s="1188"/>
      <c r="AH103" s="1188"/>
      <c r="AI103" s="1188"/>
      <c r="AJ103" s="1188"/>
      <c r="AK103" s="1188"/>
      <c r="AL103" s="1188"/>
      <c r="AM103" s="1188"/>
      <c r="AN103" s="1188"/>
      <c r="AO103" s="1188"/>
      <c r="AP103" s="1188"/>
      <c r="AQ103" s="1188"/>
      <c r="AR103" s="1389">
        <v>0</v>
      </c>
    </row>
    <row r="104" spans="1:44" s="1742" customFormat="1" ht="11.25" customHeight="1">
      <c r="A104" s="212"/>
      <c r="B104" s="212"/>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c r="AR104" s="1389">
        <v>0</v>
      </c>
    </row>
    <row r="105" spans="1:44" s="1742" customFormat="1" ht="17.25" customHeight="1">
      <c r="A105" s="256"/>
      <c r="C105" s="144"/>
      <c r="D105" s="3626">
        <v>1</v>
      </c>
      <c r="E105" s="3634" t="s">
        <v>294</v>
      </c>
      <c r="F105" s="3636" t="s">
        <v>6</v>
      </c>
      <c r="G105" s="3634"/>
      <c r="H105" s="3639"/>
      <c r="I105" s="3641"/>
      <c r="J105" s="3643"/>
      <c r="K105" s="3628"/>
      <c r="L105" s="3628"/>
      <c r="M105" s="3628"/>
      <c r="N105" s="3630"/>
      <c r="O105" s="3628"/>
      <c r="P105" s="3628"/>
      <c r="Q105" s="3628"/>
      <c r="R105" s="3633"/>
      <c r="S105" s="3628"/>
      <c r="T105" s="1392"/>
      <c r="U105" s="1392"/>
      <c r="V105" s="1394"/>
      <c r="W105" s="1218"/>
      <c r="Y105" s="1189"/>
      <c r="Z105" s="1189"/>
      <c r="AA105" s="1189"/>
      <c r="AB105" s="1189"/>
      <c r="AC105" s="1189" t="s">
        <v>295</v>
      </c>
      <c r="AD105" s="1189" t="s">
        <v>296</v>
      </c>
      <c r="AE105" s="1189" t="s">
        <v>297</v>
      </c>
      <c r="AF105" s="1189" t="s">
        <v>298</v>
      </c>
      <c r="AG105" s="1189"/>
      <c r="AH105" s="1189" t="str">
        <f>IF($E$105=0,"",$E$105)</f>
        <v>Тариф на горячую воду (горячее водоснабжение)</v>
      </c>
      <c r="AI105" s="1189" t="str">
        <f>IF($G$105=0,"",$G$105)</f>
        <v/>
      </c>
      <c r="AJ105" s="1189" t="str">
        <f>IF($J$105=0,"",$J$105)</f>
        <v/>
      </c>
      <c r="AK105" s="1189" t="str">
        <f>IF($K$105="нет","без дифференциации",IF($N$105=0,"",$N$105))</f>
        <v/>
      </c>
      <c r="AL105" s="1189" t="str">
        <f>IF($O$105="нет","без дифференциации",IF($R$105=0,"",$R$105))</f>
        <v/>
      </c>
      <c r="AM105" s="1189" t="str">
        <f>IF($S$105="нет","без дифференциации",IF($V$105=0,"",$V$105))</f>
        <v/>
      </c>
      <c r="AN105" s="1189">
        <f>$I$105</f>
        <v>0</v>
      </c>
      <c r="AO105" s="1189" t="str">
        <f>$I$105&amp;"."&amp;$M$105</f>
        <v>.</v>
      </c>
      <c r="AP105" s="1189" t="str">
        <f>$I$105&amp;"."&amp;$M$105&amp;"."&amp;$Q$105</f>
        <v>..</v>
      </c>
      <c r="AQ105" s="1189" t="str">
        <f>$I$105&amp;"."&amp;$M$105&amp;"."&amp;$Q$105&amp;"."&amp;$U$105</f>
        <v>...</v>
      </c>
      <c r="AR105" s="1389">
        <v>0</v>
      </c>
    </row>
    <row r="106" spans="1:44" s="1742" customFormat="1" ht="17.25" customHeight="1">
      <c r="A106" s="256"/>
      <c r="C106" s="255"/>
      <c r="D106" s="3626"/>
      <c r="E106" s="3634"/>
      <c r="F106" s="3637"/>
      <c r="G106" s="3634"/>
      <c r="H106" s="3640"/>
      <c r="I106" s="3642"/>
      <c r="J106" s="3644"/>
      <c r="K106" s="3629"/>
      <c r="L106" s="3629"/>
      <c r="M106" s="3629"/>
      <c r="N106" s="3631"/>
      <c r="O106" s="3629"/>
      <c r="P106" s="3629"/>
      <c r="Q106" s="3629"/>
      <c r="R106" s="3632"/>
      <c r="S106" s="3629"/>
      <c r="T106" s="1219"/>
      <c r="U106" s="1219"/>
      <c r="V106" s="1219"/>
      <c r="W106" s="1220"/>
      <c r="Y106" s="1181"/>
      <c r="Z106" s="1181"/>
      <c r="AA106" s="1181"/>
      <c r="AB106" s="1181"/>
      <c r="AC106" s="1181"/>
      <c r="AD106" s="1181"/>
      <c r="AE106" s="1181"/>
      <c r="AF106" s="1181"/>
      <c r="AG106" s="1181"/>
      <c r="AH106" s="1181"/>
      <c r="AI106" s="1181"/>
      <c r="AJ106" s="1181"/>
      <c r="AK106" s="1181"/>
      <c r="AL106" s="1181"/>
      <c r="AM106" s="1181"/>
      <c r="AN106" s="1181"/>
      <c r="AO106" s="1181"/>
      <c r="AP106" s="1181"/>
      <c r="AQ106" s="1181"/>
      <c r="AR106" s="1389">
        <v>0</v>
      </c>
    </row>
    <row r="107" spans="1:44" s="1742" customFormat="1" ht="17.25" customHeight="1">
      <c r="A107" s="256"/>
      <c r="C107" s="144"/>
      <c r="D107" s="3626"/>
      <c r="E107" s="3634"/>
      <c r="F107" s="3637"/>
      <c r="G107" s="3634"/>
      <c r="H107" s="3640"/>
      <c r="I107" s="3642"/>
      <c r="J107" s="3645"/>
      <c r="K107" s="3629"/>
      <c r="L107" s="3629"/>
      <c r="M107" s="3629"/>
      <c r="N107" s="3632"/>
      <c r="O107" s="3629"/>
      <c r="P107" s="1393"/>
      <c r="Q107" s="1219"/>
      <c r="R107" s="1219"/>
      <c r="S107" s="264"/>
      <c r="T107" s="264"/>
      <c r="U107" s="264"/>
      <c r="V107" s="264"/>
      <c r="W107" s="1220"/>
      <c r="Y107" s="1189"/>
      <c r="Z107" s="1189"/>
      <c r="AA107" s="1189"/>
      <c r="AB107" s="1189"/>
      <c r="AC107" s="1189"/>
      <c r="AD107" s="1189"/>
      <c r="AE107" s="1189"/>
      <c r="AF107" s="1189"/>
      <c r="AG107" s="1189"/>
      <c r="AH107" s="1189"/>
      <c r="AI107" s="1189"/>
      <c r="AJ107" s="1189"/>
      <c r="AK107" s="1189"/>
      <c r="AL107" s="1189"/>
      <c r="AM107" s="1189"/>
      <c r="AN107" s="1189"/>
      <c r="AO107" s="1189"/>
      <c r="AP107" s="1189"/>
      <c r="AQ107" s="1189"/>
      <c r="AR107" s="1389">
        <v>0</v>
      </c>
    </row>
    <row r="108" spans="1:44" s="1742" customFormat="1" ht="17.25" customHeight="1">
      <c r="A108" s="256"/>
      <c r="C108" s="255"/>
      <c r="D108" s="3626"/>
      <c r="E108" s="3634"/>
      <c r="F108" s="3637"/>
      <c r="G108" s="3634"/>
      <c r="H108" s="3640"/>
      <c r="I108" s="3642"/>
      <c r="J108" s="3645"/>
      <c r="K108" s="3629"/>
      <c r="L108" s="1219"/>
      <c r="M108" s="1219"/>
      <c r="N108" s="1219"/>
      <c r="O108" s="1219"/>
      <c r="P108" s="1219"/>
      <c r="Q108" s="1219"/>
      <c r="R108" s="1219"/>
      <c r="S108" s="264"/>
      <c r="T108" s="264"/>
      <c r="U108" s="264"/>
      <c r="V108" s="264"/>
      <c r="W108" s="1220"/>
      <c r="Y108" s="1181"/>
      <c r="Z108" s="1181"/>
      <c r="AA108" s="1181"/>
      <c r="AB108" s="1181"/>
      <c r="AC108" s="1181"/>
      <c r="AD108" s="1181"/>
      <c r="AE108" s="1181"/>
      <c r="AF108" s="1181"/>
      <c r="AG108" s="1181"/>
      <c r="AH108" s="1181"/>
      <c r="AI108" s="1181"/>
      <c r="AJ108" s="1181"/>
      <c r="AK108" s="1181"/>
      <c r="AL108" s="1181"/>
      <c r="AM108" s="1181"/>
      <c r="AN108" s="1181"/>
      <c r="AO108" s="1181"/>
      <c r="AP108" s="1181"/>
      <c r="AQ108" s="1181"/>
      <c r="AR108" s="1389">
        <v>0</v>
      </c>
    </row>
    <row r="109" spans="1:44" s="1742" customFormat="1" ht="17.25" customHeight="1">
      <c r="A109" s="256"/>
      <c r="C109" s="255"/>
      <c r="D109" s="3627"/>
      <c r="E109" s="3635"/>
      <c r="F109" s="3638"/>
      <c r="G109" s="3635"/>
      <c r="H109" s="1221"/>
      <c r="I109" s="1222"/>
      <c r="J109" s="1222"/>
      <c r="K109" s="1222"/>
      <c r="L109" s="1222"/>
      <c r="M109" s="1222"/>
      <c r="N109" s="1222"/>
      <c r="O109" s="1222"/>
      <c r="P109" s="1222"/>
      <c r="Q109" s="1222"/>
      <c r="R109" s="1222"/>
      <c r="S109" s="1223"/>
      <c r="T109" s="1223"/>
      <c r="U109" s="1223"/>
      <c r="V109" s="1223"/>
      <c r="W109" s="1224"/>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c r="AR109" s="1389">
        <v>0</v>
      </c>
    </row>
    <row r="110" spans="1:44" s="1742" customFormat="1" ht="17.25" customHeight="1">
      <c r="A110" s="256"/>
      <c r="C110" s="144"/>
      <c r="D110" s="3626">
        <v>2</v>
      </c>
      <c r="E110" s="3634" t="s">
        <v>299</v>
      </c>
      <c r="F110" s="3636" t="s">
        <v>6</v>
      </c>
      <c r="G110" s="3634"/>
      <c r="H110" s="3639"/>
      <c r="I110" s="3641"/>
      <c r="J110" s="3643"/>
      <c r="K110" s="3628"/>
      <c r="L110" s="3628"/>
      <c r="M110" s="3628"/>
      <c r="N110" s="3630"/>
      <c r="O110" s="3628"/>
      <c r="P110" s="3628"/>
      <c r="Q110" s="3628"/>
      <c r="R110" s="3633"/>
      <c r="S110" s="3628"/>
      <c r="T110" s="1392"/>
      <c r="U110" s="1392"/>
      <c r="V110" s="1394"/>
      <c r="W110" s="1218"/>
      <c r="X110" s="1189"/>
      <c r="Y110" s="1189"/>
      <c r="Z110" s="1189"/>
      <c r="AA110" s="1189"/>
      <c r="AB110" s="1189"/>
      <c r="AC110" s="1189" t="s">
        <v>300</v>
      </c>
      <c r="AD110" s="1189" t="s">
        <v>301</v>
      </c>
      <c r="AE110" s="1189" t="s">
        <v>302</v>
      </c>
      <c r="AF110" s="1189" t="s">
        <v>303</v>
      </c>
      <c r="AG110" s="1189"/>
      <c r="AH110" s="1189" t="str">
        <f>IF($E$110=0,"",$E$110)</f>
        <v>Тариф на транспортировку горячей воды</v>
      </c>
      <c r="AI110" s="1189" t="str">
        <f>IF($G$110=0,"",$G$110)</f>
        <v/>
      </c>
      <c r="AJ110" s="1189" t="str">
        <f>IF($J$110=0,"",$J$110)</f>
        <v/>
      </c>
      <c r="AK110" s="1189" t="str">
        <f>IF($K$110="нет","без дифференциации",IF($N$110=0,"",$N$110))</f>
        <v/>
      </c>
      <c r="AL110" s="1189" t="str">
        <f>IF($O$110="нет","без дифференциации",IF($R$110=0,"",$R$110))</f>
        <v/>
      </c>
      <c r="AM110" s="1189" t="str">
        <f>IF($S$110="нет","без дифференциации",IF($V$110=0,"",$V$110))</f>
        <v/>
      </c>
      <c r="AN110" s="1665">
        <f>$I$110</f>
        <v>0</v>
      </c>
      <c r="AO110" s="1189" t="str">
        <f>$I$110&amp;"."&amp;$M$110</f>
        <v>.</v>
      </c>
      <c r="AP110" s="1181" t="str">
        <f>$I$110&amp;"."&amp;$M$110&amp;"."&amp;$Q$110</f>
        <v>..</v>
      </c>
      <c r="AQ110" s="1181" t="str">
        <f>$I$110&amp;"."&amp;$M$110&amp;"."&amp;$Q$110&amp;"."&amp;$U$110</f>
        <v>...</v>
      </c>
      <c r="AR110" s="1389">
        <v>0</v>
      </c>
    </row>
    <row r="111" spans="1:44" s="1742" customFormat="1" ht="17.25" customHeight="1">
      <c r="A111" s="256"/>
      <c r="C111" s="255"/>
      <c r="D111" s="3626"/>
      <c r="E111" s="3634"/>
      <c r="F111" s="3637"/>
      <c r="G111" s="3634"/>
      <c r="H111" s="3640"/>
      <c r="I111" s="3642"/>
      <c r="J111" s="3644"/>
      <c r="K111" s="3629"/>
      <c r="L111" s="3629"/>
      <c r="M111" s="3629"/>
      <c r="N111" s="3631"/>
      <c r="O111" s="3629"/>
      <c r="P111" s="3629"/>
      <c r="Q111" s="3629"/>
      <c r="R111" s="3632"/>
      <c r="S111" s="3629"/>
      <c r="T111" s="1219"/>
      <c r="U111" s="1219"/>
      <c r="V111" s="1219"/>
      <c r="W111" s="1220"/>
      <c r="X111" s="1181"/>
      <c r="Y111" s="1181"/>
      <c r="Z111" s="1181"/>
      <c r="AA111" s="1181"/>
      <c r="AB111" s="1181"/>
      <c r="AC111" s="1181"/>
      <c r="AD111" s="1181"/>
      <c r="AE111" s="1181"/>
      <c r="AF111" s="1181"/>
      <c r="AG111" s="1181"/>
      <c r="AH111" s="1181"/>
      <c r="AI111" s="1181"/>
      <c r="AJ111" s="1181"/>
      <c r="AK111" s="1181"/>
      <c r="AL111" s="1181"/>
      <c r="AM111" s="1181"/>
      <c r="AN111" s="1181"/>
      <c r="AO111" s="1181"/>
      <c r="AP111" s="1181"/>
      <c r="AQ111" s="1181"/>
      <c r="AR111" s="1389">
        <v>0</v>
      </c>
    </row>
    <row r="112" spans="1:44" s="1742" customFormat="1" ht="17.25" customHeight="1">
      <c r="A112" s="256"/>
      <c r="C112" s="255"/>
      <c r="D112" s="3627"/>
      <c r="E112" s="3635"/>
      <c r="F112" s="3637"/>
      <c r="G112" s="3635"/>
      <c r="H112" s="3640"/>
      <c r="I112" s="3642"/>
      <c r="J112" s="3645"/>
      <c r="K112" s="3629"/>
      <c r="L112" s="3629"/>
      <c r="M112" s="3629"/>
      <c r="N112" s="3632"/>
      <c r="O112" s="3629"/>
      <c r="P112" s="1393"/>
      <c r="Q112" s="1219"/>
      <c r="R112" s="1219"/>
      <c r="S112" s="264"/>
      <c r="T112" s="264"/>
      <c r="U112" s="264"/>
      <c r="V112" s="264"/>
      <c r="W112" s="1220"/>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c r="AR112" s="1389">
        <v>0</v>
      </c>
    </row>
    <row r="113" spans="1:44" s="1742" customFormat="1" ht="17.25" customHeight="1">
      <c r="A113" s="256"/>
      <c r="C113" s="255"/>
      <c r="D113" s="3627"/>
      <c r="E113" s="3635"/>
      <c r="F113" s="3637"/>
      <c r="G113" s="3635"/>
      <c r="H113" s="3640"/>
      <c r="I113" s="3642"/>
      <c r="J113" s="3645"/>
      <c r="K113" s="3629"/>
      <c r="L113" s="1219"/>
      <c r="M113" s="1219"/>
      <c r="N113" s="1219"/>
      <c r="O113" s="1219"/>
      <c r="P113" s="1219"/>
      <c r="Q113" s="1219"/>
      <c r="R113" s="1219"/>
      <c r="S113" s="264"/>
      <c r="T113" s="264"/>
      <c r="U113" s="264"/>
      <c r="V113" s="264"/>
      <c r="W113" s="1220"/>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c r="AR113" s="1389">
        <v>0</v>
      </c>
    </row>
    <row r="114" spans="1:44" s="1742" customFormat="1" ht="17.25" customHeight="1">
      <c r="A114" s="256"/>
      <c r="C114" s="255"/>
      <c r="D114" s="3627"/>
      <c r="E114" s="3635"/>
      <c r="F114" s="3638"/>
      <c r="G114" s="3635"/>
      <c r="H114" s="1221"/>
      <c r="I114" s="1222"/>
      <c r="J114" s="1222"/>
      <c r="K114" s="1222"/>
      <c r="L114" s="1222"/>
      <c r="M114" s="1222"/>
      <c r="N114" s="1222"/>
      <c r="O114" s="1222"/>
      <c r="P114" s="1222"/>
      <c r="Q114" s="1222"/>
      <c r="R114" s="1222"/>
      <c r="S114" s="1223"/>
      <c r="T114" s="1223"/>
      <c r="U114" s="1223"/>
      <c r="V114" s="1223"/>
      <c r="W114" s="1224"/>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c r="AR114" s="1389">
        <v>0</v>
      </c>
    </row>
    <row r="115" spans="1:44" s="1742" customFormat="1" ht="17.25" customHeight="1">
      <c r="A115" s="256"/>
      <c r="C115" s="144"/>
      <c r="D115" s="3626">
        <v>3</v>
      </c>
      <c r="E115" s="3634" t="s">
        <v>304</v>
      </c>
      <c r="F115" s="3636" t="s">
        <v>6</v>
      </c>
      <c r="G115" s="3634"/>
      <c r="H115" s="3639"/>
      <c r="I115" s="3641"/>
      <c r="J115" s="3643"/>
      <c r="K115" s="3628"/>
      <c r="L115" s="3628"/>
      <c r="M115" s="3628"/>
      <c r="N115" s="3630"/>
      <c r="O115" s="3628"/>
      <c r="P115" s="3628"/>
      <c r="Q115" s="3628"/>
      <c r="R115" s="3633"/>
      <c r="S115" s="3628"/>
      <c r="T115" s="1829"/>
      <c r="U115" s="1829"/>
      <c r="V115" s="1831"/>
      <c r="W115" s="1218"/>
      <c r="X115" s="1189"/>
      <c r="Y115" s="1189"/>
      <c r="Z115" s="1189"/>
      <c r="AA115" s="1189"/>
      <c r="AB115" s="1189"/>
      <c r="AC115" s="1189" t="s">
        <v>305</v>
      </c>
      <c r="AD115" s="1189" t="s">
        <v>306</v>
      </c>
      <c r="AE115" s="1189" t="s">
        <v>307</v>
      </c>
      <c r="AF115" s="1189" t="s">
        <v>308</v>
      </c>
      <c r="AG115" s="1189"/>
      <c r="AH115" s="1189" t="str">
        <f>IF($E$115=0,"",$E$115)</f>
        <v>Тариф на подключение (технологическое присоединение) к централизованной системе горячего водоснабжения</v>
      </c>
      <c r="AI115" s="1189" t="str">
        <f>IF($G$115=0,"",$G$115)</f>
        <v/>
      </c>
      <c r="AJ115" s="1189" t="str">
        <f>IF($J$115=0,"",$J$115)</f>
        <v/>
      </c>
      <c r="AK115" s="1189" t="str">
        <f>IF($K$115="нет","без дифференциации",IF($N$115=0,"",$N$115))</f>
        <v/>
      </c>
      <c r="AL115" s="1189" t="str">
        <f>IF($O$115="нет","без дифференциации",IF($R$115=0,"",$R$115))</f>
        <v/>
      </c>
      <c r="AM115" s="1189" t="str">
        <f>IF($S$115="нет","без дифференциации",IF($V$115=0,"",$V$115))</f>
        <v/>
      </c>
      <c r="AN115" s="1665">
        <f>$I$115</f>
        <v>0</v>
      </c>
      <c r="AO115" s="1189" t="str">
        <f>$I$115&amp;"."&amp;$M$115</f>
        <v>.</v>
      </c>
      <c r="AP115" s="1188" t="str">
        <f>$I$115&amp;"."&amp;$M$115&amp;"."&amp;$Q$115</f>
        <v>..</v>
      </c>
      <c r="AQ115" s="1188" t="str">
        <f>$I$115&amp;"."&amp;$M$115&amp;"."&amp;$Q$115&amp;"."&amp;$U$115</f>
        <v>...</v>
      </c>
      <c r="AR115" s="1389">
        <v>0</v>
      </c>
    </row>
    <row r="116" spans="1:44" s="1742" customFormat="1" ht="17.25" customHeight="1">
      <c r="A116" s="256"/>
      <c r="C116" s="255"/>
      <c r="D116" s="3626"/>
      <c r="E116" s="3634"/>
      <c r="F116" s="3637"/>
      <c r="G116" s="3634"/>
      <c r="H116" s="3640"/>
      <c r="I116" s="3642"/>
      <c r="J116" s="3644"/>
      <c r="K116" s="3629"/>
      <c r="L116" s="3629"/>
      <c r="M116" s="3629"/>
      <c r="N116" s="3631"/>
      <c r="O116" s="3629"/>
      <c r="P116" s="3629"/>
      <c r="Q116" s="3629"/>
      <c r="R116" s="3632"/>
      <c r="S116" s="3629"/>
      <c r="T116" s="1834"/>
      <c r="U116" s="1834"/>
      <c r="V116" s="1834"/>
      <c r="W116" s="1835"/>
      <c r="X116" s="1188"/>
      <c r="Y116" s="1188"/>
      <c r="Z116" s="1188"/>
      <c r="AA116" s="1188"/>
      <c r="AB116" s="1188"/>
      <c r="AC116" s="1188"/>
      <c r="AD116" s="1188"/>
      <c r="AE116" s="1188"/>
      <c r="AF116" s="1188"/>
      <c r="AG116" s="1188"/>
      <c r="AH116" s="1188"/>
      <c r="AI116" s="1188"/>
      <c r="AJ116" s="1188"/>
      <c r="AK116" s="1188"/>
      <c r="AL116" s="1188"/>
      <c r="AM116" s="1188"/>
      <c r="AN116" s="1188"/>
      <c r="AO116" s="1188"/>
      <c r="AP116" s="1188"/>
      <c r="AQ116" s="1188"/>
      <c r="AR116" s="1389">
        <v>0</v>
      </c>
    </row>
    <row r="117" spans="1:44" s="1742" customFormat="1" ht="17.25" customHeight="1">
      <c r="A117" s="256"/>
      <c r="C117" s="255"/>
      <c r="D117" s="3627"/>
      <c r="E117" s="3635"/>
      <c r="F117" s="3637"/>
      <c r="G117" s="3635"/>
      <c r="H117" s="3640"/>
      <c r="I117" s="3642"/>
      <c r="J117" s="3645"/>
      <c r="K117" s="3629"/>
      <c r="L117" s="3629"/>
      <c r="M117" s="3629"/>
      <c r="N117" s="3632"/>
      <c r="O117" s="3629"/>
      <c r="P117" s="1830"/>
      <c r="Q117" s="1834"/>
      <c r="R117" s="1834"/>
      <c r="S117" s="264"/>
      <c r="T117" s="264"/>
      <c r="U117" s="264"/>
      <c r="V117" s="264"/>
      <c r="W117" s="1835"/>
      <c r="X117" s="1188"/>
      <c r="Y117" s="1188"/>
      <c r="Z117" s="1188"/>
      <c r="AA117" s="1188"/>
      <c r="AB117" s="1188"/>
      <c r="AC117" s="1188"/>
      <c r="AD117" s="1188"/>
      <c r="AE117" s="1188"/>
      <c r="AF117" s="1188"/>
      <c r="AG117" s="1188"/>
      <c r="AH117" s="1188"/>
      <c r="AI117" s="1188"/>
      <c r="AJ117" s="1188"/>
      <c r="AK117" s="1188"/>
      <c r="AL117" s="1188"/>
      <c r="AM117" s="1188"/>
      <c r="AN117" s="1188"/>
      <c r="AO117" s="1188"/>
      <c r="AP117" s="1188"/>
      <c r="AQ117" s="1188"/>
      <c r="AR117" s="1389">
        <v>0</v>
      </c>
    </row>
    <row r="118" spans="1:44" s="1742" customFormat="1" ht="17.25" customHeight="1">
      <c r="A118" s="256"/>
      <c r="C118" s="255"/>
      <c r="D118" s="3627"/>
      <c r="E118" s="3635"/>
      <c r="F118" s="3637"/>
      <c r="G118" s="3635"/>
      <c r="H118" s="3640"/>
      <c r="I118" s="3642"/>
      <c r="J118" s="3645"/>
      <c r="K118" s="3629"/>
      <c r="L118" s="1834"/>
      <c r="M118" s="1834"/>
      <c r="N118" s="1834"/>
      <c r="O118" s="1834"/>
      <c r="P118" s="1834"/>
      <c r="Q118" s="1834"/>
      <c r="R118" s="1834"/>
      <c r="S118" s="264"/>
      <c r="T118" s="264"/>
      <c r="U118" s="264"/>
      <c r="V118" s="264"/>
      <c r="W118" s="1835"/>
      <c r="X118" s="1188"/>
      <c r="Y118" s="1188"/>
      <c r="Z118" s="1188"/>
      <c r="AA118" s="1188"/>
      <c r="AB118" s="1188"/>
      <c r="AC118" s="1188"/>
      <c r="AD118" s="1188"/>
      <c r="AE118" s="1188"/>
      <c r="AF118" s="1188"/>
      <c r="AG118" s="1188"/>
      <c r="AH118" s="1188"/>
      <c r="AI118" s="1188"/>
      <c r="AJ118" s="1188"/>
      <c r="AK118" s="1188"/>
      <c r="AL118" s="1188"/>
      <c r="AM118" s="1188"/>
      <c r="AN118" s="1188"/>
      <c r="AO118" s="1188"/>
      <c r="AP118" s="1188"/>
      <c r="AQ118" s="1188"/>
      <c r="AR118" s="1389">
        <v>0</v>
      </c>
    </row>
    <row r="119" spans="1:44" s="1742" customFormat="1" ht="17.25" customHeight="1">
      <c r="A119" s="256"/>
      <c r="C119" s="255"/>
      <c r="D119" s="3627"/>
      <c r="E119" s="3635"/>
      <c r="F119" s="3638"/>
      <c r="G119" s="3635"/>
      <c r="H119" s="1221"/>
      <c r="I119" s="1832"/>
      <c r="J119" s="1832"/>
      <c r="K119" s="1832"/>
      <c r="L119" s="1832"/>
      <c r="M119" s="1832"/>
      <c r="N119" s="1832"/>
      <c r="O119" s="1832"/>
      <c r="P119" s="1832"/>
      <c r="Q119" s="1832"/>
      <c r="R119" s="1832"/>
      <c r="S119" s="1223"/>
      <c r="T119" s="1223"/>
      <c r="U119" s="1223"/>
      <c r="V119" s="1223"/>
      <c r="W119" s="1833"/>
      <c r="X119" s="1188"/>
      <c r="Y119" s="1188"/>
      <c r="Z119" s="1188"/>
      <c r="AA119" s="1188"/>
      <c r="AB119" s="1188"/>
      <c r="AC119" s="1188"/>
      <c r="AD119" s="1188"/>
      <c r="AE119" s="1188"/>
      <c r="AF119" s="1188"/>
      <c r="AG119" s="1188"/>
      <c r="AH119" s="1188"/>
      <c r="AI119" s="1188"/>
      <c r="AJ119" s="1188"/>
      <c r="AK119" s="1188"/>
      <c r="AL119" s="1188"/>
      <c r="AM119" s="1188"/>
      <c r="AN119" s="1188"/>
      <c r="AO119" s="1188"/>
      <c r="AP119" s="1188"/>
      <c r="AQ119" s="1188"/>
      <c r="AR119" s="1389">
        <v>0</v>
      </c>
    </row>
    <row r="120" spans="1:44" s="1742" customFormat="1" ht="11.25" customHeight="1">
      <c r="A120" s="212"/>
      <c r="B120" s="212"/>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c r="AR120" s="1389">
        <v>0</v>
      </c>
    </row>
    <row r="121" spans="1:44" s="1742" customFormat="1" ht="17.25" customHeight="1">
      <c r="A121" s="256"/>
      <c r="C121" s="144"/>
      <c r="D121" s="3626">
        <v>1</v>
      </c>
      <c r="E121" s="3634" t="s">
        <v>309</v>
      </c>
      <c r="F121" s="3636" t="s">
        <v>6</v>
      </c>
      <c r="G121" s="3634"/>
      <c r="H121" s="3639"/>
      <c r="I121" s="3641"/>
      <c r="J121" s="3643"/>
      <c r="K121" s="3628"/>
      <c r="L121" s="3628"/>
      <c r="M121" s="3628"/>
      <c r="N121" s="3630"/>
      <c r="O121" s="3628"/>
      <c r="P121" s="3628"/>
      <c r="Q121" s="3628"/>
      <c r="R121" s="3633"/>
      <c r="S121" s="3628"/>
      <c r="T121" s="1392"/>
      <c r="U121" s="1392"/>
      <c r="V121" s="1394"/>
      <c r="W121" s="1218"/>
      <c r="Y121" s="1189"/>
      <c r="Z121" s="1189"/>
      <c r="AA121" s="1189"/>
      <c r="AB121" s="1189"/>
      <c r="AC121" s="1189" t="s">
        <v>310</v>
      </c>
      <c r="AD121" s="1189" t="s">
        <v>311</v>
      </c>
      <c r="AE121" s="1189" t="s">
        <v>312</v>
      </c>
      <c r="AF121" s="1189" t="s">
        <v>313</v>
      </c>
      <c r="AG121" s="1189"/>
      <c r="AH121" s="1189" t="str">
        <f>IF($E$121=0,"",$E$121)</f>
        <v>Тариф на водоотведение</v>
      </c>
      <c r="AI121" s="1189" t="str">
        <f>IF($G$121=0,"",$G$121)</f>
        <v/>
      </c>
      <c r="AJ121" s="1189" t="str">
        <f>IF($J$121=0,"",$J$121)</f>
        <v/>
      </c>
      <c r="AK121" s="1189" t="str">
        <f>IF($K$121="нет","без дифференциации",IF($N$121=0,"",$N$121))</f>
        <v/>
      </c>
      <c r="AL121" s="1189" t="str">
        <f>IF($O$121="нет","без дифференциации",IF($R$121=0,"",$R$121))</f>
        <v/>
      </c>
      <c r="AM121" s="1189" t="str">
        <f>IF($S$121="нет","без дифференциации",IF($V$121=0,"",$V$121))</f>
        <v/>
      </c>
      <c r="AN121" s="1189">
        <f>$I$121</f>
        <v>0</v>
      </c>
      <c r="AO121" s="1189" t="str">
        <f>$I$121&amp;"."&amp;$M$121</f>
        <v>.</v>
      </c>
      <c r="AP121" s="1189" t="str">
        <f>$I$121&amp;"."&amp;$M$121&amp;"."&amp;$Q$121</f>
        <v>..</v>
      </c>
      <c r="AQ121" s="1189" t="str">
        <f>$I$121&amp;"."&amp;$M$121&amp;"."&amp;$Q$121&amp;"."&amp;$U$121</f>
        <v>...</v>
      </c>
      <c r="AR121" s="1389">
        <v>0</v>
      </c>
    </row>
    <row r="122" spans="1:44" s="1742" customFormat="1" ht="17.25" customHeight="1">
      <c r="A122" s="256"/>
      <c r="C122" s="255"/>
      <c r="D122" s="3626"/>
      <c r="E122" s="3634"/>
      <c r="F122" s="3637"/>
      <c r="G122" s="3634"/>
      <c r="H122" s="3640"/>
      <c r="I122" s="3642"/>
      <c r="J122" s="3644"/>
      <c r="K122" s="3629"/>
      <c r="L122" s="3629"/>
      <c r="M122" s="3629"/>
      <c r="N122" s="3631"/>
      <c r="O122" s="3629"/>
      <c r="P122" s="3629"/>
      <c r="Q122" s="3629"/>
      <c r="R122" s="3632"/>
      <c r="S122" s="3629"/>
      <c r="T122" s="1219"/>
      <c r="U122" s="1219"/>
      <c r="V122" s="1219"/>
      <c r="W122" s="1220"/>
      <c r="Y122" s="1181"/>
      <c r="Z122" s="1181"/>
      <c r="AA122" s="1181"/>
      <c r="AB122" s="1181"/>
      <c r="AC122" s="1181"/>
      <c r="AD122" s="1181"/>
      <c r="AE122" s="1181"/>
      <c r="AF122" s="1181"/>
      <c r="AG122" s="1181"/>
      <c r="AH122" s="1181"/>
      <c r="AI122" s="1181"/>
      <c r="AJ122" s="1181"/>
      <c r="AK122" s="1181"/>
      <c r="AL122" s="1181"/>
      <c r="AM122" s="1181"/>
      <c r="AN122" s="1181"/>
      <c r="AO122" s="1181"/>
      <c r="AP122" s="1181"/>
      <c r="AQ122" s="1181"/>
      <c r="AR122" s="1389">
        <v>0</v>
      </c>
    </row>
    <row r="123" spans="1:44" s="1742" customFormat="1" ht="17.25" customHeight="1">
      <c r="A123" s="256"/>
      <c r="C123" s="144"/>
      <c r="D123" s="3626"/>
      <c r="E123" s="3634"/>
      <c r="F123" s="3637"/>
      <c r="G123" s="3634"/>
      <c r="H123" s="3640"/>
      <c r="I123" s="3642"/>
      <c r="J123" s="3645"/>
      <c r="K123" s="3629"/>
      <c r="L123" s="3629"/>
      <c r="M123" s="3629"/>
      <c r="N123" s="3632"/>
      <c r="O123" s="3629"/>
      <c r="P123" s="1393"/>
      <c r="Q123" s="1219"/>
      <c r="R123" s="1219"/>
      <c r="S123" s="264"/>
      <c r="T123" s="264"/>
      <c r="U123" s="264"/>
      <c r="V123" s="264"/>
      <c r="W123" s="1220"/>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389">
        <v>0</v>
      </c>
    </row>
    <row r="124" spans="1:44" s="1742" customFormat="1" ht="17.25" customHeight="1">
      <c r="A124" s="256"/>
      <c r="C124" s="255"/>
      <c r="D124" s="3626"/>
      <c r="E124" s="3634"/>
      <c r="F124" s="3637"/>
      <c r="G124" s="3634"/>
      <c r="H124" s="3640"/>
      <c r="I124" s="3642"/>
      <c r="J124" s="3645"/>
      <c r="K124" s="3629"/>
      <c r="L124" s="1219"/>
      <c r="M124" s="1219"/>
      <c r="N124" s="1219"/>
      <c r="O124" s="1219"/>
      <c r="P124" s="1219"/>
      <c r="Q124" s="1219"/>
      <c r="R124" s="1219"/>
      <c r="S124" s="264"/>
      <c r="T124" s="264"/>
      <c r="U124" s="264"/>
      <c r="V124" s="264"/>
      <c r="W124" s="1220"/>
      <c r="Y124" s="1181"/>
      <c r="Z124" s="1181"/>
      <c r="AA124" s="1181"/>
      <c r="AB124" s="1181"/>
      <c r="AC124" s="1181"/>
      <c r="AD124" s="1181"/>
      <c r="AE124" s="1181"/>
      <c r="AF124" s="1181"/>
      <c r="AG124" s="1181"/>
      <c r="AH124" s="1181"/>
      <c r="AI124" s="1181"/>
      <c r="AJ124" s="1181"/>
      <c r="AK124" s="1181"/>
      <c r="AL124" s="1181"/>
      <c r="AM124" s="1181"/>
      <c r="AN124" s="1181"/>
      <c r="AO124" s="1181"/>
      <c r="AP124" s="1181"/>
      <c r="AQ124" s="1181"/>
      <c r="AR124" s="1389">
        <v>0</v>
      </c>
    </row>
    <row r="125" spans="1:44" s="1742" customFormat="1" ht="17.25" customHeight="1">
      <c r="A125" s="256"/>
      <c r="C125" s="255"/>
      <c r="D125" s="3627"/>
      <c r="E125" s="3635"/>
      <c r="F125" s="3638"/>
      <c r="G125" s="3635"/>
      <c r="H125" s="1221"/>
      <c r="I125" s="1222"/>
      <c r="J125" s="1222"/>
      <c r="K125" s="1222"/>
      <c r="L125" s="1222"/>
      <c r="M125" s="1222"/>
      <c r="N125" s="1222"/>
      <c r="O125" s="1222"/>
      <c r="P125" s="1222"/>
      <c r="Q125" s="1222"/>
      <c r="R125" s="1222"/>
      <c r="S125" s="1223"/>
      <c r="T125" s="1223"/>
      <c r="U125" s="1223"/>
      <c r="V125" s="1223"/>
      <c r="W125" s="1224"/>
      <c r="Y125" s="1181"/>
      <c r="Z125" s="1181"/>
      <c r="AA125" s="1181"/>
      <c r="AB125" s="1181"/>
      <c r="AC125" s="1181"/>
      <c r="AD125" s="1181"/>
      <c r="AE125" s="1181"/>
      <c r="AF125" s="1181"/>
      <c r="AG125" s="1181"/>
      <c r="AH125" s="1181"/>
      <c r="AI125" s="1181"/>
      <c r="AJ125" s="1181"/>
      <c r="AK125" s="1181"/>
      <c r="AL125" s="1181"/>
      <c r="AM125" s="1181"/>
      <c r="AN125" s="1181"/>
      <c r="AO125" s="1181"/>
      <c r="AP125" s="1181"/>
      <c r="AQ125" s="1181"/>
      <c r="AR125" s="1389">
        <v>0</v>
      </c>
    </row>
    <row r="126" spans="1:44" s="1742" customFormat="1" ht="17.25" customHeight="1">
      <c r="A126" s="256"/>
      <c r="C126" s="144"/>
      <c r="D126" s="3626">
        <v>2</v>
      </c>
      <c r="E126" s="3634" t="s">
        <v>314</v>
      </c>
      <c r="F126" s="3636" t="s">
        <v>6</v>
      </c>
      <c r="G126" s="3634"/>
      <c r="H126" s="3639"/>
      <c r="I126" s="3641"/>
      <c r="J126" s="3643"/>
      <c r="K126" s="3628"/>
      <c r="L126" s="3628"/>
      <c r="M126" s="3628"/>
      <c r="N126" s="3630"/>
      <c r="O126" s="3628"/>
      <c r="P126" s="3628"/>
      <c r="Q126" s="3628"/>
      <c r="R126" s="3633"/>
      <c r="S126" s="3628"/>
      <c r="T126" s="1392"/>
      <c r="U126" s="1392"/>
      <c r="V126" s="1394"/>
      <c r="W126" s="1218"/>
      <c r="X126" s="1189"/>
      <c r="Y126" s="1189"/>
      <c r="Z126" s="1189"/>
      <c r="AA126" s="1189"/>
      <c r="AB126" s="1189"/>
      <c r="AC126" s="1189" t="s">
        <v>315</v>
      </c>
      <c r="AD126" s="1189" t="s">
        <v>316</v>
      </c>
      <c r="AE126" s="1189" t="s">
        <v>317</v>
      </c>
      <c r="AF126" s="1189" t="s">
        <v>318</v>
      </c>
      <c r="AG126" s="1189"/>
      <c r="AH126" s="1189" t="str">
        <f>IF($E$126=0,"",$E$126)</f>
        <v>Тариф на транспортировку сточных вод</v>
      </c>
      <c r="AI126" s="1189" t="str">
        <f>IF($G$126=0,"",$G$126)</f>
        <v/>
      </c>
      <c r="AJ126" s="1189" t="str">
        <f>IF($J$126=0,"",$J$126)</f>
        <v/>
      </c>
      <c r="AK126" s="1189" t="str">
        <f>IF($K$126="нет","без дифференциации",IF($N$126=0,"",$N$126))</f>
        <v/>
      </c>
      <c r="AL126" s="1189" t="str">
        <f>IF($O$126="нет","без дифференциации",IF($R$126=0,"",$R$126))</f>
        <v/>
      </c>
      <c r="AM126" s="1189" t="str">
        <f>IF($S$126="нет","без дифференциации",IF($V$126=0,"",$V$126))</f>
        <v/>
      </c>
      <c r="AN126" s="1665">
        <f>$I$126</f>
        <v>0</v>
      </c>
      <c r="AO126" s="1189" t="str">
        <f>$I$126&amp;"."&amp;$M$126</f>
        <v>.</v>
      </c>
      <c r="AP126" s="1181" t="str">
        <f>$I$126&amp;"."&amp;$M$126&amp;"."&amp;$Q$126</f>
        <v>..</v>
      </c>
      <c r="AQ126" s="1181" t="str">
        <f>$I$126&amp;"."&amp;$M$126&amp;"."&amp;$Q$126&amp;"."&amp;$U$126</f>
        <v>...</v>
      </c>
      <c r="AR126" s="1389">
        <v>0</v>
      </c>
    </row>
    <row r="127" spans="1:44" s="1742" customFormat="1" ht="17.25" customHeight="1">
      <c r="A127" s="256"/>
      <c r="C127" s="255"/>
      <c r="D127" s="3626"/>
      <c r="E127" s="3634"/>
      <c r="F127" s="3637"/>
      <c r="G127" s="3634"/>
      <c r="H127" s="3640"/>
      <c r="I127" s="3642"/>
      <c r="J127" s="3644"/>
      <c r="K127" s="3629"/>
      <c r="L127" s="3629"/>
      <c r="M127" s="3629"/>
      <c r="N127" s="3631"/>
      <c r="O127" s="3629"/>
      <c r="P127" s="3629"/>
      <c r="Q127" s="3629"/>
      <c r="R127" s="3632"/>
      <c r="S127" s="3629"/>
      <c r="T127" s="1219"/>
      <c r="U127" s="1219"/>
      <c r="V127" s="1219"/>
      <c r="W127" s="1220"/>
      <c r="X127" s="1181"/>
      <c r="Y127" s="1181"/>
      <c r="Z127" s="1181"/>
      <c r="AA127" s="1181"/>
      <c r="AB127" s="1181"/>
      <c r="AC127" s="1181"/>
      <c r="AD127" s="1181"/>
      <c r="AE127" s="1181"/>
      <c r="AF127" s="1181"/>
      <c r="AG127" s="1181"/>
      <c r="AH127" s="1181"/>
      <c r="AI127" s="1181"/>
      <c r="AJ127" s="1181"/>
      <c r="AK127" s="1181"/>
      <c r="AL127" s="1181"/>
      <c r="AM127" s="1181"/>
      <c r="AN127" s="1181"/>
      <c r="AO127" s="1181"/>
      <c r="AP127" s="1181"/>
      <c r="AQ127" s="1181"/>
      <c r="AR127" s="1389">
        <v>0</v>
      </c>
    </row>
    <row r="128" spans="1:44" s="1742" customFormat="1" ht="17.25" customHeight="1">
      <c r="A128" s="256"/>
      <c r="C128" s="255"/>
      <c r="D128" s="3627"/>
      <c r="E128" s="3635"/>
      <c r="F128" s="3637"/>
      <c r="G128" s="3635"/>
      <c r="H128" s="3640"/>
      <c r="I128" s="3642"/>
      <c r="J128" s="3645"/>
      <c r="K128" s="3629"/>
      <c r="L128" s="3629"/>
      <c r="M128" s="3629"/>
      <c r="N128" s="3632"/>
      <c r="O128" s="3629"/>
      <c r="P128" s="1393"/>
      <c r="Q128" s="1219"/>
      <c r="R128" s="1219"/>
      <c r="S128" s="264"/>
      <c r="T128" s="264"/>
      <c r="U128" s="264"/>
      <c r="V128" s="264"/>
      <c r="W128" s="1220"/>
      <c r="X128" s="1181"/>
      <c r="Y128" s="1181"/>
      <c r="Z128" s="1181"/>
      <c r="AA128" s="1181"/>
      <c r="AB128" s="1181"/>
      <c r="AC128" s="1181"/>
      <c r="AD128" s="1181"/>
      <c r="AE128" s="1181"/>
      <c r="AF128" s="1181"/>
      <c r="AG128" s="1181"/>
      <c r="AH128" s="1181"/>
      <c r="AI128" s="1181"/>
      <c r="AJ128" s="1181"/>
      <c r="AK128" s="1181"/>
      <c r="AL128" s="1181"/>
      <c r="AM128" s="1181"/>
      <c r="AN128" s="1181"/>
      <c r="AO128" s="1181"/>
      <c r="AP128" s="1181"/>
      <c r="AQ128" s="1181"/>
      <c r="AR128" s="1389">
        <v>0</v>
      </c>
    </row>
    <row r="129" spans="1:44" s="1742" customFormat="1" ht="17.25" customHeight="1">
      <c r="A129" s="256"/>
      <c r="C129" s="255"/>
      <c r="D129" s="3627"/>
      <c r="E129" s="3635"/>
      <c r="F129" s="3637"/>
      <c r="G129" s="3635"/>
      <c r="H129" s="3640"/>
      <c r="I129" s="3642"/>
      <c r="J129" s="3645"/>
      <c r="K129" s="3629"/>
      <c r="L129" s="1219"/>
      <c r="M129" s="1219"/>
      <c r="N129" s="1219"/>
      <c r="O129" s="1219"/>
      <c r="P129" s="1219"/>
      <c r="Q129" s="1219"/>
      <c r="R129" s="1219"/>
      <c r="S129" s="264"/>
      <c r="T129" s="264"/>
      <c r="U129" s="264"/>
      <c r="V129" s="264"/>
      <c r="W129" s="1220"/>
      <c r="X129" s="1181"/>
      <c r="Y129" s="1181"/>
      <c r="Z129" s="1181"/>
      <c r="AA129" s="1181"/>
      <c r="AB129" s="1181"/>
      <c r="AC129" s="1181"/>
      <c r="AD129" s="1181"/>
      <c r="AE129" s="1181"/>
      <c r="AF129" s="1181"/>
      <c r="AG129" s="1181"/>
      <c r="AH129" s="1181"/>
      <c r="AI129" s="1181"/>
      <c r="AJ129" s="1181"/>
      <c r="AK129" s="1181"/>
      <c r="AL129" s="1181"/>
      <c r="AM129" s="1181"/>
      <c r="AN129" s="1181"/>
      <c r="AO129" s="1181"/>
      <c r="AP129" s="1181"/>
      <c r="AQ129" s="1181"/>
      <c r="AR129" s="1389">
        <v>0</v>
      </c>
    </row>
    <row r="130" spans="1:44" s="1742" customFormat="1" ht="17.25" customHeight="1">
      <c r="A130" s="256"/>
      <c r="C130" s="255"/>
      <c r="D130" s="3627"/>
      <c r="E130" s="3635"/>
      <c r="F130" s="3638"/>
      <c r="G130" s="3635"/>
      <c r="H130" s="1221"/>
      <c r="I130" s="1222"/>
      <c r="J130" s="1222"/>
      <c r="K130" s="1222"/>
      <c r="L130" s="1222"/>
      <c r="M130" s="1222"/>
      <c r="N130" s="1222"/>
      <c r="O130" s="1222"/>
      <c r="P130" s="1222"/>
      <c r="Q130" s="1222"/>
      <c r="R130" s="1222"/>
      <c r="S130" s="1223"/>
      <c r="T130" s="1223"/>
      <c r="U130" s="1223"/>
      <c r="V130" s="1223"/>
      <c r="W130" s="1224"/>
      <c r="X130" s="1181"/>
      <c r="Y130" s="1181"/>
      <c r="Z130" s="1181"/>
      <c r="AA130" s="1181"/>
      <c r="AB130" s="1181"/>
      <c r="AC130" s="1181"/>
      <c r="AD130" s="1181"/>
      <c r="AE130" s="1181"/>
      <c r="AF130" s="1181"/>
      <c r="AG130" s="1181"/>
      <c r="AH130" s="1181"/>
      <c r="AI130" s="1181"/>
      <c r="AJ130" s="1181"/>
      <c r="AK130" s="1181"/>
      <c r="AL130" s="1181"/>
      <c r="AM130" s="1181"/>
      <c r="AN130" s="1181"/>
      <c r="AO130" s="1181"/>
      <c r="AP130" s="1181"/>
      <c r="AQ130" s="1181"/>
      <c r="AR130" s="1389">
        <v>0</v>
      </c>
    </row>
    <row r="131" spans="1:44" s="1742" customFormat="1" ht="17.25" customHeight="1">
      <c r="A131" s="256"/>
      <c r="C131" s="144"/>
      <c r="D131" s="3626">
        <v>3</v>
      </c>
      <c r="E131" s="3634" t="s">
        <v>319</v>
      </c>
      <c r="F131" s="3636" t="s">
        <v>6</v>
      </c>
      <c r="G131" s="3634"/>
      <c r="H131" s="3639"/>
      <c r="I131" s="3641"/>
      <c r="J131" s="3643"/>
      <c r="K131" s="3628"/>
      <c r="L131" s="3628"/>
      <c r="M131" s="3628"/>
      <c r="N131" s="3630"/>
      <c r="O131" s="3628"/>
      <c r="P131" s="3628"/>
      <c r="Q131" s="3628"/>
      <c r="R131" s="3633"/>
      <c r="S131" s="3628"/>
      <c r="T131" s="1829"/>
      <c r="U131" s="1829"/>
      <c r="V131" s="1831"/>
      <c r="W131" s="1218"/>
      <c r="X131" s="1189"/>
      <c r="Y131" s="1189"/>
      <c r="Z131" s="1189"/>
      <c r="AA131" s="1189"/>
      <c r="AB131" s="1189"/>
      <c r="AC131" s="1189" t="s">
        <v>320</v>
      </c>
      <c r="AD131" s="1189" t="s">
        <v>321</v>
      </c>
      <c r="AE131" s="1189" t="s">
        <v>322</v>
      </c>
      <c r="AF131" s="1189" t="s">
        <v>323</v>
      </c>
      <c r="AG131" s="1189"/>
      <c r="AH131" s="1189" t="str">
        <f>IF($E$131=0,"",$E$131)</f>
        <v>Тариф на подключение (технологическое присоединение) к централизованной системе водоотведения</v>
      </c>
      <c r="AI131" s="1189" t="str">
        <f>IF($G$131=0,"",$G$131)</f>
        <v/>
      </c>
      <c r="AJ131" s="1189" t="str">
        <f>IF($J$131=0,"",$J$131)</f>
        <v/>
      </c>
      <c r="AK131" s="1189" t="str">
        <f>IF($K$131="нет","без дифференциации",IF($N$131=0,"",$N$131))</f>
        <v/>
      </c>
      <c r="AL131" s="1189" t="str">
        <f>IF($O$131="нет","без дифференциации",IF($R$131=0,"",$R$131))</f>
        <v/>
      </c>
      <c r="AM131" s="1189" t="str">
        <f>IF($S$131="нет","без дифференциации",IF($V$131=0,"",$V$131))</f>
        <v/>
      </c>
      <c r="AN131" s="1665">
        <f>$I$131</f>
        <v>0</v>
      </c>
      <c r="AO131" s="1189" t="str">
        <f>$I$131&amp;"."&amp;$M$131</f>
        <v>.</v>
      </c>
      <c r="AP131" s="1188" t="str">
        <f>$I$131&amp;"."&amp;$M$131&amp;"."&amp;$Q$131</f>
        <v>..</v>
      </c>
      <c r="AQ131" s="1188" t="str">
        <f>$I$131&amp;"."&amp;$M$131&amp;"."&amp;$Q$131&amp;"."&amp;$U$131</f>
        <v>...</v>
      </c>
      <c r="AR131" s="1389">
        <v>0</v>
      </c>
    </row>
    <row r="132" spans="1:44" s="1742" customFormat="1" ht="17.25" customHeight="1">
      <c r="A132" s="256"/>
      <c r="C132" s="255"/>
      <c r="D132" s="3626"/>
      <c r="E132" s="3634"/>
      <c r="F132" s="3637"/>
      <c r="G132" s="3634"/>
      <c r="H132" s="3640"/>
      <c r="I132" s="3642"/>
      <c r="J132" s="3644"/>
      <c r="K132" s="3629"/>
      <c r="L132" s="3629"/>
      <c r="M132" s="3629"/>
      <c r="N132" s="3631"/>
      <c r="O132" s="3629"/>
      <c r="P132" s="3629"/>
      <c r="Q132" s="3629"/>
      <c r="R132" s="3632"/>
      <c r="S132" s="3629"/>
      <c r="T132" s="1834"/>
      <c r="U132" s="1834"/>
      <c r="V132" s="1834"/>
      <c r="W132" s="1835"/>
      <c r="X132" s="1188"/>
      <c r="Y132" s="1188"/>
      <c r="Z132" s="1188"/>
      <c r="AA132" s="1188"/>
      <c r="AB132" s="1188"/>
      <c r="AC132" s="1188"/>
      <c r="AD132" s="1188"/>
      <c r="AE132" s="1188"/>
      <c r="AF132" s="1188"/>
      <c r="AG132" s="1188"/>
      <c r="AH132" s="1188"/>
      <c r="AI132" s="1188"/>
      <c r="AJ132" s="1188"/>
      <c r="AK132" s="1188"/>
      <c r="AL132" s="1188"/>
      <c r="AM132" s="1188"/>
      <c r="AN132" s="1188"/>
      <c r="AO132" s="1188"/>
      <c r="AP132" s="1188"/>
      <c r="AQ132" s="1188"/>
      <c r="AR132" s="1389">
        <v>0</v>
      </c>
    </row>
    <row r="133" spans="1:44" s="1742" customFormat="1" ht="17.25" customHeight="1">
      <c r="A133" s="256"/>
      <c r="C133" s="255"/>
      <c r="D133" s="3627"/>
      <c r="E133" s="3635"/>
      <c r="F133" s="3637"/>
      <c r="G133" s="3635"/>
      <c r="H133" s="3640"/>
      <c r="I133" s="3642"/>
      <c r="J133" s="3645"/>
      <c r="K133" s="3629"/>
      <c r="L133" s="3629"/>
      <c r="M133" s="3629"/>
      <c r="N133" s="3632"/>
      <c r="O133" s="3629"/>
      <c r="P133" s="1830"/>
      <c r="Q133" s="1834"/>
      <c r="R133" s="1834"/>
      <c r="S133" s="264"/>
      <c r="T133" s="264"/>
      <c r="U133" s="264"/>
      <c r="V133" s="264"/>
      <c r="W133" s="1835"/>
      <c r="X133" s="1188"/>
      <c r="Y133" s="1188"/>
      <c r="Z133" s="1188"/>
      <c r="AA133" s="1188"/>
      <c r="AB133" s="1188"/>
      <c r="AC133" s="1188"/>
      <c r="AD133" s="1188"/>
      <c r="AE133" s="1188"/>
      <c r="AF133" s="1188"/>
      <c r="AG133" s="1188"/>
      <c r="AH133" s="1188"/>
      <c r="AI133" s="1188"/>
      <c r="AJ133" s="1188"/>
      <c r="AK133" s="1188"/>
      <c r="AL133" s="1188"/>
      <c r="AM133" s="1188"/>
      <c r="AN133" s="1188"/>
      <c r="AO133" s="1188"/>
      <c r="AP133" s="1188"/>
      <c r="AQ133" s="1188"/>
      <c r="AR133" s="1389">
        <v>0</v>
      </c>
    </row>
    <row r="134" spans="1:44" s="1742" customFormat="1" ht="17.25" customHeight="1">
      <c r="A134" s="256"/>
      <c r="C134" s="255"/>
      <c r="D134" s="3627"/>
      <c r="E134" s="3635"/>
      <c r="F134" s="3637"/>
      <c r="G134" s="3635"/>
      <c r="H134" s="3640"/>
      <c r="I134" s="3642"/>
      <c r="J134" s="3645"/>
      <c r="K134" s="3629"/>
      <c r="L134" s="1834"/>
      <c r="M134" s="1834"/>
      <c r="N134" s="1834"/>
      <c r="O134" s="1834"/>
      <c r="P134" s="1834"/>
      <c r="Q134" s="1834"/>
      <c r="R134" s="1834"/>
      <c r="S134" s="264"/>
      <c r="T134" s="264"/>
      <c r="U134" s="264"/>
      <c r="V134" s="264"/>
      <c r="W134" s="1835"/>
      <c r="X134" s="1188"/>
      <c r="Y134" s="1188"/>
      <c r="Z134" s="1188"/>
      <c r="AA134" s="1188"/>
      <c r="AB134" s="1188"/>
      <c r="AC134" s="1188"/>
      <c r="AD134" s="1188"/>
      <c r="AE134" s="1188"/>
      <c r="AF134" s="1188"/>
      <c r="AG134" s="1188"/>
      <c r="AH134" s="1188"/>
      <c r="AI134" s="1188"/>
      <c r="AJ134" s="1188"/>
      <c r="AK134" s="1188"/>
      <c r="AL134" s="1188"/>
      <c r="AM134" s="1188"/>
      <c r="AN134" s="1188"/>
      <c r="AO134" s="1188"/>
      <c r="AP134" s="1188"/>
      <c r="AQ134" s="1188"/>
      <c r="AR134" s="1389">
        <v>0</v>
      </c>
    </row>
    <row r="135" spans="1:44" s="1742" customFormat="1" ht="17.25" customHeight="1">
      <c r="A135" s="256"/>
      <c r="C135" s="255"/>
      <c r="D135" s="3627"/>
      <c r="E135" s="3635"/>
      <c r="F135" s="3638"/>
      <c r="G135" s="3635"/>
      <c r="H135" s="1221"/>
      <c r="I135" s="1832"/>
      <c r="J135" s="1832"/>
      <c r="K135" s="1832"/>
      <c r="L135" s="1832"/>
      <c r="M135" s="1832"/>
      <c r="N135" s="1832"/>
      <c r="O135" s="1832"/>
      <c r="P135" s="1832"/>
      <c r="Q135" s="1832"/>
      <c r="R135" s="1832"/>
      <c r="S135" s="1223"/>
      <c r="T135" s="1223"/>
      <c r="U135" s="1223"/>
      <c r="V135" s="1223"/>
      <c r="W135" s="1833"/>
      <c r="X135" s="1188"/>
      <c r="Y135" s="1188"/>
      <c r="Z135" s="1188"/>
      <c r="AA135" s="1188"/>
      <c r="AB135" s="1188"/>
      <c r="AC135" s="1188"/>
      <c r="AD135" s="1188"/>
      <c r="AE135" s="1188"/>
      <c r="AF135" s="1188"/>
      <c r="AG135" s="1188"/>
      <c r="AH135" s="1188"/>
      <c r="AI135" s="1188"/>
      <c r="AJ135" s="1188"/>
      <c r="AK135" s="1188"/>
      <c r="AL135" s="1188"/>
      <c r="AM135" s="1188"/>
      <c r="AN135" s="1188"/>
      <c r="AO135" s="1188"/>
      <c r="AP135" s="1188"/>
      <c r="AQ135" s="1188"/>
      <c r="AR135" s="1389">
        <v>0</v>
      </c>
    </row>
    <row r="136" spans="1:44" ht="11.45" customHeight="1">
      <c r="AR136" s="43">
        <v>11</v>
      </c>
    </row>
    <row r="137" spans="1:44" ht="11.45" customHeight="1">
      <c r="AR137" s="43">
        <v>11</v>
      </c>
    </row>
    <row r="138" spans="1:44" ht="11.45" customHeight="1">
      <c r="AR138" s="43">
        <v>11</v>
      </c>
    </row>
    <row r="139" spans="1:44" ht="11.45" customHeight="1">
      <c r="E139" s="1272"/>
      <c r="AR139" s="43">
        <v>11</v>
      </c>
    </row>
    <row r="140" spans="1:44" ht="11.45" customHeight="1">
      <c r="E140" s="1272"/>
      <c r="AR140" s="43">
        <v>11</v>
      </c>
    </row>
    <row r="141" spans="1:44" ht="11.45" customHeight="1">
      <c r="E141" s="1272"/>
      <c r="AR141" s="43">
        <v>11</v>
      </c>
    </row>
    <row r="142" spans="1:44" ht="11.45" customHeight="1">
      <c r="E142" s="1272"/>
      <c r="AR142" s="43">
        <v>11</v>
      </c>
    </row>
    <row r="143" spans="1:44" ht="11.45" customHeight="1">
      <c r="E143" s="1272"/>
      <c r="AR143" s="43">
        <v>11</v>
      </c>
    </row>
    <row r="144" spans="1:44" ht="11.45" customHeight="1">
      <c r="E144" s="1272"/>
      <c r="AR144" s="43">
        <v>11</v>
      </c>
    </row>
    <row r="145" spans="1:44" ht="11.45" customHeight="1">
      <c r="E145" s="1272"/>
      <c r="AR145" s="43">
        <v>11</v>
      </c>
    </row>
    <row r="146" spans="1:44" ht="11.25" hidden="1" customHeight="1">
      <c r="A146" s="88" t="s">
        <v>70</v>
      </c>
      <c r="B146" s="88">
        <v>0</v>
      </c>
      <c r="C146" s="43">
        <v>3</v>
      </c>
      <c r="D146" s="43">
        <v>6</v>
      </c>
      <c r="E146" s="43">
        <v>42</v>
      </c>
      <c r="F146" s="1205">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81">
        <v>0</v>
      </c>
      <c r="Z146" s="1181">
        <v>0</v>
      </c>
      <c r="AA146" s="1181">
        <v>0</v>
      </c>
      <c r="AB146" s="1181">
        <v>0</v>
      </c>
      <c r="AC146" s="1181">
        <v>0</v>
      </c>
      <c r="AD146" s="1181">
        <v>0</v>
      </c>
      <c r="AE146" s="1181">
        <v>0</v>
      </c>
      <c r="AF146" s="1181">
        <v>0</v>
      </c>
      <c r="AG146" s="1181">
        <v>0</v>
      </c>
      <c r="AH146" s="1181">
        <v>0</v>
      </c>
      <c r="AI146" s="1181">
        <v>0</v>
      </c>
      <c r="AJ146" s="1181">
        <v>0</v>
      </c>
      <c r="AK146" s="1181">
        <v>0</v>
      </c>
      <c r="AL146" s="1181">
        <v>0</v>
      </c>
      <c r="AM146" s="1181">
        <v>0</v>
      </c>
      <c r="AN146" s="1181">
        <v>0</v>
      </c>
      <c r="AO146" s="1181">
        <v>0</v>
      </c>
      <c r="AP146" s="1181">
        <v>0</v>
      </c>
      <c r="AQ146" s="1181">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4"/>
  <sheetViews>
    <sheetView showGridLines="0" zoomScale="85" workbookViewId="0">
      <pane xSplit="7" ySplit="10" topLeftCell="P25" activePane="bottomRight" state="frozen"/>
      <selection pane="topRight" activeCell="H1" sqref="H1"/>
      <selection pane="bottomLeft" activeCell="A11" sqref="A11"/>
      <selection pane="bottomRight" activeCell="E15" sqref="E15:E16"/>
    </sheetView>
  </sheetViews>
  <sheetFormatPr defaultColWidth="9.140625" defaultRowHeight="10.5" customHeight="1"/>
  <cols>
    <col min="1" max="3" width="6.7109375" style="1088" hidden="1" customWidth="1"/>
    <col min="4" max="4" width="6.7109375" style="1288" hidden="1" customWidth="1"/>
    <col min="5" max="5" width="3" style="1557" customWidth="1"/>
    <col min="6" max="6" width="6" style="1557" customWidth="1"/>
    <col min="7" max="7" width="37" style="1557" customWidth="1"/>
    <col min="8" max="8" width="16" style="1557" customWidth="1"/>
    <col min="9" max="10" width="19" style="1557" customWidth="1"/>
    <col min="11" max="11" width="24" style="1557" customWidth="1"/>
    <col min="12" max="13" width="25" style="1557" customWidth="1"/>
    <col min="14" max="16" width="17" style="1557" customWidth="1"/>
    <col min="17" max="24" width="19" style="1557" customWidth="1"/>
    <col min="25" max="25" width="7" style="1557" customWidth="1"/>
    <col min="26" max="26" width="3" style="1557" customWidth="1"/>
    <col min="27" max="27" width="6" style="1557" customWidth="1"/>
    <col min="28" max="28" width="34" style="1557" customWidth="1"/>
    <col min="29" max="30" width="8" style="1557" customWidth="1"/>
    <col min="31" max="31" width="9.140625" style="1557" hidden="1"/>
  </cols>
  <sheetData>
    <row r="1" spans="1:31" s="1288" customFormat="1" ht="10.5" hidden="1" customHeight="1">
      <c r="A1" s="822"/>
      <c r="B1" s="822"/>
      <c r="C1" s="822"/>
      <c r="E1" s="471"/>
      <c r="H1" s="1082"/>
      <c r="AE1" s="351" t="s">
        <v>1</v>
      </c>
    </row>
    <row r="2" spans="1:31" ht="10.5" hidden="1" customHeight="1">
      <c r="AE2" s="690">
        <v>0</v>
      </c>
    </row>
    <row r="3" spans="1:31" s="1554" customFormat="1" ht="10.5" hidden="1" customHeight="1">
      <c r="A3" s="822"/>
      <c r="B3" s="822"/>
      <c r="C3" s="822"/>
      <c r="D3" s="351"/>
      <c r="E3" s="296"/>
      <c r="G3" s="1554" t="s">
        <v>1303</v>
      </c>
      <c r="H3" s="1078"/>
      <c r="AE3" s="691">
        <v>0</v>
      </c>
    </row>
    <row r="4" spans="1:31" ht="3" customHeight="1">
      <c r="AE4" s="690">
        <v>3</v>
      </c>
    </row>
    <row r="5" spans="1:31" ht="27.4" customHeight="1">
      <c r="F5" s="37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721"/>
      <c r="H5" s="3721"/>
      <c r="I5" s="3721"/>
      <c r="J5" s="3721"/>
      <c r="K5" s="3721"/>
      <c r="M5" s="516"/>
      <c r="AB5" s="833"/>
      <c r="AE5" s="690">
        <v>26</v>
      </c>
    </row>
    <row r="6" spans="1:31" s="1557" customFormat="1" ht="16.899999999999999" customHeight="1">
      <c r="A6" s="1088"/>
      <c r="B6" s="1088"/>
      <c r="C6" s="1088"/>
      <c r="D6" s="1082"/>
      <c r="F6" s="3667" t="str">
        <f>IF(org=0,"Не определено",org)</f>
        <v>ООО "Смоленскрегионтеплоэнерго"</v>
      </c>
      <c r="G6" s="3667"/>
      <c r="H6" s="3667"/>
      <c r="I6" s="3667"/>
      <c r="J6" s="3667"/>
      <c r="K6" s="3667"/>
      <c r="M6" s="516"/>
      <c r="AB6" s="1071"/>
      <c r="AE6" s="1553">
        <v>16</v>
      </c>
    </row>
    <row r="7" spans="1:31" ht="10.5" customHeight="1">
      <c r="AE7" s="690">
        <v>10</v>
      </c>
    </row>
    <row r="8" spans="1:31" ht="10.5" customHeight="1">
      <c r="A8" s="977"/>
      <c r="B8" s="977"/>
      <c r="C8" s="977"/>
      <c r="F8" s="3589" t="s">
        <v>345</v>
      </c>
      <c r="G8" s="3595"/>
      <c r="H8" s="3595"/>
      <c r="I8" s="3595"/>
      <c r="J8" s="3595"/>
      <c r="K8" s="3595"/>
      <c r="L8" s="3595"/>
      <c r="M8" s="3595"/>
      <c r="N8" s="3595"/>
      <c r="O8" s="3595"/>
      <c r="P8" s="3595"/>
      <c r="Q8" s="3595"/>
      <c r="R8" s="3595"/>
      <c r="S8" s="3595"/>
      <c r="T8" s="3595"/>
      <c r="U8" s="3595"/>
      <c r="V8" s="3595"/>
      <c r="W8" s="3595"/>
      <c r="X8" s="3595"/>
      <c r="Y8" s="3595"/>
      <c r="Z8" s="3595"/>
      <c r="AA8" s="3595"/>
      <c r="AB8" s="3588"/>
      <c r="AE8" s="690">
        <v>10</v>
      </c>
    </row>
    <row r="9" spans="1:31" ht="43.15" customHeight="1">
      <c r="A9" s="832"/>
      <c r="B9" s="832"/>
      <c r="C9" s="832"/>
      <c r="F9" s="3618" t="s">
        <v>76</v>
      </c>
      <c r="G9" s="3618" t="s">
        <v>1303</v>
      </c>
      <c r="H9" s="3666" t="s">
        <v>1304</v>
      </c>
      <c r="I9" s="3618" t="s">
        <v>1305</v>
      </c>
      <c r="J9" s="3618" t="s">
        <v>1306</v>
      </c>
      <c r="K9" s="3618" t="s">
        <v>1307</v>
      </c>
      <c r="L9" s="3618" t="s">
        <v>1308</v>
      </c>
      <c r="M9" s="3618" t="s">
        <v>1309</v>
      </c>
      <c r="N9" s="3697" t="s">
        <v>1310</v>
      </c>
      <c r="O9" s="3697"/>
      <c r="P9" s="3697"/>
      <c r="Q9" s="3746" t="s">
        <v>1311</v>
      </c>
      <c r="R9" s="3747"/>
      <c r="S9" s="3747"/>
      <c r="T9" s="3748"/>
      <c r="U9" s="3746" t="s">
        <v>1312</v>
      </c>
      <c r="V9" s="3747"/>
      <c r="W9" s="3747"/>
      <c r="X9" s="3748"/>
      <c r="Y9" s="3589" t="s">
        <v>1313</v>
      </c>
      <c r="Z9" s="3595"/>
      <c r="AA9" s="3595"/>
      <c r="AB9" s="3588"/>
      <c r="AE9" s="690">
        <v>41</v>
      </c>
    </row>
    <row r="10" spans="1:31" ht="43.15" customHeight="1">
      <c r="A10" s="832"/>
      <c r="B10" s="832"/>
      <c r="C10" s="832"/>
      <c r="F10" s="3666"/>
      <c r="G10" s="3666"/>
      <c r="H10" s="3716"/>
      <c r="I10" s="3666"/>
      <c r="J10" s="3666"/>
      <c r="K10" s="3666"/>
      <c r="L10" s="3666"/>
      <c r="M10" s="3666"/>
      <c r="N10" s="830" t="s">
        <v>1314</v>
      </c>
      <c r="O10" s="830" t="s">
        <v>1315</v>
      </c>
      <c r="P10" s="831" t="s">
        <v>1316</v>
      </c>
      <c r="Q10" s="842" t="s">
        <v>77</v>
      </c>
      <c r="R10" s="842" t="s">
        <v>1317</v>
      </c>
      <c r="S10" s="842" t="s">
        <v>1318</v>
      </c>
      <c r="T10" s="843" t="s">
        <v>1319</v>
      </c>
      <c r="U10" s="842" t="s">
        <v>77</v>
      </c>
      <c r="V10" s="842" t="s">
        <v>1320</v>
      </c>
      <c r="W10" s="842" t="s">
        <v>1318</v>
      </c>
      <c r="X10" s="843" t="s">
        <v>1319</v>
      </c>
      <c r="Y10" s="236" t="s">
        <v>1321</v>
      </c>
      <c r="Z10" s="3589" t="s">
        <v>76</v>
      </c>
      <c r="AA10" s="3588"/>
      <c r="AB10" s="975" t="s">
        <v>1322</v>
      </c>
      <c r="AE10" s="690">
        <v>41</v>
      </c>
    </row>
    <row r="11" spans="1:31" s="1564" customFormat="1" ht="5.25" hidden="1" customHeight="1">
      <c r="A11" s="978"/>
      <c r="B11" s="978"/>
      <c r="C11" s="978"/>
      <c r="E11" s="976"/>
      <c r="F11" s="3873" t="s">
        <v>421</v>
      </c>
      <c r="G11" s="3872"/>
      <c r="H11" s="3871"/>
      <c r="I11" s="3871"/>
      <c r="J11" s="3871"/>
      <c r="K11" s="3874"/>
      <c r="L11" s="3874"/>
      <c r="M11" s="3874"/>
      <c r="N11" s="3871"/>
      <c r="O11" s="3871"/>
      <c r="P11" s="3618"/>
      <c r="Q11" s="3670"/>
      <c r="R11" s="3670"/>
      <c r="S11" s="3670"/>
      <c r="T11" s="3871"/>
      <c r="U11" s="3670"/>
      <c r="V11" s="3670"/>
      <c r="W11" s="3670"/>
      <c r="X11" s="3871"/>
      <c r="Y11" s="3600"/>
      <c r="Z11" s="3600"/>
      <c r="AA11" s="3600"/>
      <c r="AB11" s="3600"/>
      <c r="AD11" s="445" t="s">
        <v>1323</v>
      </c>
      <c r="AE11" s="445">
        <v>0</v>
      </c>
    </row>
    <row r="12" spans="1:31" s="1564" customFormat="1" ht="5.25" hidden="1" customHeight="1">
      <c r="A12" s="823"/>
      <c r="B12" s="823"/>
      <c r="C12" s="823"/>
      <c r="E12" s="452"/>
      <c r="F12" s="3873"/>
      <c r="G12" s="3872"/>
      <c r="H12" s="3871"/>
      <c r="I12" s="3871"/>
      <c r="J12" s="3871"/>
      <c r="K12" s="3874"/>
      <c r="L12" s="3874"/>
      <c r="M12" s="3874"/>
      <c r="N12" s="3871"/>
      <c r="O12" s="3871"/>
      <c r="P12" s="3618"/>
      <c r="Q12" s="3670"/>
      <c r="R12" s="3670"/>
      <c r="S12" s="3670"/>
      <c r="T12" s="3871"/>
      <c r="U12" s="3670"/>
      <c r="V12" s="3670"/>
      <c r="W12" s="3670"/>
      <c r="X12" s="3871"/>
      <c r="Y12" s="3870"/>
      <c r="Z12" s="3870"/>
      <c r="AA12" s="3870"/>
      <c r="AB12" s="3870"/>
      <c r="AE12" s="445">
        <v>0</v>
      </c>
    </row>
    <row r="13" spans="1:31" ht="36.75" customHeight="1">
      <c r="D13" s="1082"/>
      <c r="E13" s="3853" t="s">
        <v>90</v>
      </c>
      <c r="F13" s="3863" t="s">
        <v>164</v>
      </c>
      <c r="G13" s="3864" t="s">
        <v>1324</v>
      </c>
      <c r="H13" s="3865" t="s">
        <v>50</v>
      </c>
      <c r="I13" s="3867">
        <v>43766.35229166667</v>
      </c>
      <c r="J13" s="3858">
        <v>45923.352476851855</v>
      </c>
      <c r="K13" s="3869" t="s">
        <v>1325</v>
      </c>
      <c r="L13" s="3860" t="s">
        <v>1326</v>
      </c>
      <c r="M13" s="3860" t="s">
        <v>1327</v>
      </c>
      <c r="N13" s="3861" t="s">
        <v>1328</v>
      </c>
      <c r="O13" s="3861" t="s">
        <v>1329</v>
      </c>
      <c r="P13" s="3862" t="str">
        <f>DATEDIF(DATEVALUE(N13),DATEVALUE(O13),"y")&amp;"г. "&amp;DATEDIF(DATEVALUE(N13),DATEVALUE(O13),"ym")&amp;"мес. "&amp;DATEVALUE(O13)-DATE(YEAR(DATEVALUE(O13)),MONTH(DATEVALUE(O13)),1)&amp;"дн. "</f>
        <v xml:space="preserve">6г. 11мес. 30дн. </v>
      </c>
      <c r="Q13" s="3857" t="s">
        <v>1330</v>
      </c>
      <c r="R13" s="3857" t="s">
        <v>1331</v>
      </c>
      <c r="S13" s="3857" t="s">
        <v>123</v>
      </c>
      <c r="T13" s="3858" t="s">
        <v>1332</v>
      </c>
      <c r="U13" s="3857" t="s">
        <v>1333</v>
      </c>
      <c r="V13" s="3857" t="s">
        <v>1331</v>
      </c>
      <c r="W13" s="3857">
        <v>134</v>
      </c>
      <c r="X13" s="3858">
        <v>45923.354062500002</v>
      </c>
      <c r="Y13" s="3855" t="s">
        <v>6</v>
      </c>
      <c r="Z13" s="1700"/>
      <c r="AA13" s="1684">
        <v>1</v>
      </c>
      <c r="AB13" s="2018" t="s">
        <v>9</v>
      </c>
      <c r="AD13" s="1558" t="s">
        <v>1334</v>
      </c>
    </row>
    <row r="14" spans="1:31" ht="77.25" customHeight="1">
      <c r="D14" s="1082"/>
      <c r="E14" s="3854"/>
      <c r="F14" s="3863" t="s">
        <v>421</v>
      </c>
      <c r="G14" s="3864"/>
      <c r="H14" s="3866"/>
      <c r="I14" s="3868"/>
      <c r="J14" s="3859"/>
      <c r="K14" s="3869"/>
      <c r="L14" s="3860"/>
      <c r="M14" s="3860"/>
      <c r="N14" s="3861"/>
      <c r="O14" s="3861"/>
      <c r="P14" s="3862"/>
      <c r="Q14" s="3857"/>
      <c r="R14" s="3857"/>
      <c r="S14" s="3857"/>
      <c r="T14" s="3859"/>
      <c r="U14" s="3857"/>
      <c r="V14" s="3857"/>
      <c r="W14" s="3857"/>
      <c r="X14" s="3859"/>
      <c r="Y14" s="3856"/>
      <c r="Z14" s="282"/>
      <c r="AA14" s="506"/>
      <c r="AB14" s="586" t="s">
        <v>1335</v>
      </c>
    </row>
    <row r="15" spans="1:31" ht="27" customHeight="1">
      <c r="D15" s="1082"/>
      <c r="E15" s="3853" t="s">
        <v>90</v>
      </c>
      <c r="F15" s="3863" t="s">
        <v>89</v>
      </c>
      <c r="G15" s="3864" t="s">
        <v>1336</v>
      </c>
      <c r="H15" s="3865" t="s">
        <v>50</v>
      </c>
      <c r="I15" s="3867">
        <v>42308.362719907411</v>
      </c>
      <c r="J15" s="3858">
        <v>45923.362951388888</v>
      </c>
      <c r="K15" s="3869" t="s">
        <v>1325</v>
      </c>
      <c r="L15" s="3860" t="s">
        <v>1337</v>
      </c>
      <c r="M15" s="3860" t="s">
        <v>1338</v>
      </c>
      <c r="N15" s="3861" t="s">
        <v>1339</v>
      </c>
      <c r="O15" s="3861" t="s">
        <v>1340</v>
      </c>
      <c r="P15" s="3862" t="str">
        <f>DATEDIF(DATEVALUE(N15),DATEVALUE(O15),"y")&amp;"г. "&amp;DATEDIF(DATEVALUE(N15),DATEVALUE(O15),"ym")&amp;"мес. "&amp;DATEVALUE(O15)-DATE(YEAR(DATEVALUE(O15)),MONTH(DATEVALUE(O15)),1)&amp;"дн. "</f>
        <v xml:space="preserve">11г. 11мес. 30дн. </v>
      </c>
      <c r="Q15" s="3857" t="s">
        <v>1341</v>
      </c>
      <c r="R15" s="3857" t="s">
        <v>1331</v>
      </c>
      <c r="S15" s="3857" t="s">
        <v>1342</v>
      </c>
      <c r="T15" s="3858" t="s">
        <v>1343</v>
      </c>
      <c r="U15" s="3857" t="s">
        <v>1344</v>
      </c>
      <c r="V15" s="3857" t="s">
        <v>1331</v>
      </c>
      <c r="W15" s="3857">
        <v>133</v>
      </c>
      <c r="X15" s="3858">
        <v>45923.363518518519</v>
      </c>
      <c r="Y15" s="3855" t="s">
        <v>6</v>
      </c>
      <c r="Z15" s="1700"/>
      <c r="AA15" s="1684">
        <v>1</v>
      </c>
      <c r="AB15" s="2018" t="s">
        <v>9</v>
      </c>
      <c r="AD15" s="1558" t="s">
        <v>1345</v>
      </c>
    </row>
    <row r="16" spans="1:31" ht="82.5" customHeight="1">
      <c r="D16" s="1082"/>
      <c r="E16" s="3854"/>
      <c r="F16" s="3863" t="s">
        <v>89</v>
      </c>
      <c r="G16" s="3864"/>
      <c r="H16" s="3866"/>
      <c r="I16" s="3868"/>
      <c r="J16" s="3859"/>
      <c r="K16" s="3869"/>
      <c r="L16" s="3860"/>
      <c r="M16" s="3860"/>
      <c r="N16" s="3861"/>
      <c r="O16" s="3861"/>
      <c r="P16" s="3862"/>
      <c r="Q16" s="3857"/>
      <c r="R16" s="3857"/>
      <c r="S16" s="3857"/>
      <c r="T16" s="3859"/>
      <c r="U16" s="3857"/>
      <c r="V16" s="3857"/>
      <c r="W16" s="3857"/>
      <c r="X16" s="3859"/>
      <c r="Y16" s="3856"/>
      <c r="Z16" s="282"/>
      <c r="AA16" s="506"/>
      <c r="AB16" s="586" t="s">
        <v>1335</v>
      </c>
    </row>
    <row r="17" spans="4:31" ht="52.5" customHeight="1">
      <c r="D17" s="1082"/>
      <c r="E17" s="3853" t="s">
        <v>90</v>
      </c>
      <c r="F17" s="3863" t="s">
        <v>78</v>
      </c>
      <c r="G17" s="3864" t="s">
        <v>1346</v>
      </c>
      <c r="H17" s="3865" t="s">
        <v>50</v>
      </c>
      <c r="I17" s="3867">
        <v>45728.364594907405</v>
      </c>
      <c r="J17" s="3858"/>
      <c r="K17" s="3869" t="s">
        <v>1325</v>
      </c>
      <c r="L17" s="3860" t="s">
        <v>1347</v>
      </c>
      <c r="M17" s="3860" t="s">
        <v>1348</v>
      </c>
      <c r="N17" s="3861" t="s">
        <v>1349</v>
      </c>
      <c r="O17" s="3861" t="s">
        <v>1350</v>
      </c>
      <c r="P17" s="3862" t="str">
        <f>DATEDIF(DATEVALUE(N17),DATEVALUE(O17),"y")&amp;"г. "&amp;DATEDIF(DATEVALUE(N17),DATEVALUE(O17),"ym")&amp;"мес. "&amp;DATEVALUE(O17)-DATE(YEAR(DATEVALUE(O17)),MONTH(DATEVALUE(O17)),1)&amp;"дн. "</f>
        <v xml:space="preserve">9г. 9мес. 30дн. </v>
      </c>
      <c r="Q17" s="3857" t="s">
        <v>1351</v>
      </c>
      <c r="R17" s="3857" t="s">
        <v>1331</v>
      </c>
      <c r="S17" s="3857" t="s">
        <v>1352</v>
      </c>
      <c r="T17" s="3858" t="s">
        <v>1349</v>
      </c>
      <c r="U17" s="3857"/>
      <c r="V17" s="3857"/>
      <c r="W17" s="3857"/>
      <c r="X17" s="3858"/>
      <c r="Y17" s="3855" t="s">
        <v>50</v>
      </c>
      <c r="Z17" s="1700"/>
      <c r="AA17" s="1684">
        <v>1</v>
      </c>
      <c r="AB17" s="1164" t="s">
        <v>1353</v>
      </c>
      <c r="AD17" s="1558" t="s">
        <v>1354</v>
      </c>
    </row>
    <row r="18" spans="4:31" ht="79.5" customHeight="1">
      <c r="D18" s="1082"/>
      <c r="E18" s="3854"/>
      <c r="F18" s="3863" t="s">
        <v>78</v>
      </c>
      <c r="G18" s="3864"/>
      <c r="H18" s="3866"/>
      <c r="I18" s="3868"/>
      <c r="J18" s="3859"/>
      <c r="K18" s="3869"/>
      <c r="L18" s="3860"/>
      <c r="M18" s="3860"/>
      <c r="N18" s="3861"/>
      <c r="O18" s="3861"/>
      <c r="P18" s="3862"/>
      <c r="Q18" s="3857"/>
      <c r="R18" s="3857"/>
      <c r="S18" s="3857"/>
      <c r="T18" s="3859"/>
      <c r="U18" s="3857"/>
      <c r="V18" s="3857"/>
      <c r="W18" s="3857"/>
      <c r="X18" s="3859"/>
      <c r="Y18" s="3856"/>
      <c r="Z18" s="282"/>
      <c r="AA18" s="506"/>
      <c r="AB18" s="586" t="s">
        <v>1335</v>
      </c>
    </row>
    <row r="19" spans="4:31" ht="27" customHeight="1">
      <c r="D19" s="1082"/>
      <c r="E19" s="3853" t="s">
        <v>90</v>
      </c>
      <c r="F19" s="3863" t="s">
        <v>79</v>
      </c>
      <c r="G19" s="3864" t="s">
        <v>1355</v>
      </c>
      <c r="H19" s="3865" t="s">
        <v>50</v>
      </c>
      <c r="I19" s="3867">
        <v>45728.367129629631</v>
      </c>
      <c r="J19" s="3858">
        <v>45876.353379629632</v>
      </c>
      <c r="K19" s="3869" t="s">
        <v>1325</v>
      </c>
      <c r="L19" s="3860" t="s">
        <v>1347</v>
      </c>
      <c r="M19" s="3860" t="s">
        <v>1356</v>
      </c>
      <c r="N19" s="3861" t="s">
        <v>1349</v>
      </c>
      <c r="O19" s="3861" t="s">
        <v>1350</v>
      </c>
      <c r="P19" s="3862" t="str">
        <f>DATEDIF(DATEVALUE(N19),DATEVALUE(O19),"y")&amp;"г. "&amp;DATEDIF(DATEVALUE(N19),DATEVALUE(O19),"ym")&amp;"мес. "&amp;DATEVALUE(O19)-DATE(YEAR(DATEVALUE(O19)),MONTH(DATEVALUE(O19)),1)&amp;"дн. "</f>
        <v xml:space="preserve">9г. 9мес. 30дн. </v>
      </c>
      <c r="Q19" s="3857" t="s">
        <v>1357</v>
      </c>
      <c r="R19" s="3857" t="s">
        <v>1331</v>
      </c>
      <c r="S19" s="3857" t="s">
        <v>1358</v>
      </c>
      <c r="T19" s="3858" t="s">
        <v>1349</v>
      </c>
      <c r="U19" s="3857" t="s">
        <v>1359</v>
      </c>
      <c r="V19" s="3857" t="s">
        <v>1331</v>
      </c>
      <c r="W19" s="3857">
        <v>108</v>
      </c>
      <c r="X19" s="3858">
        <v>45876</v>
      </c>
      <c r="Y19" s="3855" t="s">
        <v>50</v>
      </c>
      <c r="Z19" s="1700"/>
      <c r="AA19" s="1684">
        <v>1</v>
      </c>
      <c r="AB19" s="1164" t="s">
        <v>1360</v>
      </c>
      <c r="AD19" s="1558" t="s">
        <v>1361</v>
      </c>
    </row>
    <row r="20" spans="4:31" ht="103.5" customHeight="1">
      <c r="D20" s="1082"/>
      <c r="E20" s="3854"/>
      <c r="F20" s="3863" t="s">
        <v>79</v>
      </c>
      <c r="G20" s="3864"/>
      <c r="H20" s="3866"/>
      <c r="I20" s="3868"/>
      <c r="J20" s="3859"/>
      <c r="K20" s="3869"/>
      <c r="L20" s="3860"/>
      <c r="M20" s="3860"/>
      <c r="N20" s="3861"/>
      <c r="O20" s="3861"/>
      <c r="P20" s="3862"/>
      <c r="Q20" s="3857"/>
      <c r="R20" s="3857"/>
      <c r="S20" s="3857"/>
      <c r="T20" s="3859"/>
      <c r="U20" s="3857"/>
      <c r="V20" s="3857"/>
      <c r="W20" s="3857"/>
      <c r="X20" s="3859"/>
      <c r="Y20" s="3856"/>
      <c r="Z20" s="282"/>
      <c r="AA20" s="506"/>
      <c r="AB20" s="586" t="s">
        <v>1335</v>
      </c>
    </row>
    <row r="21" spans="4:31" ht="27" customHeight="1">
      <c r="D21" s="1082"/>
      <c r="E21" s="3853" t="s">
        <v>90</v>
      </c>
      <c r="F21" s="3863" t="s">
        <v>100</v>
      </c>
      <c r="G21" s="3864" t="s">
        <v>1362</v>
      </c>
      <c r="H21" s="3865" t="s">
        <v>50</v>
      </c>
      <c r="I21" s="3867">
        <v>45443.367939814816</v>
      </c>
      <c r="J21" s="3858">
        <v>45945.356562499997</v>
      </c>
      <c r="K21" s="3869" t="s">
        <v>1325</v>
      </c>
      <c r="L21" s="3860" t="s">
        <v>1347</v>
      </c>
      <c r="M21" s="3860" t="s">
        <v>1363</v>
      </c>
      <c r="N21" s="3861" t="s">
        <v>1364</v>
      </c>
      <c r="O21" s="3861" t="s">
        <v>1340</v>
      </c>
      <c r="P21" s="3862" t="str">
        <f>DATEDIF(DATEVALUE(N21),DATEVALUE(O21),"y")&amp;"г. "&amp;DATEDIF(DATEVALUE(N21),DATEVALUE(O21),"ym")&amp;"мес. "&amp;DATEVALUE(O21)-DATE(YEAR(DATEVALUE(O21)),MONTH(DATEVALUE(O21)),1)&amp;"дн. "</f>
        <v xml:space="preserve">2г. 11мес. 30дн. </v>
      </c>
      <c r="Q21" s="3857" t="s">
        <v>1365</v>
      </c>
      <c r="R21" s="3857" t="s">
        <v>1331</v>
      </c>
      <c r="S21" s="3857" t="s">
        <v>1366</v>
      </c>
      <c r="T21" s="3858" t="s">
        <v>1367</v>
      </c>
      <c r="U21" s="3857" t="s">
        <v>1368</v>
      </c>
      <c r="V21" s="3857" t="s">
        <v>1331</v>
      </c>
      <c r="W21" s="3857">
        <v>153</v>
      </c>
      <c r="X21" s="3858">
        <v>45945.368750000001</v>
      </c>
      <c r="Y21" s="3855" t="s">
        <v>6</v>
      </c>
      <c r="Z21" s="1700"/>
      <c r="AA21" s="1684">
        <v>1</v>
      </c>
      <c r="AB21" s="2018" t="s">
        <v>9</v>
      </c>
      <c r="AD21" s="1558" t="s">
        <v>1369</v>
      </c>
    </row>
    <row r="22" spans="4:31" ht="59.25" customHeight="1">
      <c r="D22" s="1082"/>
      <c r="E22" s="3854"/>
      <c r="F22" s="3863" t="s">
        <v>100</v>
      </c>
      <c r="G22" s="3864"/>
      <c r="H22" s="3866"/>
      <c r="I22" s="3868"/>
      <c r="J22" s="3859"/>
      <c r="K22" s="3869"/>
      <c r="L22" s="3860"/>
      <c r="M22" s="3860"/>
      <c r="N22" s="3861"/>
      <c r="O22" s="3861"/>
      <c r="P22" s="3862"/>
      <c r="Q22" s="3857"/>
      <c r="R22" s="3857"/>
      <c r="S22" s="3857"/>
      <c r="T22" s="3859"/>
      <c r="U22" s="3857"/>
      <c r="V22" s="3857"/>
      <c r="W22" s="3857"/>
      <c r="X22" s="3859"/>
      <c r="Y22" s="3856"/>
      <c r="Z22" s="282"/>
      <c r="AA22" s="506"/>
      <c r="AB22" s="586" t="s">
        <v>1335</v>
      </c>
    </row>
    <row r="23" spans="4:31" ht="60" customHeight="1">
      <c r="D23" s="1082"/>
      <c r="E23" s="3853" t="s">
        <v>90</v>
      </c>
      <c r="F23" s="3863" t="s">
        <v>80</v>
      </c>
      <c r="G23" s="3864" t="s">
        <v>1370</v>
      </c>
      <c r="H23" s="3865" t="s">
        <v>50</v>
      </c>
      <c r="I23" s="3867">
        <v>44340.369479166664</v>
      </c>
      <c r="J23" s="3858">
        <v>45579.369606481479</v>
      </c>
      <c r="K23" s="3869" t="s">
        <v>1325</v>
      </c>
      <c r="L23" s="3860" t="s">
        <v>1326</v>
      </c>
      <c r="M23" s="3860" t="s">
        <v>1371</v>
      </c>
      <c r="N23" s="3861" t="s">
        <v>1372</v>
      </c>
      <c r="O23" s="3861" t="s">
        <v>1373</v>
      </c>
      <c r="P23" s="3862" t="str">
        <f>DATEDIF(DATEVALUE(N23),DATEVALUE(O23),"y")&amp;"г. "&amp;DATEDIF(DATEVALUE(N23),DATEVALUE(O23),"ym")&amp;"мес. "&amp;DATEVALUE(O23)-DATE(YEAR(DATEVALUE(O23)),MONTH(DATEVALUE(O23)),1)&amp;"дн. "</f>
        <v xml:space="preserve">3г. 11мес. 30дн. </v>
      </c>
      <c r="Q23" s="3857" t="s">
        <v>1374</v>
      </c>
      <c r="R23" s="3857" t="s">
        <v>1331</v>
      </c>
      <c r="S23" s="3857" t="s">
        <v>1375</v>
      </c>
      <c r="T23" s="3858" t="s">
        <v>1376</v>
      </c>
      <c r="U23" s="3857" t="s">
        <v>1377</v>
      </c>
      <c r="V23" s="3857" t="s">
        <v>1331</v>
      </c>
      <c r="W23" s="3857">
        <v>106</v>
      </c>
      <c r="X23" s="3858">
        <v>45579.370625000003</v>
      </c>
      <c r="Y23" s="3855" t="s">
        <v>6</v>
      </c>
      <c r="Z23" s="1700"/>
      <c r="AA23" s="1684">
        <v>1</v>
      </c>
      <c r="AB23" s="2018" t="s">
        <v>9</v>
      </c>
      <c r="AD23" s="1558" t="s">
        <v>1378</v>
      </c>
    </row>
    <row r="24" spans="4:31" ht="60" customHeight="1">
      <c r="D24" s="1082"/>
      <c r="E24" s="3854"/>
      <c r="F24" s="3863" t="s">
        <v>80</v>
      </c>
      <c r="G24" s="3864"/>
      <c r="H24" s="3866"/>
      <c r="I24" s="3868"/>
      <c r="J24" s="3859"/>
      <c r="K24" s="3869"/>
      <c r="L24" s="3860"/>
      <c r="M24" s="3860"/>
      <c r="N24" s="3861"/>
      <c r="O24" s="3861"/>
      <c r="P24" s="3862"/>
      <c r="Q24" s="3857"/>
      <c r="R24" s="3857"/>
      <c r="S24" s="3857"/>
      <c r="T24" s="3859"/>
      <c r="U24" s="3857"/>
      <c r="V24" s="3857"/>
      <c r="W24" s="3857"/>
      <c r="X24" s="3859"/>
      <c r="Y24" s="3856"/>
      <c r="Z24" s="282"/>
      <c r="AA24" s="506"/>
      <c r="AB24" s="586" t="s">
        <v>1335</v>
      </c>
    </row>
    <row r="25" spans="4:31" ht="63.75" customHeight="1">
      <c r="D25" s="1082"/>
      <c r="E25" s="3853" t="s">
        <v>90</v>
      </c>
      <c r="F25" s="3863" t="s">
        <v>81</v>
      </c>
      <c r="G25" s="3864" t="s">
        <v>1379</v>
      </c>
      <c r="H25" s="3865" t="s">
        <v>50</v>
      </c>
      <c r="I25" s="3867">
        <v>45226.371874999997</v>
      </c>
      <c r="J25" s="3858">
        <v>45923.365995370368</v>
      </c>
      <c r="K25" s="3869" t="s">
        <v>1325</v>
      </c>
      <c r="L25" s="3860" t="s">
        <v>1347</v>
      </c>
      <c r="M25" s="3860" t="s">
        <v>1380</v>
      </c>
      <c r="N25" s="3861" t="s">
        <v>1381</v>
      </c>
      <c r="O25" s="3861" t="s">
        <v>1329</v>
      </c>
      <c r="P25" s="3862" t="str">
        <f>DATEDIF(DATEVALUE(N25),DATEVALUE(O25),"y")&amp;"г. "&amp;DATEDIF(DATEVALUE(N25),DATEVALUE(O25),"ym")&amp;"мес. "&amp;DATEVALUE(O25)-DATE(YEAR(DATEVALUE(O25)),MONTH(DATEVALUE(O25)),1)&amp;"дн. "</f>
        <v xml:space="preserve">2г. 11мес. 30дн. </v>
      </c>
      <c r="Q25" s="3857" t="s">
        <v>1382</v>
      </c>
      <c r="R25" s="3857" t="s">
        <v>1331</v>
      </c>
      <c r="S25" s="3857" t="s">
        <v>1383</v>
      </c>
      <c r="T25" s="3858" t="s">
        <v>1384</v>
      </c>
      <c r="U25" s="3857" t="s">
        <v>1385</v>
      </c>
      <c r="V25" s="3857" t="s">
        <v>1331</v>
      </c>
      <c r="W25" s="3857">
        <v>132</v>
      </c>
      <c r="X25" s="3858">
        <v>45923</v>
      </c>
      <c r="Y25" s="3855" t="s">
        <v>6</v>
      </c>
      <c r="Z25" s="1700"/>
      <c r="AA25" s="1684">
        <v>1</v>
      </c>
      <c r="AB25" s="2018" t="s">
        <v>9</v>
      </c>
      <c r="AD25" s="1558" t="s">
        <v>1386</v>
      </c>
    </row>
    <row r="26" spans="4:31" ht="63.75" customHeight="1">
      <c r="D26" s="1082"/>
      <c r="E26" s="3854"/>
      <c r="F26" s="3863" t="s">
        <v>81</v>
      </c>
      <c r="G26" s="3864"/>
      <c r="H26" s="3866"/>
      <c r="I26" s="3868"/>
      <c r="J26" s="3859"/>
      <c r="K26" s="3869"/>
      <c r="L26" s="3860"/>
      <c r="M26" s="3860"/>
      <c r="N26" s="3861"/>
      <c r="O26" s="3861"/>
      <c r="P26" s="3862"/>
      <c r="Q26" s="3857"/>
      <c r="R26" s="3857"/>
      <c r="S26" s="3857"/>
      <c r="T26" s="3859"/>
      <c r="U26" s="3857"/>
      <c r="V26" s="3857"/>
      <c r="W26" s="3857"/>
      <c r="X26" s="3859"/>
      <c r="Y26" s="3856"/>
      <c r="Z26" s="282"/>
      <c r="AA26" s="506"/>
      <c r="AB26" s="586" t="s">
        <v>1335</v>
      </c>
    </row>
    <row r="27" spans="4:31" ht="27" customHeight="1">
      <c r="D27" s="1082"/>
      <c r="E27" s="3853" t="s">
        <v>90</v>
      </c>
      <c r="F27" s="3863" t="s">
        <v>110</v>
      </c>
      <c r="G27" s="3864" t="s">
        <v>1387</v>
      </c>
      <c r="H27" s="3865" t="s">
        <v>50</v>
      </c>
      <c r="I27" s="3867">
        <v>44273</v>
      </c>
      <c r="J27" s="3858">
        <v>44302</v>
      </c>
      <c r="K27" s="3869" t="s">
        <v>1325</v>
      </c>
      <c r="L27" s="3860" t="s">
        <v>1337</v>
      </c>
      <c r="M27" s="3860" t="s">
        <v>1388</v>
      </c>
      <c r="N27" s="3861" t="s">
        <v>1389</v>
      </c>
      <c r="O27" s="3861" t="s">
        <v>1390</v>
      </c>
      <c r="P27" s="3862" t="str">
        <f>DATEDIF(DATEVALUE(N27),DATEVALUE(O27),"y")&amp;"г. "&amp;DATEDIF(DATEVALUE(N27),DATEVALUE(O27),"ym")&amp;"мес. "&amp;DATEVALUE(O27)-DATE(YEAR(DATEVALUE(O27)),MONTH(DATEVALUE(O27)),1)&amp;"дн. "</f>
        <v xml:space="preserve">14г. 9мес. 30дн. </v>
      </c>
      <c r="Q27" s="3857" t="s">
        <v>1391</v>
      </c>
      <c r="R27" s="3857" t="s">
        <v>1331</v>
      </c>
      <c r="S27" s="3857" t="s">
        <v>1392</v>
      </c>
      <c r="T27" s="3858" t="s">
        <v>1389</v>
      </c>
      <c r="U27" s="3857" t="s">
        <v>1393</v>
      </c>
      <c r="V27" s="3857" t="s">
        <v>1331</v>
      </c>
      <c r="W27" s="3857">
        <v>39</v>
      </c>
      <c r="X27" s="3858">
        <v>44302</v>
      </c>
      <c r="Y27" s="3855" t="s">
        <v>50</v>
      </c>
      <c r="Z27" s="1700"/>
      <c r="AA27" s="1684">
        <v>1</v>
      </c>
      <c r="AB27" s="1164" t="s">
        <v>1394</v>
      </c>
      <c r="AD27" s="1558" t="s">
        <v>1395</v>
      </c>
    </row>
    <row r="28" spans="4:31" ht="68.25" customHeight="1">
      <c r="D28" s="1082"/>
      <c r="E28" s="3854"/>
      <c r="F28" s="3863" t="s">
        <v>110</v>
      </c>
      <c r="G28" s="3864"/>
      <c r="H28" s="3866"/>
      <c r="I28" s="3868"/>
      <c r="J28" s="3859"/>
      <c r="K28" s="3869"/>
      <c r="L28" s="3860"/>
      <c r="M28" s="3860"/>
      <c r="N28" s="3861"/>
      <c r="O28" s="3861"/>
      <c r="P28" s="3862"/>
      <c r="Q28" s="3857"/>
      <c r="R28" s="3857"/>
      <c r="S28" s="3857"/>
      <c r="T28" s="3859"/>
      <c r="U28" s="3857"/>
      <c r="V28" s="3857"/>
      <c r="W28" s="3857"/>
      <c r="X28" s="3859"/>
      <c r="Y28" s="3856"/>
      <c r="Z28" s="282"/>
      <c r="AA28" s="506"/>
      <c r="AB28" s="586" t="s">
        <v>1335</v>
      </c>
    </row>
    <row r="29" spans="4:31" ht="67.5" customHeight="1">
      <c r="D29" s="1082"/>
      <c r="E29" s="3853" t="s">
        <v>90</v>
      </c>
      <c r="F29" s="3863" t="s">
        <v>114</v>
      </c>
      <c r="G29" s="3864" t="s">
        <v>1396</v>
      </c>
      <c r="H29" s="3865" t="s">
        <v>50</v>
      </c>
      <c r="I29" s="3867">
        <v>44694</v>
      </c>
      <c r="J29" s="3858">
        <v>45195</v>
      </c>
      <c r="K29" s="3869" t="s">
        <v>1325</v>
      </c>
      <c r="L29" s="3860" t="s">
        <v>1337</v>
      </c>
      <c r="M29" s="3860" t="s">
        <v>1397</v>
      </c>
      <c r="N29" s="3861" t="s">
        <v>1398</v>
      </c>
      <c r="O29" s="3861" t="s">
        <v>1373</v>
      </c>
      <c r="P29" s="3862" t="str">
        <f>DATEDIF(DATEVALUE(N29),DATEVALUE(O29),"y")&amp;"г. "&amp;DATEDIF(DATEVALUE(N29),DATEVALUE(O29),"ym")&amp;"мес. "&amp;DATEVALUE(O29)-DATE(YEAR(DATEVALUE(O29)),MONTH(DATEVALUE(O29)),1)&amp;"дн. "</f>
        <v xml:space="preserve">2г. 11мес. 30дн. </v>
      </c>
      <c r="Q29" s="3857" t="s">
        <v>1399</v>
      </c>
      <c r="R29" s="3857" t="s">
        <v>1331</v>
      </c>
      <c r="S29" s="3857" t="s">
        <v>1400</v>
      </c>
      <c r="T29" s="3858" t="s">
        <v>1401</v>
      </c>
      <c r="U29" s="3857" t="s">
        <v>1402</v>
      </c>
      <c r="V29" s="3857" t="s">
        <v>1331</v>
      </c>
      <c r="W29" s="3857">
        <v>46</v>
      </c>
      <c r="X29" s="3858">
        <v>45195</v>
      </c>
      <c r="Y29" s="3855" t="s">
        <v>6</v>
      </c>
      <c r="Z29" s="1700"/>
      <c r="AA29" s="1684">
        <v>1</v>
      </c>
      <c r="AB29" s="3413" t="s">
        <v>9</v>
      </c>
      <c r="AD29" s="1558" t="s">
        <v>1403</v>
      </c>
    </row>
    <row r="30" spans="4:31" ht="67.5" customHeight="1">
      <c r="D30" s="1082"/>
      <c r="E30" s="3854"/>
      <c r="F30" s="3863" t="s">
        <v>114</v>
      </c>
      <c r="G30" s="3864"/>
      <c r="H30" s="3866"/>
      <c r="I30" s="3868"/>
      <c r="J30" s="3859"/>
      <c r="K30" s="3869"/>
      <c r="L30" s="3860"/>
      <c r="M30" s="3860"/>
      <c r="N30" s="3861"/>
      <c r="O30" s="3861"/>
      <c r="P30" s="3862"/>
      <c r="Q30" s="3857"/>
      <c r="R30" s="3857"/>
      <c r="S30" s="3857"/>
      <c r="T30" s="3859"/>
      <c r="U30" s="3857"/>
      <c r="V30" s="3857"/>
      <c r="W30" s="3857"/>
      <c r="X30" s="3859"/>
      <c r="Y30" s="3856"/>
      <c r="Z30" s="282"/>
      <c r="AA30" s="506"/>
      <c r="AB30" s="586" t="s">
        <v>1335</v>
      </c>
    </row>
    <row r="31" spans="4:31" ht="10.5" customHeight="1">
      <c r="F31" s="829"/>
      <c r="G31" s="584" t="s">
        <v>1404</v>
      </c>
      <c r="H31" s="1090"/>
      <c r="I31" s="506"/>
      <c r="J31" s="506"/>
      <c r="K31" s="506"/>
      <c r="L31" s="506"/>
      <c r="M31" s="506"/>
      <c r="N31" s="506"/>
      <c r="O31" s="506"/>
      <c r="P31" s="506"/>
      <c r="Q31" s="506"/>
      <c r="R31" s="506"/>
      <c r="S31" s="506"/>
      <c r="T31" s="506"/>
      <c r="U31" s="506"/>
      <c r="V31" s="506"/>
      <c r="W31" s="506"/>
      <c r="X31" s="506"/>
      <c r="Y31" s="506"/>
      <c r="Z31" s="630"/>
      <c r="AA31" s="630"/>
      <c r="AB31" s="844"/>
      <c r="AE31" s="690">
        <v>10</v>
      </c>
    </row>
    <row r="32" spans="4:31" ht="10.5" customHeight="1">
      <c r="AE32" s="690">
        <v>10</v>
      </c>
    </row>
    <row r="33" spans="1:31" s="1564" customFormat="1" ht="10.5" customHeight="1">
      <c r="A33" s="1089"/>
      <c r="B33" s="1089"/>
      <c r="C33" s="1089"/>
      <c r="E33" s="452"/>
      <c r="H33" s="445">
        <f>IFERROR(MATCH("нет",IP_MAIN_DIFFERENTIATION_EVENTS_FLAG,0),0)</f>
        <v>0</v>
      </c>
      <c r="AE33" s="445">
        <v>10</v>
      </c>
    </row>
    <row r="34" spans="1:31" ht="10.5" hidden="1" customHeight="1">
      <c r="A34" s="822" t="s">
        <v>70</v>
      </c>
      <c r="B34" s="822">
        <v>0</v>
      </c>
      <c r="C34" s="822">
        <v>0</v>
      </c>
      <c r="D34" s="351">
        <v>0</v>
      </c>
      <c r="E34" s="443">
        <v>3</v>
      </c>
      <c r="F34" s="690">
        <v>6</v>
      </c>
      <c r="G34" s="690">
        <v>37</v>
      </c>
      <c r="H34" s="1077">
        <v>16</v>
      </c>
      <c r="I34" s="690">
        <v>19</v>
      </c>
      <c r="J34" s="690">
        <v>19</v>
      </c>
      <c r="K34" s="690">
        <v>24</v>
      </c>
      <c r="L34" s="690">
        <v>25</v>
      </c>
      <c r="M34" s="690">
        <v>25</v>
      </c>
      <c r="N34" s="690">
        <v>17</v>
      </c>
      <c r="O34" s="690">
        <v>17</v>
      </c>
      <c r="P34" s="690">
        <v>17</v>
      </c>
      <c r="Q34" s="690">
        <v>19</v>
      </c>
      <c r="R34" s="690">
        <v>19</v>
      </c>
      <c r="S34" s="690">
        <v>19</v>
      </c>
      <c r="T34" s="690">
        <v>19</v>
      </c>
      <c r="U34" s="690">
        <v>19</v>
      </c>
      <c r="V34" s="690">
        <v>19</v>
      </c>
      <c r="W34" s="690">
        <v>19</v>
      </c>
      <c r="X34" s="690">
        <v>19</v>
      </c>
      <c r="Y34" s="690">
        <v>7</v>
      </c>
      <c r="Z34" s="690">
        <v>3</v>
      </c>
      <c r="AA34" s="690">
        <v>6</v>
      </c>
      <c r="AB34" s="690">
        <v>34</v>
      </c>
      <c r="AC34" s="690">
        <v>8</v>
      </c>
      <c r="AD34" s="690">
        <v>8</v>
      </c>
      <c r="AE34" s="690">
        <v>10</v>
      </c>
    </row>
  </sheetData>
  <sheetProtection formatColumns="0" formatRows="0" insertRows="0" deleteColumns="0" deleteRows="0" sort="0" autoFilter="0"/>
  <mergeCells count="228">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U13:U14"/>
    <mergeCell ref="V13:V14"/>
    <mergeCell ref="E13:E14"/>
    <mergeCell ref="F15:F16"/>
    <mergeCell ref="G15:G16"/>
    <mergeCell ref="H15:H16"/>
    <mergeCell ref="I15:I16"/>
    <mergeCell ref="J15:J16"/>
    <mergeCell ref="K15:K16"/>
    <mergeCell ref="L15:L16"/>
    <mergeCell ref="U15:U16"/>
    <mergeCell ref="E15:E16"/>
    <mergeCell ref="F13:F14"/>
    <mergeCell ref="G13:G14"/>
    <mergeCell ref="H13:H14"/>
    <mergeCell ref="I13:I14"/>
    <mergeCell ref="J13:J14"/>
    <mergeCell ref="K13:K14"/>
    <mergeCell ref="L13:L14"/>
    <mergeCell ref="V15:V16"/>
    <mergeCell ref="Y15:Y16"/>
    <mergeCell ref="S15:S16"/>
    <mergeCell ref="T15:T16"/>
    <mergeCell ref="M15:M16"/>
    <mergeCell ref="N15:N16"/>
    <mergeCell ref="O15:O16"/>
    <mergeCell ref="Q15:Q16"/>
    <mergeCell ref="R15:R16"/>
    <mergeCell ref="W15:W16"/>
    <mergeCell ref="X15:X16"/>
    <mergeCell ref="P15:P16"/>
    <mergeCell ref="Y17:Y18"/>
    <mergeCell ref="S17:S18"/>
    <mergeCell ref="T17:T18"/>
    <mergeCell ref="M17:M18"/>
    <mergeCell ref="N17:N18"/>
    <mergeCell ref="O17:O18"/>
    <mergeCell ref="Q17:Q18"/>
    <mergeCell ref="R17:R18"/>
    <mergeCell ref="W17:W18"/>
    <mergeCell ref="X17:X18"/>
    <mergeCell ref="P17:P18"/>
    <mergeCell ref="U17:U18"/>
    <mergeCell ref="V17:V18"/>
    <mergeCell ref="E17:E18"/>
    <mergeCell ref="F19:F20"/>
    <mergeCell ref="G19:G20"/>
    <mergeCell ref="H19:H20"/>
    <mergeCell ref="I19:I20"/>
    <mergeCell ref="J19:J20"/>
    <mergeCell ref="K19:K20"/>
    <mergeCell ref="L19:L20"/>
    <mergeCell ref="U19:U20"/>
    <mergeCell ref="E19:E20"/>
    <mergeCell ref="F17:F18"/>
    <mergeCell ref="G17:G18"/>
    <mergeCell ref="H17:H18"/>
    <mergeCell ref="I17:I18"/>
    <mergeCell ref="J17:J18"/>
    <mergeCell ref="K17:K18"/>
    <mergeCell ref="L17:L18"/>
    <mergeCell ref="V19:V20"/>
    <mergeCell ref="Y19:Y20"/>
    <mergeCell ref="S19:S20"/>
    <mergeCell ref="T19:T20"/>
    <mergeCell ref="M19:M20"/>
    <mergeCell ref="N19:N20"/>
    <mergeCell ref="O19:O20"/>
    <mergeCell ref="Q19:Q20"/>
    <mergeCell ref="R19:R20"/>
    <mergeCell ref="W19:W20"/>
    <mergeCell ref="X19:X20"/>
    <mergeCell ref="P19:P20"/>
    <mergeCell ref="Y21:Y22"/>
    <mergeCell ref="S21:S22"/>
    <mergeCell ref="T21:T22"/>
    <mergeCell ref="M21:M22"/>
    <mergeCell ref="N21:N22"/>
    <mergeCell ref="O21:O22"/>
    <mergeCell ref="Q21:Q22"/>
    <mergeCell ref="R21:R22"/>
    <mergeCell ref="W21:W22"/>
    <mergeCell ref="X21:X22"/>
    <mergeCell ref="P21:P22"/>
    <mergeCell ref="U21:U22"/>
    <mergeCell ref="V21:V22"/>
    <mergeCell ref="E21:E22"/>
    <mergeCell ref="F23:F24"/>
    <mergeCell ref="G23:G24"/>
    <mergeCell ref="H23:H24"/>
    <mergeCell ref="I23:I24"/>
    <mergeCell ref="J23:J24"/>
    <mergeCell ref="K23:K24"/>
    <mergeCell ref="L23:L24"/>
    <mergeCell ref="U23:U24"/>
    <mergeCell ref="E23:E24"/>
    <mergeCell ref="F21:F22"/>
    <mergeCell ref="G21:G22"/>
    <mergeCell ref="H21:H22"/>
    <mergeCell ref="I21:I22"/>
    <mergeCell ref="J21:J22"/>
    <mergeCell ref="K21:K22"/>
    <mergeCell ref="L21:L22"/>
    <mergeCell ref="V23:V24"/>
    <mergeCell ref="Y23:Y24"/>
    <mergeCell ref="S23:S24"/>
    <mergeCell ref="T23:T24"/>
    <mergeCell ref="M23:M24"/>
    <mergeCell ref="N23:N24"/>
    <mergeCell ref="O23:O24"/>
    <mergeCell ref="Q23:Q24"/>
    <mergeCell ref="R23:R24"/>
    <mergeCell ref="W23:W24"/>
    <mergeCell ref="X23:X24"/>
    <mergeCell ref="P23:P24"/>
    <mergeCell ref="Y25:Y26"/>
    <mergeCell ref="S25:S26"/>
    <mergeCell ref="T25:T26"/>
    <mergeCell ref="M25:M26"/>
    <mergeCell ref="N25:N26"/>
    <mergeCell ref="O25:O26"/>
    <mergeCell ref="Q25:Q26"/>
    <mergeCell ref="R25:R26"/>
    <mergeCell ref="W25:W26"/>
    <mergeCell ref="X25:X26"/>
    <mergeCell ref="P25:P26"/>
    <mergeCell ref="U25:U26"/>
    <mergeCell ref="V25:V26"/>
    <mergeCell ref="E25:E26"/>
    <mergeCell ref="F27:F28"/>
    <mergeCell ref="G27:G28"/>
    <mergeCell ref="H27:H28"/>
    <mergeCell ref="I27:I28"/>
    <mergeCell ref="J27:J28"/>
    <mergeCell ref="K27:K28"/>
    <mergeCell ref="L27:L28"/>
    <mergeCell ref="U27:U28"/>
    <mergeCell ref="E27:E28"/>
    <mergeCell ref="F25:F26"/>
    <mergeCell ref="G25:G26"/>
    <mergeCell ref="H25:H26"/>
    <mergeCell ref="I25:I26"/>
    <mergeCell ref="J25:J26"/>
    <mergeCell ref="K25:K26"/>
    <mergeCell ref="L25:L26"/>
    <mergeCell ref="V27:V28"/>
    <mergeCell ref="Y27:Y28"/>
    <mergeCell ref="S27:S28"/>
    <mergeCell ref="T27:T28"/>
    <mergeCell ref="M27:M28"/>
    <mergeCell ref="N27:N28"/>
    <mergeCell ref="O27:O28"/>
    <mergeCell ref="Q27:Q28"/>
    <mergeCell ref="R27:R28"/>
    <mergeCell ref="W27:W28"/>
    <mergeCell ref="X27:X28"/>
    <mergeCell ref="P27:P28"/>
    <mergeCell ref="E29:E30"/>
    <mergeCell ref="Y29:Y30"/>
    <mergeCell ref="S29:S30"/>
    <mergeCell ref="T29:T30"/>
    <mergeCell ref="M29:M30"/>
    <mergeCell ref="N29:N30"/>
    <mergeCell ref="O29:O30"/>
    <mergeCell ref="Q29:Q30"/>
    <mergeCell ref="R29:R30"/>
    <mergeCell ref="W29:W30"/>
    <mergeCell ref="X29:X30"/>
    <mergeCell ref="P29:P30"/>
    <mergeCell ref="F29:F30"/>
    <mergeCell ref="G29:G30"/>
    <mergeCell ref="H29:H30"/>
    <mergeCell ref="I29:I30"/>
    <mergeCell ref="J29:J30"/>
    <mergeCell ref="K29:K30"/>
    <mergeCell ref="L29:L30"/>
    <mergeCell ref="U29:U30"/>
    <mergeCell ref="V29:V30"/>
  </mergeCells>
  <dataValidations count="135">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Title="Ввод" prompt="Для выбора ИП необходимо два раза нажать левую кнопку мыши!" sqref="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S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U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W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Title="Ввод" prompt="Для выбора ИП необходимо два раза нажать левую кнопку мыши!" sqref="G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S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U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W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Title="Ввод" prompt="Для выбора ИП необходимо два раза нажать левую кнопку мыши!" sqref="G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S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U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W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Title="Ввод" prompt="Для выбора ИП необходимо два раза нажать левую кнопку мыши!" sqref="G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S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U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Title="Ввод" prompt="Для выбора ИП необходимо два раза нажать левую кнопку мыши!" sqref="G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S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U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Title="Ввод" prompt="Для выбора ИП необходимо два раза нажать левую кнопку мыши!" sqref="G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S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U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Title="Ввод" prompt="Для выбора ИП необходимо два раза нажать левую кнопку мыши!" sqref="G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S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U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W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AB27">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966"/>
  <sheetViews>
    <sheetView showGridLines="0" zoomScale="90" workbookViewId="0">
      <pane xSplit="8" ySplit="12" topLeftCell="K910" activePane="bottomRight" state="frozen"/>
      <selection pane="topRight" activeCell="I1" sqref="I1"/>
      <selection pane="bottomLeft" activeCell="A13" sqref="A13"/>
      <selection pane="bottomRight" activeCell="AK988" sqref="AK988"/>
    </sheetView>
  </sheetViews>
  <sheetFormatPr defaultColWidth="9.140625" defaultRowHeight="10.5" customHeight="1"/>
  <cols>
    <col min="1" max="3" width="4.140625" style="1088" hidden="1" customWidth="1"/>
    <col min="4" max="4" width="4.140625" style="1288" hidden="1" customWidth="1"/>
    <col min="5" max="5" width="3" style="1557" customWidth="1"/>
    <col min="6" max="6" width="14" style="1557" customWidth="1"/>
    <col min="7" max="7" width="3" style="1557" customWidth="1"/>
    <col min="8" max="8" width="7" style="1557" customWidth="1"/>
    <col min="9" max="10" width="16" style="1557" hidden="1" customWidth="1"/>
    <col min="11" max="11" width="25" style="1557" customWidth="1"/>
    <col min="12" max="12" width="7" style="1557" customWidth="1"/>
    <col min="13" max="13" width="15" style="1557" customWidth="1"/>
    <col min="14" max="14" width="3" style="1557" customWidth="1"/>
    <col min="15" max="15" width="4" style="1557" customWidth="1"/>
    <col min="16" max="16" width="8" style="1557" customWidth="1"/>
    <col min="17" max="17" width="21" style="1557" customWidth="1"/>
    <col min="18" max="18" width="14" style="1557" customWidth="1"/>
    <col min="19" max="20" width="17" style="1557" customWidth="1"/>
    <col min="21" max="21" width="9" style="1557" customWidth="1"/>
    <col min="22" max="22" width="12" style="1557" customWidth="1"/>
    <col min="23" max="23" width="9" style="1557" customWidth="1"/>
    <col min="24" max="24" width="21" style="1557" customWidth="1"/>
    <col min="25" max="25" width="12" style="1557" customWidth="1"/>
    <col min="26" max="26" width="3" style="1557" customWidth="1"/>
    <col min="27" max="27" width="6" style="1557" customWidth="1"/>
    <col min="28" max="28" width="38" style="1557" customWidth="1"/>
    <col min="29" max="29" width="15" style="1557" customWidth="1"/>
    <col min="30" max="30" width="21.28515625" style="1557" customWidth="1"/>
    <col min="31" max="31" width="12.5703125" style="1557" customWidth="1"/>
    <col min="32" max="34" width="16" style="1557" customWidth="1"/>
    <col min="35" max="35" width="9.140625" style="1557"/>
    <col min="36" max="36" width="9" style="1557" customWidth="1"/>
    <col min="37" max="37" width="16.7109375" style="1557" customWidth="1"/>
    <col min="38" max="58" width="8" style="1557" customWidth="1"/>
    <col min="59" max="59" width="9.140625" style="1557" hidden="1"/>
  </cols>
  <sheetData>
    <row r="1" spans="1:59" s="1288" customFormat="1" ht="10.5" hidden="1" customHeight="1">
      <c r="A1" s="822"/>
      <c r="B1" s="822"/>
      <c r="C1" s="822"/>
      <c r="E1" s="471"/>
      <c r="H1" s="1082"/>
      <c r="L1" s="1051"/>
      <c r="M1" s="1051"/>
      <c r="AD1" s="1051"/>
      <c r="AH1" s="1070"/>
      <c r="AI1" s="1063"/>
      <c r="BG1" s="351" t="s">
        <v>1</v>
      </c>
    </row>
    <row r="2" spans="1:59" ht="10.5" hidden="1" customHeight="1">
      <c r="BG2" s="690">
        <v>0</v>
      </c>
    </row>
    <row r="3" spans="1:59" s="1554" customFormat="1" ht="10.5" hidden="1" customHeight="1">
      <c r="A3" s="822"/>
      <c r="B3" s="822"/>
      <c r="C3" s="822"/>
      <c r="D3" s="351"/>
      <c r="E3" s="296"/>
      <c r="H3" s="1078"/>
      <c r="L3" s="1049"/>
      <c r="M3" s="1049"/>
      <c r="AD3" s="1049"/>
      <c r="AH3" s="1068"/>
      <c r="AI3" s="1061"/>
      <c r="BG3" s="691">
        <v>0</v>
      </c>
    </row>
    <row r="4" spans="1:59" ht="3" customHeight="1">
      <c r="BG4" s="690">
        <v>3</v>
      </c>
    </row>
    <row r="5" spans="1:59" ht="27.4" customHeight="1">
      <c r="F5" s="37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721"/>
      <c r="H5" s="3721"/>
      <c r="I5" s="3721"/>
      <c r="J5" s="3721"/>
      <c r="K5" s="3721"/>
      <c r="L5" s="1058"/>
      <c r="M5" s="1058"/>
      <c r="AG5" s="833"/>
      <c r="AH5" s="1071"/>
      <c r="BG5" s="690">
        <v>26</v>
      </c>
    </row>
    <row r="6" spans="1:59" ht="10.5" customHeight="1">
      <c r="F6" s="3667" t="str">
        <f>IF(org=0,"Не определено",org)</f>
        <v>ООО "Смоленскрегионтеплоэнерго"</v>
      </c>
      <c r="G6" s="3667"/>
      <c r="H6" s="3667"/>
      <c r="I6" s="3667"/>
      <c r="J6" s="3667"/>
      <c r="K6" s="3667"/>
      <c r="L6" s="1059"/>
      <c r="M6" s="1059"/>
      <c r="BG6" s="690">
        <v>10</v>
      </c>
    </row>
    <row r="7" spans="1:59" ht="11.45" customHeight="1">
      <c r="E7" s="835"/>
      <c r="F7" s="846"/>
      <c r="G7" s="846"/>
      <c r="H7" s="1106"/>
      <c r="I7" s="846"/>
      <c r="J7" s="846"/>
      <c r="K7" s="848"/>
      <c r="L7" s="1056"/>
      <c r="M7" s="1056"/>
      <c r="N7" s="846"/>
      <c r="O7" s="846"/>
      <c r="P7" s="846"/>
      <c r="Q7" s="848"/>
      <c r="R7" s="846"/>
      <c r="S7" s="846"/>
      <c r="T7" s="846"/>
      <c r="U7" s="846"/>
      <c r="V7" s="846"/>
      <c r="W7" s="846"/>
      <c r="X7" s="846"/>
      <c r="Y7" s="846"/>
      <c r="Z7" s="846"/>
      <c r="AA7" s="846"/>
      <c r="AB7" s="846"/>
      <c r="AC7" s="847"/>
      <c r="AD7" s="1055"/>
      <c r="AE7" s="847"/>
      <c r="AF7" s="846"/>
      <c r="AG7" s="846"/>
      <c r="AH7" s="1073"/>
      <c r="AI7" s="1066"/>
      <c r="AJ7" s="846"/>
      <c r="AK7" s="846"/>
      <c r="AL7" s="837"/>
      <c r="AM7" s="837"/>
      <c r="AN7" s="837"/>
      <c r="AO7" s="834"/>
      <c r="AP7" s="834"/>
      <c r="AQ7" s="834"/>
      <c r="AR7" s="834"/>
      <c r="AS7" s="834"/>
      <c r="AT7" s="834"/>
      <c r="AU7" s="834"/>
      <c r="AV7" s="834"/>
      <c r="AW7" s="834"/>
      <c r="AX7" s="834"/>
      <c r="AY7" s="834"/>
      <c r="AZ7" s="834"/>
      <c r="BA7" s="834"/>
      <c r="BB7" s="834"/>
      <c r="BC7" s="834"/>
      <c r="BD7" s="834"/>
      <c r="BE7" s="834"/>
      <c r="BF7" s="834"/>
      <c r="BG7" s="690">
        <v>11</v>
      </c>
    </row>
    <row r="8" spans="1:59" ht="10.5" customHeight="1">
      <c r="E8" s="835"/>
      <c r="F8" s="3907" t="s">
        <v>345</v>
      </c>
      <c r="G8" s="3908"/>
      <c r="H8" s="3908"/>
      <c r="I8" s="3908"/>
      <c r="J8" s="3908"/>
      <c r="K8" s="3908"/>
      <c r="L8" s="3908"/>
      <c r="M8" s="3908"/>
      <c r="N8" s="3908"/>
      <c r="O8" s="3908"/>
      <c r="P8" s="3908"/>
      <c r="Q8" s="3908"/>
      <c r="R8" s="3908"/>
      <c r="S8" s="3908"/>
      <c r="T8" s="3908"/>
      <c r="U8" s="3908"/>
      <c r="V8" s="3908"/>
      <c r="W8" s="3908"/>
      <c r="X8" s="3908"/>
      <c r="Y8" s="3908"/>
      <c r="Z8" s="3908"/>
      <c r="AA8" s="3908"/>
      <c r="AB8" s="3908"/>
      <c r="AC8" s="3908"/>
      <c r="AD8" s="3908"/>
      <c r="AE8" s="3908"/>
      <c r="AF8" s="3908"/>
      <c r="AG8" s="3908"/>
      <c r="AH8" s="3908"/>
      <c r="AI8" s="3908"/>
      <c r="AJ8" s="3908"/>
      <c r="AK8" s="3909"/>
      <c r="AL8" s="836"/>
      <c r="AM8" s="834"/>
      <c r="AN8" s="834"/>
      <c r="AO8" s="834"/>
      <c r="AP8" s="834"/>
      <c r="AQ8" s="834"/>
      <c r="AR8" s="834"/>
      <c r="AS8" s="834"/>
      <c r="AT8" s="834"/>
      <c r="AU8" s="834"/>
      <c r="AV8" s="834"/>
      <c r="AW8" s="834"/>
      <c r="AX8" s="834"/>
      <c r="AY8" s="834"/>
      <c r="AZ8" s="834"/>
      <c r="BA8" s="834"/>
      <c r="BB8" s="834"/>
      <c r="BC8" s="834"/>
      <c r="BD8" s="834"/>
      <c r="BE8" s="834"/>
      <c r="BF8" s="834"/>
      <c r="BG8" s="690">
        <v>10</v>
      </c>
    </row>
    <row r="9" spans="1:59" ht="24" customHeight="1">
      <c r="A9" s="832"/>
      <c r="B9" s="832"/>
      <c r="C9" s="832"/>
      <c r="E9" s="835"/>
      <c r="F9" s="3697" t="s">
        <v>1405</v>
      </c>
      <c r="G9" s="3790" t="s">
        <v>1406</v>
      </c>
      <c r="H9" s="3842"/>
      <c r="I9" s="3618" t="s">
        <v>1407</v>
      </c>
      <c r="J9" s="3618"/>
      <c r="K9" s="3618" t="s">
        <v>1408</v>
      </c>
      <c r="L9" s="3618"/>
      <c r="M9" s="3618"/>
      <c r="N9" s="3618"/>
      <c r="O9" s="3618"/>
      <c r="P9" s="3618"/>
      <c r="Q9" s="3618"/>
      <c r="R9" s="3618"/>
      <c r="S9" s="3618"/>
      <c r="T9" s="3618"/>
      <c r="U9" s="3618"/>
      <c r="V9" s="3618"/>
      <c r="W9" s="3618"/>
      <c r="X9" s="3618"/>
      <c r="Y9" s="3618"/>
      <c r="Z9" s="3683" t="s">
        <v>1409</v>
      </c>
      <c r="AA9" s="3684"/>
      <c r="AB9" s="3618" t="s">
        <v>1410</v>
      </c>
      <c r="AC9" s="3618"/>
      <c r="AD9" s="3618"/>
      <c r="AE9" s="3618"/>
      <c r="AF9" s="3666" t="s">
        <v>1411</v>
      </c>
      <c r="AG9" s="3618" t="s">
        <v>1412</v>
      </c>
      <c r="AH9" s="3618"/>
      <c r="AI9" s="3666" t="s">
        <v>1413</v>
      </c>
      <c r="AJ9" s="3618" t="s">
        <v>1414</v>
      </c>
      <c r="AK9" s="3618"/>
      <c r="AL9" s="1065"/>
      <c r="AM9" s="834"/>
      <c r="AN9" s="834"/>
      <c r="AO9" s="834"/>
      <c r="AP9" s="834"/>
      <c r="AQ9" s="834"/>
      <c r="AR9" s="834"/>
      <c r="AS9" s="834"/>
      <c r="AT9" s="834"/>
      <c r="AU9" s="834"/>
      <c r="AV9" s="834"/>
      <c r="AW9" s="834"/>
      <c r="AX9" s="834"/>
      <c r="AY9" s="834"/>
      <c r="AZ9" s="834"/>
      <c r="BA9" s="834"/>
      <c r="BB9" s="834"/>
      <c r="BC9" s="834"/>
      <c r="BD9" s="834"/>
      <c r="BE9" s="834"/>
      <c r="BF9" s="834"/>
      <c r="BG9" s="690">
        <v>23</v>
      </c>
    </row>
    <row r="10" spans="1:59" ht="25.15" customHeight="1">
      <c r="A10" s="832"/>
      <c r="B10" s="832"/>
      <c r="C10" s="832"/>
      <c r="E10" s="839"/>
      <c r="F10" s="3697"/>
      <c r="G10" s="3791"/>
      <c r="H10" s="3701"/>
      <c r="I10" s="3618"/>
      <c r="J10" s="3618"/>
      <c r="K10" s="3618" t="s">
        <v>1415</v>
      </c>
      <c r="L10" s="3589" t="s">
        <v>1416</v>
      </c>
      <c r="M10" s="3588"/>
      <c r="N10" s="3618" t="s">
        <v>1417</v>
      </c>
      <c r="O10" s="3618"/>
      <c r="P10" s="3618"/>
      <c r="Q10" s="3618"/>
      <c r="R10" s="3618"/>
      <c r="S10" s="3618"/>
      <c r="T10" s="3618"/>
      <c r="U10" s="3618"/>
      <c r="V10" s="3618"/>
      <c r="W10" s="3618"/>
      <c r="X10" s="3618"/>
      <c r="Y10" s="3618"/>
      <c r="Z10" s="3685"/>
      <c r="AA10" s="3686"/>
      <c r="AB10" s="3618"/>
      <c r="AC10" s="3618"/>
      <c r="AD10" s="3618"/>
      <c r="AE10" s="3618"/>
      <c r="AF10" s="3687"/>
      <c r="AG10" s="3618"/>
      <c r="AH10" s="3618"/>
      <c r="AI10" s="3687"/>
      <c r="AJ10" s="3618"/>
      <c r="AK10" s="3618"/>
      <c r="AL10" s="1065"/>
      <c r="AM10" s="840"/>
      <c r="AN10" s="840"/>
      <c r="AO10" s="840"/>
      <c r="AP10" s="840"/>
      <c r="AQ10" s="840"/>
      <c r="AR10" s="840"/>
      <c r="AS10" s="840"/>
      <c r="AT10" s="840"/>
      <c r="AU10" s="840"/>
      <c r="AV10" s="840"/>
      <c r="AW10" s="840"/>
      <c r="AX10" s="840"/>
      <c r="AY10" s="840"/>
      <c r="AZ10" s="840"/>
      <c r="BA10" s="840"/>
      <c r="BB10" s="840"/>
      <c r="BC10" s="840"/>
      <c r="BD10" s="840"/>
      <c r="BE10" s="840"/>
      <c r="BF10" s="840"/>
      <c r="BG10" s="690">
        <v>24</v>
      </c>
    </row>
    <row r="11" spans="1:59" s="1557" customFormat="1" ht="25.15" customHeight="1">
      <c r="A11" s="1052"/>
      <c r="B11" s="1052"/>
      <c r="C11" s="1052"/>
      <c r="D11" s="1051"/>
      <c r="E11" s="1053"/>
      <c r="F11" s="3697"/>
      <c r="G11" s="3791"/>
      <c r="H11" s="3701"/>
      <c r="I11" s="3618"/>
      <c r="J11" s="3618"/>
      <c r="K11" s="3618"/>
      <c r="L11" s="3666" t="s">
        <v>1418</v>
      </c>
      <c r="M11" s="3666" t="s">
        <v>1419</v>
      </c>
      <c r="N11" s="3618" t="s">
        <v>1420</v>
      </c>
      <c r="O11" s="3618"/>
      <c r="P11" s="3646" t="s">
        <v>1321</v>
      </c>
      <c r="Q11" s="3646" t="s">
        <v>1421</v>
      </c>
      <c r="R11" s="3646" t="s">
        <v>1422</v>
      </c>
      <c r="S11" s="3646" t="s">
        <v>1423</v>
      </c>
      <c r="T11" s="3646"/>
      <c r="U11" s="3646"/>
      <c r="V11" s="3646"/>
      <c r="W11" s="3646"/>
      <c r="X11" s="3646"/>
      <c r="Y11" s="3646"/>
      <c r="Z11" s="3685"/>
      <c r="AA11" s="3686"/>
      <c r="AB11" s="3618" t="s">
        <v>1424</v>
      </c>
      <c r="AC11" s="3618"/>
      <c r="AD11" s="3589" t="s">
        <v>1425</v>
      </c>
      <c r="AE11" s="3588"/>
      <c r="AF11" s="3687"/>
      <c r="AG11" s="3618"/>
      <c r="AH11" s="3618"/>
      <c r="AI11" s="3687"/>
      <c r="AJ11" s="3618"/>
      <c r="AK11" s="3618"/>
      <c r="AL11" s="1065"/>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48">
        <v>24</v>
      </c>
    </row>
    <row r="12" spans="1:59" ht="35.65" customHeight="1">
      <c r="A12" s="832"/>
      <c r="B12" s="832"/>
      <c r="C12" s="832"/>
      <c r="E12" s="835"/>
      <c r="F12" s="3697"/>
      <c r="G12" s="3792"/>
      <c r="H12" s="3906"/>
      <c r="I12" s="1075" t="s">
        <v>77</v>
      </c>
      <c r="J12" s="1075" t="s">
        <v>1426</v>
      </c>
      <c r="K12" s="3618"/>
      <c r="L12" s="3716"/>
      <c r="M12" s="3716"/>
      <c r="N12" s="3618"/>
      <c r="O12" s="3618"/>
      <c r="P12" s="3646"/>
      <c r="Q12" s="3646"/>
      <c r="R12" s="3646"/>
      <c r="S12" s="1057" t="s">
        <v>74</v>
      </c>
      <c r="T12" s="1057" t="s">
        <v>75</v>
      </c>
      <c r="U12" s="1057" t="s">
        <v>73</v>
      </c>
      <c r="V12" s="1057" t="s">
        <v>1427</v>
      </c>
      <c r="W12" s="1057" t="s">
        <v>73</v>
      </c>
      <c r="X12" s="1057" t="s">
        <v>1428</v>
      </c>
      <c r="Y12" s="1057" t="s">
        <v>1429</v>
      </c>
      <c r="Z12" s="3688"/>
      <c r="AA12" s="3689"/>
      <c r="AB12" s="1064" t="s">
        <v>1430</v>
      </c>
      <c r="AC12" s="1064" t="s">
        <v>1431</v>
      </c>
      <c r="AD12" s="1064" t="s">
        <v>1430</v>
      </c>
      <c r="AE12" s="1064" t="s">
        <v>1431</v>
      </c>
      <c r="AF12" s="3716"/>
      <c r="AG12" s="1076" t="s">
        <v>1432</v>
      </c>
      <c r="AH12" s="1076" t="s">
        <v>1433</v>
      </c>
      <c r="AI12" s="3716"/>
      <c r="AJ12" s="1076" t="s">
        <v>1432</v>
      </c>
      <c r="AK12" s="1076" t="s">
        <v>1433</v>
      </c>
      <c r="AL12" s="1065"/>
      <c r="AM12" s="834"/>
      <c r="AN12" s="834"/>
      <c r="AO12" s="834"/>
      <c r="AP12" s="834"/>
      <c r="AQ12" s="834"/>
      <c r="AR12" s="834"/>
      <c r="AS12" s="834"/>
      <c r="AT12" s="834"/>
      <c r="AU12" s="834"/>
      <c r="AV12" s="834"/>
      <c r="AW12" s="834"/>
      <c r="AX12" s="834"/>
      <c r="AY12" s="834"/>
      <c r="AZ12" s="834"/>
      <c r="BA12" s="834"/>
      <c r="BB12" s="834"/>
      <c r="BC12" s="834"/>
      <c r="BD12" s="834"/>
      <c r="BE12" s="834"/>
      <c r="BF12" s="834"/>
      <c r="BG12" s="690">
        <v>34</v>
      </c>
    </row>
    <row r="13" spans="1:59" ht="1.1499999999999999" customHeight="1">
      <c r="E13" s="835"/>
      <c r="F13" s="1047">
        <v>0</v>
      </c>
      <c r="G13" s="1047"/>
      <c r="H13" s="1047"/>
      <c r="I13" s="1047"/>
      <c r="J13" s="1047"/>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72"/>
      <c r="AI13" s="1065"/>
      <c r="AJ13" s="1054"/>
      <c r="AK13" s="1054"/>
      <c r="AL13" s="836"/>
      <c r="AM13" s="834"/>
      <c r="AN13" s="834"/>
      <c r="AO13" s="834"/>
      <c r="AP13" s="834"/>
      <c r="AQ13" s="834"/>
      <c r="AR13" s="834"/>
      <c r="AS13" s="834"/>
      <c r="AT13" s="834"/>
      <c r="AU13" s="834"/>
      <c r="AV13" s="834"/>
      <c r="AW13" s="834"/>
      <c r="AX13" s="834"/>
      <c r="AY13" s="834"/>
      <c r="AZ13" s="834"/>
      <c r="BA13" s="834"/>
      <c r="BB13" s="834"/>
      <c r="BC13" s="834"/>
      <c r="BD13" s="834"/>
      <c r="BE13" s="834"/>
      <c r="BF13" s="834"/>
      <c r="BG13" s="690">
        <v>1</v>
      </c>
    </row>
    <row r="14" spans="1:59" ht="21" customHeight="1">
      <c r="A14" s="1089" t="s">
        <v>1334</v>
      </c>
      <c r="D14" s="1082"/>
      <c r="E14" s="1092" t="s">
        <v>9</v>
      </c>
      <c r="F14" s="1045" t="str">
        <f>INDEX(IP_MAIN_LIST_NAME_IP,MATCH(A14,IP_MAIN_LIST_IP_ID,0))&amp;" ("&amp;INDEX(IP_MAIN_START_DATE,MATCH(A14,IP_MAIN_LIST_IP_ID,0))&amp;"-"&amp;INDEX(IP_MAIN_END_DATE,MATCH(A14,IP_MAIN_LIST_IP_ID,0))&amp;")"</f>
        <v>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 (01.01.2020-31.12.2026)</v>
      </c>
      <c r="G14" s="1046"/>
      <c r="H14" s="1046"/>
      <c r="I14" s="1107"/>
      <c r="J14" s="1107"/>
      <c r="K14" s="1108"/>
      <c r="L14" s="1108"/>
      <c r="M14" s="1108"/>
      <c r="N14" s="1109"/>
      <c r="O14" s="1109"/>
      <c r="P14" s="1109"/>
      <c r="Q14" s="1109"/>
      <c r="R14" s="1109"/>
      <c r="S14" s="1109"/>
      <c r="T14" s="1109"/>
      <c r="U14" s="1109"/>
      <c r="V14" s="1109"/>
      <c r="W14" s="1109"/>
      <c r="X14" s="1109"/>
      <c r="Y14" s="1109"/>
      <c r="Z14" s="1109"/>
      <c r="AA14" s="1109"/>
      <c r="AB14" s="1109"/>
      <c r="AC14" s="1109"/>
      <c r="AD14" s="1109"/>
      <c r="AE14" s="1110"/>
      <c r="AF14" s="1108"/>
      <c r="AG14" s="1108"/>
      <c r="AH14" s="1108"/>
      <c r="AI14" s="1108"/>
      <c r="AJ14" s="1108"/>
      <c r="AK14" s="1108"/>
      <c r="AL14" s="1874"/>
      <c r="AM14" s="1714"/>
      <c r="AN14" s="1714"/>
      <c r="AO14" s="1714"/>
      <c r="AP14" s="1714"/>
      <c r="AQ14" s="1714"/>
      <c r="AR14" s="1714"/>
      <c r="AS14" s="1714"/>
      <c r="AT14" s="1714"/>
      <c r="AU14" s="1714"/>
      <c r="AV14" s="1714"/>
      <c r="AW14" s="1714"/>
      <c r="AX14" s="1714"/>
      <c r="AY14" s="1714"/>
      <c r="AZ14" s="1714"/>
      <c r="BA14" s="1714"/>
      <c r="BB14" s="1714"/>
      <c r="BC14" s="1714"/>
      <c r="BD14" s="1714"/>
      <c r="BE14" s="1714"/>
      <c r="BF14" s="1714"/>
    </row>
    <row r="15" spans="1:59" ht="0.75" customHeight="1">
      <c r="A15" s="1088" t="s">
        <v>1334</v>
      </c>
      <c r="D15" s="1082"/>
      <c r="E15" s="1092"/>
      <c r="F15" s="3894">
        <v>2020</v>
      </c>
      <c r="G15" s="3885"/>
      <c r="H15" s="3898" t="s">
        <v>421</v>
      </c>
      <c r="I15" s="3899"/>
      <c r="J15" s="3891"/>
      <c r="K15" s="3891"/>
      <c r="L15" s="3892"/>
      <c r="M15" s="3743"/>
      <c r="N15" s="1922"/>
      <c r="O15" s="1921"/>
      <c r="P15" s="1922"/>
      <c r="Q15" s="1922"/>
      <c r="R15" s="1922"/>
      <c r="S15" s="1922"/>
      <c r="T15" s="1922"/>
      <c r="U15" s="1922"/>
      <c r="V15" s="1922"/>
      <c r="W15" s="1922"/>
      <c r="X15" s="1922"/>
      <c r="Y15" s="1922"/>
      <c r="Z15" s="1922"/>
      <c r="AA15" s="1922"/>
      <c r="AB15" s="1922"/>
      <c r="AC15" s="1922"/>
      <c r="AD15" s="1922"/>
      <c r="AE15" s="1922"/>
      <c r="AF15" s="3897"/>
      <c r="AG15" s="3892"/>
      <c r="AH15" s="3892"/>
      <c r="AI15" s="3897"/>
      <c r="AJ15" s="3892"/>
      <c r="AK15" s="3892"/>
      <c r="AL15" s="1874"/>
      <c r="AM15" s="1714"/>
      <c r="AN15" s="1714"/>
      <c r="AO15" s="1714"/>
      <c r="AP15" s="1714"/>
      <c r="AQ15" s="1714"/>
      <c r="AR15" s="1714"/>
      <c r="AS15" s="1714"/>
      <c r="AT15" s="1714"/>
      <c r="AU15" s="1714"/>
      <c r="AV15" s="1714"/>
      <c r="AW15" s="1714"/>
      <c r="AX15" s="1714"/>
      <c r="AY15" s="1714"/>
      <c r="AZ15" s="1714"/>
      <c r="BA15" s="1714"/>
      <c r="BB15" s="1714"/>
      <c r="BC15" s="1714"/>
      <c r="BD15" s="1714"/>
      <c r="BE15" s="1714"/>
      <c r="BF15" s="1714"/>
    </row>
    <row r="16" spans="1:59" ht="0.75" customHeight="1">
      <c r="A16" s="1088" t="s">
        <v>1334</v>
      </c>
      <c r="D16" s="1082"/>
      <c r="E16" s="1092"/>
      <c r="F16" s="3894"/>
      <c r="G16" s="3885"/>
      <c r="H16" s="3898"/>
      <c r="I16" s="3899"/>
      <c r="J16" s="3891"/>
      <c r="K16" s="3891"/>
      <c r="L16" s="3892"/>
      <c r="M16" s="3743"/>
      <c r="N16" s="3900"/>
      <c r="O16" s="3901"/>
      <c r="P16" s="3888"/>
      <c r="Q16" s="3891"/>
      <c r="R16" s="3891"/>
      <c r="S16" s="3891"/>
      <c r="T16" s="3891"/>
      <c r="U16" s="3891"/>
      <c r="V16" s="3891"/>
      <c r="W16" s="3891"/>
      <c r="X16" s="3891"/>
      <c r="Y16" s="3891"/>
      <c r="Z16" s="1923"/>
      <c r="AA16" s="1924"/>
      <c r="AB16" s="1924"/>
      <c r="AC16" s="1925"/>
      <c r="AD16" s="1925"/>
      <c r="AE16" s="1926"/>
      <c r="AF16" s="3897"/>
      <c r="AG16" s="3892"/>
      <c r="AH16" s="3892"/>
      <c r="AI16" s="3897"/>
      <c r="AJ16" s="3892"/>
      <c r="AK16" s="3892"/>
      <c r="AL16" s="1874"/>
      <c r="AM16" s="1714"/>
      <c r="AN16" s="1714"/>
      <c r="AO16" s="1714"/>
      <c r="AP16" s="1714"/>
      <c r="AQ16" s="1714"/>
      <c r="AR16" s="1714"/>
      <c r="AS16" s="1714"/>
      <c r="AT16" s="1714"/>
      <c r="AU16" s="1714"/>
      <c r="AV16" s="1714"/>
      <c r="AW16" s="1714"/>
      <c r="AX16" s="1714"/>
      <c r="AY16" s="1714"/>
      <c r="AZ16" s="1714"/>
      <c r="BA16" s="1714"/>
      <c r="BB16" s="1714"/>
      <c r="BC16" s="1714"/>
      <c r="BD16" s="1714"/>
      <c r="BE16" s="1714"/>
      <c r="BF16" s="1714"/>
    </row>
    <row r="17" spans="1:58" ht="0.75" customHeight="1">
      <c r="A17" s="1088" t="s">
        <v>1334</v>
      </c>
      <c r="D17" s="1082"/>
      <c r="E17" s="1092"/>
      <c r="F17" s="3894"/>
      <c r="G17" s="3885"/>
      <c r="H17" s="3898"/>
      <c r="I17" s="3899"/>
      <c r="J17" s="3891"/>
      <c r="K17" s="3891"/>
      <c r="L17" s="3892"/>
      <c r="M17" s="3743"/>
      <c r="N17" s="3900"/>
      <c r="O17" s="3901"/>
      <c r="P17" s="3889"/>
      <c r="Q17" s="3891"/>
      <c r="R17" s="3891"/>
      <c r="S17" s="3891"/>
      <c r="T17" s="3891"/>
      <c r="U17" s="3891"/>
      <c r="V17" s="3891"/>
      <c r="W17" s="3891"/>
      <c r="X17" s="3891"/>
      <c r="Y17" s="3891"/>
      <c r="Z17" s="1927"/>
      <c r="AA17" s="1928"/>
      <c r="AB17" s="1929"/>
      <c r="AC17" s="1930"/>
      <c r="AD17" s="1929"/>
      <c r="AE17" s="1930"/>
      <c r="AF17" s="3897"/>
      <c r="AG17" s="3892"/>
      <c r="AH17" s="3892"/>
      <c r="AI17" s="3897"/>
      <c r="AJ17" s="3892"/>
      <c r="AK17" s="3892"/>
      <c r="AL17" s="1874"/>
      <c r="AM17" s="1714"/>
      <c r="AN17" s="1714"/>
      <c r="AO17" s="1714"/>
      <c r="AP17" s="1714"/>
      <c r="AQ17" s="1714"/>
      <c r="AR17" s="1714"/>
      <c r="AS17" s="1714"/>
      <c r="AT17" s="1714"/>
      <c r="AU17" s="1714"/>
      <c r="AV17" s="1714"/>
      <c r="AW17" s="1714"/>
      <c r="AX17" s="1714"/>
      <c r="AY17" s="1714"/>
      <c r="AZ17" s="1714"/>
      <c r="BA17" s="1714"/>
      <c r="BB17" s="1714"/>
      <c r="BC17" s="1714"/>
      <c r="BD17" s="1714"/>
      <c r="BE17" s="1714"/>
      <c r="BF17" s="1714"/>
    </row>
    <row r="18" spans="1:58" ht="0.75" customHeight="1">
      <c r="A18" s="1088" t="s">
        <v>1334</v>
      </c>
      <c r="D18" s="1082"/>
      <c r="E18" s="1092"/>
      <c r="F18" s="3894"/>
      <c r="G18" s="3885"/>
      <c r="H18" s="3898"/>
      <c r="I18" s="3899"/>
      <c r="J18" s="3891"/>
      <c r="K18" s="3891"/>
      <c r="L18" s="3892"/>
      <c r="M18" s="3743"/>
      <c r="N18" s="3900"/>
      <c r="O18" s="3901"/>
      <c r="P18" s="3890"/>
      <c r="Q18" s="3891"/>
      <c r="R18" s="3891"/>
      <c r="S18" s="3891"/>
      <c r="T18" s="3891"/>
      <c r="U18" s="3891"/>
      <c r="V18" s="3891"/>
      <c r="W18" s="3891"/>
      <c r="X18" s="3891"/>
      <c r="Y18" s="3891"/>
      <c r="Z18" s="1923"/>
      <c r="AA18" s="1924"/>
      <c r="AB18" s="1931"/>
      <c r="AC18" s="1925"/>
      <c r="AD18" s="1925"/>
      <c r="AE18" s="1932"/>
      <c r="AF18" s="3897"/>
      <c r="AG18" s="3892"/>
      <c r="AH18" s="3892"/>
      <c r="AI18" s="3897"/>
      <c r="AJ18" s="3892"/>
      <c r="AK18" s="3892"/>
      <c r="AL18" s="1874"/>
      <c r="AM18" s="1714"/>
      <c r="AN18" s="1714"/>
      <c r="AO18" s="1714"/>
      <c r="AP18" s="1714"/>
      <c r="AQ18" s="1714"/>
      <c r="AR18" s="1714"/>
      <c r="AS18" s="1714"/>
      <c r="AT18" s="1714"/>
      <c r="AU18" s="1714"/>
      <c r="AV18" s="1714"/>
      <c r="AW18" s="1714"/>
      <c r="AX18" s="1714"/>
      <c r="AY18" s="1714"/>
      <c r="AZ18" s="1714"/>
      <c r="BA18" s="1714"/>
      <c r="BB18" s="1714"/>
      <c r="BC18" s="1714"/>
      <c r="BD18" s="1714"/>
      <c r="BE18" s="1714"/>
      <c r="BF18" s="1714"/>
    </row>
    <row r="19" spans="1:58" ht="0.75" customHeight="1">
      <c r="A19" s="1088" t="s">
        <v>1334</v>
      </c>
      <c r="D19" s="1082"/>
      <c r="E19" s="1092"/>
      <c r="F19" s="3894"/>
      <c r="G19" s="3885"/>
      <c r="H19" s="3898"/>
      <c r="I19" s="3899"/>
      <c r="J19" s="3891"/>
      <c r="K19" s="3891"/>
      <c r="L19" s="3892"/>
      <c r="M19" s="3743"/>
      <c r="N19" s="1924"/>
      <c r="O19" s="1924"/>
      <c r="P19" s="1931"/>
      <c r="Q19" s="1924"/>
      <c r="R19" s="1924"/>
      <c r="S19" s="1924"/>
      <c r="T19" s="1924"/>
      <c r="U19" s="1924"/>
      <c r="V19" s="1924"/>
      <c r="W19" s="1924"/>
      <c r="X19" s="1924"/>
      <c r="Y19" s="1924"/>
      <c r="Z19" s="1924"/>
      <c r="AA19" s="1924"/>
      <c r="AB19" s="1924"/>
      <c r="AC19" s="1924"/>
      <c r="AD19" s="1924"/>
      <c r="AE19" s="1933"/>
      <c r="AF19" s="3897"/>
      <c r="AG19" s="3892"/>
      <c r="AH19" s="3892"/>
      <c r="AI19" s="3897"/>
      <c r="AJ19" s="3892"/>
      <c r="AK19" s="3892"/>
      <c r="AL19" s="1874"/>
      <c r="AM19" s="1714"/>
      <c r="AN19" s="1714"/>
      <c r="AO19" s="1714"/>
      <c r="AP19" s="1714"/>
      <c r="AQ19" s="1714"/>
      <c r="AR19" s="1714"/>
      <c r="AS19" s="1714"/>
      <c r="AT19" s="1714"/>
      <c r="AU19" s="1714"/>
      <c r="AV19" s="1714"/>
      <c r="AW19" s="1714"/>
      <c r="AX19" s="1714"/>
      <c r="AY19" s="1714"/>
      <c r="AZ19" s="1714"/>
      <c r="BA19" s="1714"/>
      <c r="BB19" s="1714"/>
      <c r="BC19" s="1714"/>
      <c r="BD19" s="1714"/>
      <c r="BE19" s="1714"/>
      <c r="BF19" s="1714"/>
    </row>
    <row r="20" spans="1:58" ht="11.25" customHeight="1">
      <c r="A20" s="1088" t="s">
        <v>1334</v>
      </c>
      <c r="D20" s="1082"/>
      <c r="E20" s="1092"/>
      <c r="F20" s="3895"/>
      <c r="G20" s="3853" t="s">
        <v>90</v>
      </c>
      <c r="H20" s="3885" t="s">
        <v>164</v>
      </c>
      <c r="I20" s="3886"/>
      <c r="J20" s="3883"/>
      <c r="K20" s="3887" t="s">
        <v>1434</v>
      </c>
      <c r="L20" s="3599" t="s">
        <v>6</v>
      </c>
      <c r="M20" s="3600"/>
      <c r="N20" s="1872"/>
      <c r="O20" s="1099" t="s">
        <v>421</v>
      </c>
      <c r="P20" s="1100"/>
      <c r="Q20" s="1100"/>
      <c r="R20" s="1100"/>
      <c r="S20" s="1100"/>
      <c r="T20" s="1100"/>
      <c r="U20" s="1100"/>
      <c r="V20" s="1100"/>
      <c r="W20" s="1100"/>
      <c r="X20" s="1100"/>
      <c r="Y20" s="1100"/>
      <c r="Z20" s="1100"/>
      <c r="AA20" s="1100"/>
      <c r="AB20" s="1100"/>
      <c r="AC20" s="1100"/>
      <c r="AD20" s="1100"/>
      <c r="AE20" s="1100"/>
      <c r="AF20" s="3876">
        <v>2021</v>
      </c>
      <c r="AG20" s="3877" t="s">
        <v>1435</v>
      </c>
      <c r="AH20" s="3877" t="s">
        <v>1436</v>
      </c>
      <c r="AI20" s="3876">
        <v>2021</v>
      </c>
      <c r="AJ20" s="3877" t="s">
        <v>1435</v>
      </c>
      <c r="AK20" s="3877" t="s">
        <v>1436</v>
      </c>
      <c r="AL20" s="1874"/>
      <c r="AM20" s="1714"/>
      <c r="AN20" s="1714"/>
      <c r="AO20" s="1714"/>
      <c r="AP20" s="1714"/>
      <c r="AQ20" s="1714"/>
      <c r="AR20" s="1714"/>
      <c r="AS20" s="1714"/>
      <c r="AT20" s="1714"/>
      <c r="AU20" s="1714"/>
      <c r="AV20" s="1714"/>
      <c r="AW20" s="1714"/>
      <c r="AX20" s="1714"/>
      <c r="AY20" s="1714"/>
      <c r="AZ20" s="1714"/>
      <c r="BA20" s="1714"/>
      <c r="BB20" s="1714"/>
      <c r="BC20" s="1714"/>
      <c r="BD20" s="1714"/>
      <c r="BE20" s="1714"/>
      <c r="BF20" s="1714"/>
    </row>
    <row r="21" spans="1:58" ht="11.25" customHeight="1">
      <c r="A21" s="1088" t="s">
        <v>1334</v>
      </c>
      <c r="D21" s="1082"/>
      <c r="E21" s="1092"/>
      <c r="F21" s="3895"/>
      <c r="G21" s="3875"/>
      <c r="H21" s="3885" t="s">
        <v>421</v>
      </c>
      <c r="I21" s="3886"/>
      <c r="J21" s="3883"/>
      <c r="K21" s="3887"/>
      <c r="L21" s="3599"/>
      <c r="M21" s="3600"/>
      <c r="N21" s="3878"/>
      <c r="O21" s="3879">
        <v>1</v>
      </c>
      <c r="P21" s="3880" t="s">
        <v>50</v>
      </c>
      <c r="Q21" s="3883" t="s">
        <v>1437</v>
      </c>
      <c r="R21" s="3884" t="s">
        <v>1438</v>
      </c>
      <c r="S21" s="3884" t="s">
        <v>151</v>
      </c>
      <c r="T21" s="3884" t="s">
        <v>151</v>
      </c>
      <c r="U21" s="3884" t="s">
        <v>152</v>
      </c>
      <c r="V21" s="3884" t="s">
        <v>1439</v>
      </c>
      <c r="W21" s="3884" t="s">
        <v>1440</v>
      </c>
      <c r="X21" s="3884" t="s">
        <v>1441</v>
      </c>
      <c r="Y21" s="3884" t="s">
        <v>1442</v>
      </c>
      <c r="Z21" s="1097"/>
      <c r="AA21" s="1098"/>
      <c r="AB21" s="1098"/>
      <c r="AC21" s="1102"/>
      <c r="AD21" s="1102"/>
      <c r="AE21" s="1103"/>
      <c r="AF21" s="3876"/>
      <c r="AG21" s="3877"/>
      <c r="AH21" s="3877"/>
      <c r="AI21" s="3876"/>
      <c r="AJ21" s="3877"/>
      <c r="AK21" s="3877"/>
      <c r="AL21" s="1874"/>
      <c r="AM21" s="1714"/>
      <c r="AN21" s="1714"/>
      <c r="AO21" s="1714"/>
      <c r="AP21" s="1714"/>
      <c r="AQ21" s="1714"/>
      <c r="AR21" s="1714"/>
      <c r="AS21" s="1714"/>
      <c r="AT21" s="1714"/>
      <c r="AU21" s="1714"/>
      <c r="AV21" s="1714"/>
      <c r="AW21" s="1714"/>
      <c r="AX21" s="1714"/>
      <c r="AY21" s="1714"/>
      <c r="AZ21" s="1714"/>
      <c r="BA21" s="1714"/>
      <c r="BB21" s="1714"/>
      <c r="BC21" s="1714"/>
      <c r="BD21" s="1714"/>
      <c r="BE21" s="1714"/>
      <c r="BF21" s="1714"/>
    </row>
    <row r="22" spans="1:58" ht="29.25" customHeight="1">
      <c r="A22" s="1088" t="s">
        <v>1334</v>
      </c>
      <c r="D22" s="1082"/>
      <c r="E22" s="1092"/>
      <c r="F22" s="3895"/>
      <c r="G22" s="3875"/>
      <c r="H22" s="3885" t="s">
        <v>421</v>
      </c>
      <c r="I22" s="3886"/>
      <c r="J22" s="3883"/>
      <c r="K22" s="3887"/>
      <c r="L22" s="3599"/>
      <c r="M22" s="3600"/>
      <c r="N22" s="3878"/>
      <c r="O22" s="3879"/>
      <c r="P22" s="3881"/>
      <c r="Q22" s="3883"/>
      <c r="R22" s="3874"/>
      <c r="S22" s="3884"/>
      <c r="T22" s="3874"/>
      <c r="U22" s="3874"/>
      <c r="V22" s="3874"/>
      <c r="W22" s="3874"/>
      <c r="X22" s="3874"/>
      <c r="Y22" s="3874"/>
      <c r="Z22" s="1719"/>
      <c r="AA22" s="1686">
        <v>1</v>
      </c>
      <c r="AB22" s="1101" t="s">
        <v>1443</v>
      </c>
      <c r="AC22" s="1091">
        <v>6050</v>
      </c>
      <c r="AD22" s="1101" t="str">
        <f>AB22</f>
        <v xml:space="preserve">  Прибыль направляемая на инвестиции</v>
      </c>
      <c r="AE22" s="1091">
        <v>134.6</v>
      </c>
      <c r="AF22" s="3876"/>
      <c r="AG22" s="3877"/>
      <c r="AH22" s="3877"/>
      <c r="AI22" s="3876"/>
      <c r="AJ22" s="3877"/>
      <c r="AK22" s="3877"/>
      <c r="AL22" s="1874"/>
      <c r="AM22" s="1714"/>
      <c r="AN22" s="1714"/>
      <c r="AO22" s="1714"/>
      <c r="AP22" s="1714"/>
      <c r="AQ22" s="1714"/>
      <c r="AR22" s="1714"/>
      <c r="AS22" s="1714"/>
      <c r="AT22" s="1714"/>
      <c r="AU22" s="1714"/>
      <c r="AV22" s="1714"/>
      <c r="AW22" s="1714"/>
      <c r="AX22" s="1714"/>
      <c r="AY22" s="1714"/>
      <c r="AZ22" s="1714"/>
      <c r="BA22" s="1714"/>
      <c r="BB22" s="1714"/>
      <c r="BC22" s="1714"/>
      <c r="BD22" s="1714"/>
      <c r="BE22" s="1714"/>
      <c r="BF22" s="1714"/>
    </row>
    <row r="23" spans="1:58" ht="13.5" customHeight="1">
      <c r="A23" s="1088" t="s">
        <v>1334</v>
      </c>
      <c r="D23" s="1082"/>
      <c r="E23" s="1092"/>
      <c r="F23" s="3895"/>
      <c r="G23" s="3875"/>
      <c r="H23" s="3885" t="s">
        <v>421</v>
      </c>
      <c r="I23" s="3886"/>
      <c r="J23" s="3883"/>
      <c r="K23" s="3887"/>
      <c r="L23" s="3599"/>
      <c r="M23" s="3600"/>
      <c r="N23" s="3878"/>
      <c r="O23" s="3879"/>
      <c r="P23" s="3882"/>
      <c r="Q23" s="3883"/>
      <c r="R23" s="3874"/>
      <c r="S23" s="3884"/>
      <c r="T23" s="3874"/>
      <c r="U23" s="3874"/>
      <c r="V23" s="3874"/>
      <c r="W23" s="3874"/>
      <c r="X23" s="3874"/>
      <c r="Y23" s="3874"/>
      <c r="Z23" s="1097"/>
      <c r="AA23" s="1098"/>
      <c r="AB23" s="1163" t="s">
        <v>1444</v>
      </c>
      <c r="AC23" s="1102"/>
      <c r="AD23" s="1102"/>
      <c r="AE23" s="1104"/>
      <c r="AF23" s="3876"/>
      <c r="AG23" s="3877"/>
      <c r="AH23" s="3877"/>
      <c r="AI23" s="3876"/>
      <c r="AJ23" s="3877"/>
      <c r="AK23" s="3877"/>
      <c r="AL23" s="1874"/>
      <c r="AM23" s="1714"/>
      <c r="AN23" s="1714"/>
      <c r="AO23" s="1714"/>
      <c r="AP23" s="1714"/>
      <c r="AQ23" s="1714"/>
      <c r="AR23" s="1714"/>
      <c r="AS23" s="1714"/>
      <c r="AT23" s="1714"/>
      <c r="AU23" s="1714"/>
      <c r="AV23" s="1714"/>
      <c r="AW23" s="1714"/>
      <c r="AX23" s="1714"/>
      <c r="AY23" s="1714"/>
      <c r="AZ23" s="1714"/>
      <c r="BA23" s="1714"/>
      <c r="BB23" s="1714"/>
      <c r="BC23" s="1714"/>
      <c r="BD23" s="1714"/>
      <c r="BE23" s="1714"/>
      <c r="BF23" s="1714"/>
    </row>
    <row r="24" spans="1:58" ht="11.25" customHeight="1">
      <c r="A24" s="1088" t="s">
        <v>1334</v>
      </c>
      <c r="D24" s="1082"/>
      <c r="E24" s="1092"/>
      <c r="F24" s="3895"/>
      <c r="G24" s="3875"/>
      <c r="H24" s="3885" t="s">
        <v>421</v>
      </c>
      <c r="I24" s="3886"/>
      <c r="J24" s="3883"/>
      <c r="K24" s="3887"/>
      <c r="L24" s="3599"/>
      <c r="M24" s="3600"/>
      <c r="N24" s="1097"/>
      <c r="O24" s="1098"/>
      <c r="P24" s="1090" t="s">
        <v>1445</v>
      </c>
      <c r="Q24" s="1098"/>
      <c r="R24" s="1098"/>
      <c r="S24" s="1098"/>
      <c r="T24" s="1098"/>
      <c r="U24" s="1098"/>
      <c r="V24" s="1098"/>
      <c r="W24" s="1098"/>
      <c r="X24" s="1098"/>
      <c r="Y24" s="1098"/>
      <c r="Z24" s="1098"/>
      <c r="AA24" s="1098"/>
      <c r="AB24" s="1098"/>
      <c r="AC24" s="1098"/>
      <c r="AD24" s="1098"/>
      <c r="AE24" s="1105"/>
      <c r="AF24" s="3876"/>
      <c r="AG24" s="3877"/>
      <c r="AH24" s="3877"/>
      <c r="AI24" s="3876"/>
      <c r="AJ24" s="3877"/>
      <c r="AK24" s="3877"/>
      <c r="AL24" s="1874"/>
      <c r="AM24" s="1714"/>
      <c r="AN24" s="1714"/>
      <c r="AO24" s="1714"/>
      <c r="AP24" s="1714"/>
      <c r="AQ24" s="1714"/>
      <c r="AR24" s="1714"/>
      <c r="AS24" s="1714"/>
      <c r="AT24" s="1714"/>
      <c r="AU24" s="1714"/>
      <c r="AV24" s="1714"/>
      <c r="AW24" s="1714"/>
      <c r="AX24" s="1714"/>
      <c r="AY24" s="1714"/>
      <c r="AZ24" s="1714"/>
      <c r="BA24" s="1714"/>
      <c r="BB24" s="1714"/>
      <c r="BC24" s="1714"/>
      <c r="BD24" s="1714"/>
      <c r="BE24" s="1714"/>
      <c r="BF24" s="1714"/>
    </row>
    <row r="25" spans="1:58" ht="11.25" customHeight="1">
      <c r="A25" s="1088" t="s">
        <v>1334</v>
      </c>
      <c r="D25" s="1082"/>
      <c r="E25" s="1092"/>
      <c r="F25" s="3895"/>
      <c r="G25" s="3853" t="s">
        <v>90</v>
      </c>
      <c r="H25" s="3885" t="s">
        <v>89</v>
      </c>
      <c r="I25" s="3886"/>
      <c r="J25" s="3883"/>
      <c r="K25" s="3887" t="s">
        <v>1446</v>
      </c>
      <c r="L25" s="3599" t="s">
        <v>6</v>
      </c>
      <c r="M25" s="3600"/>
      <c r="N25" s="1872"/>
      <c r="O25" s="1099" t="s">
        <v>421</v>
      </c>
      <c r="P25" s="1100"/>
      <c r="Q25" s="1100"/>
      <c r="R25" s="1100"/>
      <c r="S25" s="1100"/>
      <c r="T25" s="1100"/>
      <c r="U25" s="1100"/>
      <c r="V25" s="1100"/>
      <c r="W25" s="1100"/>
      <c r="X25" s="1100"/>
      <c r="Y25" s="1100"/>
      <c r="Z25" s="1100"/>
      <c r="AA25" s="1100"/>
      <c r="AB25" s="1100"/>
      <c r="AC25" s="1100"/>
      <c r="AD25" s="1100"/>
      <c r="AE25" s="1100"/>
      <c r="AF25" s="3876">
        <v>2023</v>
      </c>
      <c r="AG25" s="3877" t="s">
        <v>1447</v>
      </c>
      <c r="AH25" s="3877" t="s">
        <v>1448</v>
      </c>
      <c r="AI25" s="3876">
        <v>2023</v>
      </c>
      <c r="AJ25" s="3877" t="s">
        <v>1447</v>
      </c>
      <c r="AK25" s="3877" t="s">
        <v>1448</v>
      </c>
      <c r="AL25" s="1874"/>
      <c r="AM25" s="1714"/>
      <c r="AN25" s="1714"/>
      <c r="AO25" s="1714"/>
      <c r="AP25" s="1714"/>
      <c r="AQ25" s="1714"/>
      <c r="AR25" s="1714"/>
      <c r="AS25" s="1714"/>
      <c r="AT25" s="1714"/>
      <c r="AU25" s="1714"/>
      <c r="AV25" s="1714"/>
      <c r="AW25" s="1714"/>
      <c r="AX25" s="1714"/>
      <c r="AY25" s="1714"/>
      <c r="AZ25" s="1714"/>
      <c r="BA25" s="1714"/>
      <c r="BB25" s="1714"/>
      <c r="BC25" s="1714"/>
      <c r="BD25" s="1714"/>
      <c r="BE25" s="1714"/>
      <c r="BF25" s="1714"/>
    </row>
    <row r="26" spans="1:58" ht="11.25" customHeight="1">
      <c r="A26" s="1088" t="s">
        <v>1334</v>
      </c>
      <c r="D26" s="1082"/>
      <c r="E26" s="1092"/>
      <c r="F26" s="3895"/>
      <c r="G26" s="3875"/>
      <c r="H26" s="3885" t="s">
        <v>164</v>
      </c>
      <c r="I26" s="3886"/>
      <c r="J26" s="3883"/>
      <c r="K26" s="3887"/>
      <c r="L26" s="3599"/>
      <c r="M26" s="3600"/>
      <c r="N26" s="3878"/>
      <c r="O26" s="3879">
        <v>1</v>
      </c>
      <c r="P26" s="3880" t="s">
        <v>50</v>
      </c>
      <c r="Q26" s="3883" t="s">
        <v>1449</v>
      </c>
      <c r="R26" s="3884" t="s">
        <v>1438</v>
      </c>
      <c r="S26" s="3884" t="s">
        <v>151</v>
      </c>
      <c r="T26" s="3884" t="s">
        <v>151</v>
      </c>
      <c r="U26" s="3884" t="s">
        <v>152</v>
      </c>
      <c r="V26" s="3884" t="s">
        <v>1439</v>
      </c>
      <c r="W26" s="3884" t="s">
        <v>1440</v>
      </c>
      <c r="X26" s="3884" t="s">
        <v>1450</v>
      </c>
      <c r="Y26" s="3884" t="s">
        <v>1442</v>
      </c>
      <c r="Z26" s="1097"/>
      <c r="AA26" s="1098"/>
      <c r="AB26" s="1098"/>
      <c r="AC26" s="1102"/>
      <c r="AD26" s="1102"/>
      <c r="AE26" s="1103"/>
      <c r="AF26" s="3876"/>
      <c r="AG26" s="3877"/>
      <c r="AH26" s="3877"/>
      <c r="AI26" s="3876"/>
      <c r="AJ26" s="3877"/>
      <c r="AK26" s="3877"/>
      <c r="AL26" s="1874"/>
      <c r="AM26" s="1714"/>
      <c r="AN26" s="1714"/>
      <c r="AO26" s="1714"/>
      <c r="AP26" s="1714"/>
      <c r="AQ26" s="1714"/>
      <c r="AR26" s="1714"/>
      <c r="AS26" s="1714"/>
      <c r="AT26" s="1714"/>
      <c r="AU26" s="1714"/>
      <c r="AV26" s="1714"/>
      <c r="AW26" s="1714"/>
      <c r="AX26" s="1714"/>
      <c r="AY26" s="1714"/>
      <c r="AZ26" s="1714"/>
      <c r="BA26" s="1714"/>
      <c r="BB26" s="1714"/>
      <c r="BC26" s="1714"/>
      <c r="BD26" s="1714"/>
      <c r="BE26" s="1714"/>
      <c r="BF26" s="1714"/>
    </row>
    <row r="27" spans="1:58" ht="11.25" customHeight="1">
      <c r="A27" s="1088" t="s">
        <v>1334</v>
      </c>
      <c r="D27" s="1082"/>
      <c r="E27" s="1092"/>
      <c r="F27" s="3895"/>
      <c r="G27" s="3875"/>
      <c r="H27" s="3885" t="s">
        <v>164</v>
      </c>
      <c r="I27" s="3886"/>
      <c r="J27" s="3883"/>
      <c r="K27" s="3887"/>
      <c r="L27" s="3599"/>
      <c r="M27" s="3600"/>
      <c r="N27" s="3878"/>
      <c r="O27" s="3879"/>
      <c r="P27" s="3881"/>
      <c r="Q27" s="3883"/>
      <c r="R27" s="3874"/>
      <c r="S27" s="3884"/>
      <c r="T27" s="3874"/>
      <c r="U27" s="3874"/>
      <c r="V27" s="3874"/>
      <c r="W27" s="3874"/>
      <c r="X27" s="3874"/>
      <c r="Y27" s="3874"/>
      <c r="Z27" s="1719"/>
      <c r="AA27" s="1686">
        <v>1</v>
      </c>
      <c r="AB27" s="1101" t="s">
        <v>1443</v>
      </c>
      <c r="AC27" s="1091">
        <v>0</v>
      </c>
      <c r="AD27" s="1101" t="str">
        <f>AB27</f>
        <v xml:space="preserve">  Прибыль направляемая на инвестиции</v>
      </c>
      <c r="AE27" s="1091">
        <v>98</v>
      </c>
      <c r="AF27" s="3876"/>
      <c r="AG27" s="3877"/>
      <c r="AH27" s="3877"/>
      <c r="AI27" s="3876"/>
      <c r="AJ27" s="3877"/>
      <c r="AK27" s="3877"/>
      <c r="AL27" s="1874"/>
      <c r="AM27" s="1714"/>
      <c r="AN27" s="1714"/>
      <c r="AO27" s="1714"/>
      <c r="AP27" s="1714"/>
      <c r="AQ27" s="1714"/>
      <c r="AR27" s="1714"/>
      <c r="AS27" s="1714"/>
      <c r="AT27" s="1714"/>
      <c r="AU27" s="1714"/>
      <c r="AV27" s="1714"/>
      <c r="AW27" s="1714"/>
      <c r="AX27" s="1714"/>
      <c r="AY27" s="1714"/>
      <c r="AZ27" s="1714"/>
      <c r="BA27" s="1714"/>
      <c r="BB27" s="1714"/>
      <c r="BC27" s="1714"/>
      <c r="BD27" s="1714"/>
      <c r="BE27" s="1714"/>
      <c r="BF27" s="1714"/>
    </row>
    <row r="28" spans="1:58" ht="11.25" customHeight="1">
      <c r="A28" s="1088" t="s">
        <v>1334</v>
      </c>
      <c r="D28" s="1082"/>
      <c r="E28" s="1092"/>
      <c r="F28" s="3895"/>
      <c r="G28" s="3875"/>
      <c r="H28" s="3885" t="s">
        <v>164</v>
      </c>
      <c r="I28" s="3886"/>
      <c r="J28" s="3883"/>
      <c r="K28" s="3887"/>
      <c r="L28" s="3599"/>
      <c r="M28" s="3600"/>
      <c r="N28" s="3878"/>
      <c r="O28" s="3879"/>
      <c r="P28" s="3882"/>
      <c r="Q28" s="3883"/>
      <c r="R28" s="3874"/>
      <c r="S28" s="3884"/>
      <c r="T28" s="3874"/>
      <c r="U28" s="3874"/>
      <c r="V28" s="3874"/>
      <c r="W28" s="3874"/>
      <c r="X28" s="3874"/>
      <c r="Y28" s="3874"/>
      <c r="Z28" s="1097"/>
      <c r="AA28" s="1098"/>
      <c r="AB28" s="1163" t="s">
        <v>1444</v>
      </c>
      <c r="AC28" s="1102"/>
      <c r="AD28" s="1102"/>
      <c r="AE28" s="1104"/>
      <c r="AF28" s="3876"/>
      <c r="AG28" s="3877"/>
      <c r="AH28" s="3877"/>
      <c r="AI28" s="3876"/>
      <c r="AJ28" s="3877"/>
      <c r="AK28" s="3877"/>
      <c r="AL28" s="1874"/>
      <c r="AM28" s="1714"/>
      <c r="AN28" s="1714"/>
      <c r="AO28" s="1714"/>
      <c r="AP28" s="1714"/>
      <c r="AQ28" s="1714"/>
      <c r="AR28" s="1714"/>
      <c r="AS28" s="1714"/>
      <c r="AT28" s="1714"/>
      <c r="AU28" s="1714"/>
      <c r="AV28" s="1714"/>
      <c r="AW28" s="1714"/>
      <c r="AX28" s="1714"/>
      <c r="AY28" s="1714"/>
      <c r="AZ28" s="1714"/>
      <c r="BA28" s="1714"/>
      <c r="BB28" s="1714"/>
      <c r="BC28" s="1714"/>
      <c r="BD28" s="1714"/>
      <c r="BE28" s="1714"/>
      <c r="BF28" s="1714"/>
    </row>
    <row r="29" spans="1:58" ht="11.25" customHeight="1">
      <c r="A29" s="1088" t="s">
        <v>1334</v>
      </c>
      <c r="D29" s="1082"/>
      <c r="E29" s="1092"/>
      <c r="F29" s="3895"/>
      <c r="G29" s="3875"/>
      <c r="H29" s="3885" t="s">
        <v>164</v>
      </c>
      <c r="I29" s="3886"/>
      <c r="J29" s="3883"/>
      <c r="K29" s="3887"/>
      <c r="L29" s="3599"/>
      <c r="M29" s="3600"/>
      <c r="N29" s="1097"/>
      <c r="O29" s="1098"/>
      <c r="P29" s="1090" t="s">
        <v>1445</v>
      </c>
      <c r="Q29" s="1098"/>
      <c r="R29" s="1098"/>
      <c r="S29" s="1098"/>
      <c r="T29" s="1098"/>
      <c r="U29" s="1098"/>
      <c r="V29" s="1098"/>
      <c r="W29" s="1098"/>
      <c r="X29" s="1098"/>
      <c r="Y29" s="1098"/>
      <c r="Z29" s="1098"/>
      <c r="AA29" s="1098"/>
      <c r="AB29" s="1098"/>
      <c r="AC29" s="1098"/>
      <c r="AD29" s="1098"/>
      <c r="AE29" s="1105"/>
      <c r="AF29" s="3876"/>
      <c r="AG29" s="3877"/>
      <c r="AH29" s="3877"/>
      <c r="AI29" s="3876"/>
      <c r="AJ29" s="3877"/>
      <c r="AK29" s="3877"/>
      <c r="AL29" s="1874"/>
      <c r="AM29" s="1714"/>
      <c r="AN29" s="1714"/>
      <c r="AO29" s="1714"/>
      <c r="AP29" s="1714"/>
      <c r="AQ29" s="1714"/>
      <c r="AR29" s="1714"/>
      <c r="AS29" s="1714"/>
      <c r="AT29" s="1714"/>
      <c r="AU29" s="1714"/>
      <c r="AV29" s="1714"/>
      <c r="AW29" s="1714"/>
      <c r="AX29" s="1714"/>
      <c r="AY29" s="1714"/>
      <c r="AZ29" s="1714"/>
      <c r="BA29" s="1714"/>
      <c r="BB29" s="1714"/>
      <c r="BC29" s="1714"/>
      <c r="BD29" s="1714"/>
      <c r="BE29" s="1714"/>
      <c r="BF29" s="1714"/>
    </row>
    <row r="30" spans="1:58" ht="12" customHeight="1">
      <c r="A30" s="1088" t="s">
        <v>1334</v>
      </c>
      <c r="D30" s="1082"/>
      <c r="E30" s="1092"/>
      <c r="F30" s="3896"/>
      <c r="G30" s="1112"/>
      <c r="H30" s="1112"/>
      <c r="I30" s="3893" t="s">
        <v>1451</v>
      </c>
      <c r="J30" s="3893"/>
      <c r="K30" s="3893"/>
      <c r="L30" s="1095"/>
      <c r="M30" s="1095"/>
      <c r="N30" s="1096"/>
      <c r="O30" s="1096"/>
      <c r="P30" s="1096"/>
      <c r="Q30" s="1096"/>
      <c r="R30" s="1096"/>
      <c r="S30" s="1096"/>
      <c r="T30" s="1096"/>
      <c r="U30" s="1096"/>
      <c r="V30" s="1096"/>
      <c r="W30" s="1096"/>
      <c r="X30" s="1096"/>
      <c r="Y30" s="1096"/>
      <c r="Z30" s="1096"/>
      <c r="AA30" s="1096"/>
      <c r="AB30" s="1096"/>
      <c r="AC30" s="1096"/>
      <c r="AD30" s="1096"/>
      <c r="AE30" s="1096"/>
      <c r="AF30" s="1096"/>
      <c r="AG30" s="1095"/>
      <c r="AH30" s="1095"/>
      <c r="AI30" s="1096"/>
      <c r="AJ30" s="1095"/>
      <c r="AK30" s="1096"/>
      <c r="AL30" s="1874"/>
      <c r="AM30" s="1714"/>
      <c r="AN30" s="1714"/>
      <c r="AO30" s="1714"/>
      <c r="AP30" s="1714"/>
      <c r="AQ30" s="1714"/>
      <c r="AR30" s="1714"/>
      <c r="AS30" s="1714"/>
      <c r="AT30" s="1714"/>
      <c r="AU30" s="1714"/>
      <c r="AV30" s="1714"/>
      <c r="AW30" s="1714"/>
      <c r="AX30" s="1714"/>
      <c r="AY30" s="1714"/>
      <c r="AZ30" s="1714"/>
      <c r="BA30" s="1714"/>
      <c r="BB30" s="1714"/>
      <c r="BC30" s="1714"/>
      <c r="BD30" s="1714"/>
      <c r="BE30" s="1714"/>
      <c r="BF30" s="1714"/>
    </row>
    <row r="31" spans="1:58" ht="0.75" customHeight="1">
      <c r="A31" s="1088" t="s">
        <v>1334</v>
      </c>
      <c r="D31" s="1082"/>
      <c r="E31" s="1092"/>
      <c r="F31" s="3894">
        <v>2021</v>
      </c>
      <c r="G31" s="3885"/>
      <c r="H31" s="3898" t="s">
        <v>421</v>
      </c>
      <c r="I31" s="3899"/>
      <c r="J31" s="3891"/>
      <c r="K31" s="3891"/>
      <c r="L31" s="3892"/>
      <c r="M31" s="3743"/>
      <c r="N31" s="1922"/>
      <c r="O31" s="1921"/>
      <c r="P31" s="1922"/>
      <c r="Q31" s="1922"/>
      <c r="R31" s="1922"/>
      <c r="S31" s="1922"/>
      <c r="T31" s="1922"/>
      <c r="U31" s="1922"/>
      <c r="V31" s="1922"/>
      <c r="W31" s="1922"/>
      <c r="X31" s="1922"/>
      <c r="Y31" s="1922"/>
      <c r="Z31" s="1922"/>
      <c r="AA31" s="1922"/>
      <c r="AB31" s="1922"/>
      <c r="AC31" s="1922"/>
      <c r="AD31" s="1922"/>
      <c r="AE31" s="1922"/>
      <c r="AF31" s="3897"/>
      <c r="AG31" s="3892"/>
      <c r="AH31" s="3892"/>
      <c r="AI31" s="3897"/>
      <c r="AJ31" s="3892"/>
      <c r="AK31" s="3892"/>
      <c r="AL31" s="1874"/>
      <c r="AM31" s="1714"/>
      <c r="AN31" s="1714"/>
      <c r="AO31" s="1714"/>
      <c r="AP31" s="1714"/>
      <c r="AQ31" s="1714"/>
      <c r="AR31" s="1714"/>
      <c r="AS31" s="1714"/>
      <c r="AT31" s="1714"/>
      <c r="AU31" s="1714"/>
      <c r="AV31" s="1714"/>
      <c r="AW31" s="1714"/>
      <c r="AX31" s="1714"/>
      <c r="AY31" s="1714"/>
      <c r="AZ31" s="1714"/>
      <c r="BA31" s="1714"/>
      <c r="BB31" s="1714"/>
      <c r="BC31" s="1714"/>
      <c r="BD31" s="1714"/>
      <c r="BE31" s="1714"/>
      <c r="BF31" s="1714"/>
    </row>
    <row r="32" spans="1:58" ht="0.75" customHeight="1">
      <c r="A32" s="1088" t="s">
        <v>1334</v>
      </c>
      <c r="D32" s="1082"/>
      <c r="E32" s="1092"/>
      <c r="F32" s="3894"/>
      <c r="G32" s="3885"/>
      <c r="H32" s="3898"/>
      <c r="I32" s="3899"/>
      <c r="J32" s="3891"/>
      <c r="K32" s="3891"/>
      <c r="L32" s="3892"/>
      <c r="M32" s="3743"/>
      <c r="N32" s="3900"/>
      <c r="O32" s="3901"/>
      <c r="P32" s="3888"/>
      <c r="Q32" s="3891"/>
      <c r="R32" s="3891"/>
      <c r="S32" s="3891"/>
      <c r="T32" s="3891"/>
      <c r="U32" s="3891"/>
      <c r="V32" s="3891"/>
      <c r="W32" s="3891"/>
      <c r="X32" s="3891"/>
      <c r="Y32" s="3891"/>
      <c r="Z32" s="1923"/>
      <c r="AA32" s="1924"/>
      <c r="AB32" s="1924"/>
      <c r="AC32" s="1925"/>
      <c r="AD32" s="1925"/>
      <c r="AE32" s="1926"/>
      <c r="AF32" s="3897"/>
      <c r="AG32" s="3892"/>
      <c r="AH32" s="3892"/>
      <c r="AI32" s="3897"/>
      <c r="AJ32" s="3892"/>
      <c r="AK32" s="3892"/>
      <c r="AL32" s="1874"/>
      <c r="AM32" s="1714"/>
      <c r="AN32" s="1714"/>
      <c r="AO32" s="1714"/>
      <c r="AP32" s="1714"/>
      <c r="AQ32" s="1714"/>
      <c r="AR32" s="1714"/>
      <c r="AS32" s="1714"/>
      <c r="AT32" s="1714"/>
      <c r="AU32" s="1714"/>
      <c r="AV32" s="1714"/>
      <c r="AW32" s="1714"/>
      <c r="AX32" s="1714"/>
      <c r="AY32" s="1714"/>
      <c r="AZ32" s="1714"/>
      <c r="BA32" s="1714"/>
      <c r="BB32" s="1714"/>
      <c r="BC32" s="1714"/>
      <c r="BD32" s="1714"/>
      <c r="BE32" s="1714"/>
      <c r="BF32" s="1714"/>
    </row>
    <row r="33" spans="1:58" ht="0.75" customHeight="1">
      <c r="A33" s="1088" t="s">
        <v>1334</v>
      </c>
      <c r="D33" s="1082"/>
      <c r="E33" s="1092"/>
      <c r="F33" s="3894"/>
      <c r="G33" s="3885"/>
      <c r="H33" s="3898"/>
      <c r="I33" s="3899"/>
      <c r="J33" s="3891"/>
      <c r="K33" s="3891"/>
      <c r="L33" s="3892"/>
      <c r="M33" s="3743"/>
      <c r="N33" s="3900"/>
      <c r="O33" s="3901"/>
      <c r="P33" s="3889"/>
      <c r="Q33" s="3891"/>
      <c r="R33" s="3891"/>
      <c r="S33" s="3891"/>
      <c r="T33" s="3891"/>
      <c r="U33" s="3891"/>
      <c r="V33" s="3891"/>
      <c r="W33" s="3891"/>
      <c r="X33" s="3891"/>
      <c r="Y33" s="3891"/>
      <c r="Z33" s="1927"/>
      <c r="AA33" s="1928"/>
      <c r="AB33" s="1929"/>
      <c r="AC33" s="1930"/>
      <c r="AD33" s="1929"/>
      <c r="AE33" s="1930"/>
      <c r="AF33" s="3897"/>
      <c r="AG33" s="3892"/>
      <c r="AH33" s="3892"/>
      <c r="AI33" s="3897"/>
      <c r="AJ33" s="3892"/>
      <c r="AK33" s="3892"/>
      <c r="AL33" s="1874"/>
      <c r="AM33" s="1714"/>
      <c r="AN33" s="1714"/>
      <c r="AO33" s="1714"/>
      <c r="AP33" s="1714"/>
      <c r="AQ33" s="1714"/>
      <c r="AR33" s="1714"/>
      <c r="AS33" s="1714"/>
      <c r="AT33" s="1714"/>
      <c r="AU33" s="1714"/>
      <c r="AV33" s="1714"/>
      <c r="AW33" s="1714"/>
      <c r="AX33" s="1714"/>
      <c r="AY33" s="1714"/>
      <c r="AZ33" s="1714"/>
      <c r="BA33" s="1714"/>
      <c r="BB33" s="1714"/>
      <c r="BC33" s="1714"/>
      <c r="BD33" s="1714"/>
      <c r="BE33" s="1714"/>
      <c r="BF33" s="1714"/>
    </row>
    <row r="34" spans="1:58" ht="0.75" customHeight="1">
      <c r="A34" s="1088" t="s">
        <v>1334</v>
      </c>
      <c r="D34" s="1082"/>
      <c r="E34" s="1092"/>
      <c r="F34" s="3894"/>
      <c r="G34" s="3885"/>
      <c r="H34" s="3898"/>
      <c r="I34" s="3899"/>
      <c r="J34" s="3891"/>
      <c r="K34" s="3891"/>
      <c r="L34" s="3892"/>
      <c r="M34" s="3743"/>
      <c r="N34" s="3900"/>
      <c r="O34" s="3901"/>
      <c r="P34" s="3890"/>
      <c r="Q34" s="3891"/>
      <c r="R34" s="3891"/>
      <c r="S34" s="3891"/>
      <c r="T34" s="3891"/>
      <c r="U34" s="3891"/>
      <c r="V34" s="3891"/>
      <c r="W34" s="3891"/>
      <c r="X34" s="3891"/>
      <c r="Y34" s="3891"/>
      <c r="Z34" s="1923"/>
      <c r="AA34" s="1924"/>
      <c r="AB34" s="1931"/>
      <c r="AC34" s="1925"/>
      <c r="AD34" s="1925"/>
      <c r="AE34" s="1932"/>
      <c r="AF34" s="3897"/>
      <c r="AG34" s="3892"/>
      <c r="AH34" s="3892"/>
      <c r="AI34" s="3897"/>
      <c r="AJ34" s="3892"/>
      <c r="AK34" s="3892"/>
      <c r="AL34" s="1874"/>
      <c r="AM34" s="1714"/>
      <c r="AN34" s="1714"/>
      <c r="AO34" s="1714"/>
      <c r="AP34" s="1714"/>
      <c r="AQ34" s="1714"/>
      <c r="AR34" s="1714"/>
      <c r="AS34" s="1714"/>
      <c r="AT34" s="1714"/>
      <c r="AU34" s="1714"/>
      <c r="AV34" s="1714"/>
      <c r="AW34" s="1714"/>
      <c r="AX34" s="1714"/>
      <c r="AY34" s="1714"/>
      <c r="AZ34" s="1714"/>
      <c r="BA34" s="1714"/>
      <c r="BB34" s="1714"/>
      <c r="BC34" s="1714"/>
      <c r="BD34" s="1714"/>
      <c r="BE34" s="1714"/>
      <c r="BF34" s="1714"/>
    </row>
    <row r="35" spans="1:58" ht="0.75" customHeight="1">
      <c r="A35" s="1088" t="s">
        <v>1334</v>
      </c>
      <c r="D35" s="1082"/>
      <c r="E35" s="1092"/>
      <c r="F35" s="3894"/>
      <c r="G35" s="3885"/>
      <c r="H35" s="3898"/>
      <c r="I35" s="3899"/>
      <c r="J35" s="3891"/>
      <c r="K35" s="3891"/>
      <c r="L35" s="3892"/>
      <c r="M35" s="3743"/>
      <c r="N35" s="1924"/>
      <c r="O35" s="1924"/>
      <c r="P35" s="1931"/>
      <c r="Q35" s="1924"/>
      <c r="R35" s="1924"/>
      <c r="S35" s="1924"/>
      <c r="T35" s="1924"/>
      <c r="U35" s="1924"/>
      <c r="V35" s="1924"/>
      <c r="W35" s="1924"/>
      <c r="X35" s="1924"/>
      <c r="Y35" s="1924"/>
      <c r="Z35" s="1924"/>
      <c r="AA35" s="1924"/>
      <c r="AB35" s="1924"/>
      <c r="AC35" s="1924"/>
      <c r="AD35" s="1924"/>
      <c r="AE35" s="1933"/>
      <c r="AF35" s="3897"/>
      <c r="AG35" s="3892"/>
      <c r="AH35" s="3892"/>
      <c r="AI35" s="3897"/>
      <c r="AJ35" s="3892"/>
      <c r="AK35" s="3892"/>
      <c r="AL35" s="1874"/>
      <c r="AM35" s="1714"/>
      <c r="AN35" s="1714"/>
      <c r="AO35" s="1714"/>
      <c r="AP35" s="1714"/>
      <c r="AQ35" s="1714"/>
      <c r="AR35" s="1714"/>
      <c r="AS35" s="1714"/>
      <c r="AT35" s="1714"/>
      <c r="AU35" s="1714"/>
      <c r="AV35" s="1714"/>
      <c r="AW35" s="1714"/>
      <c r="AX35" s="1714"/>
      <c r="AY35" s="1714"/>
      <c r="AZ35" s="1714"/>
      <c r="BA35" s="1714"/>
      <c r="BB35" s="1714"/>
      <c r="BC35" s="1714"/>
      <c r="BD35" s="1714"/>
      <c r="BE35" s="1714"/>
      <c r="BF35" s="1714"/>
    </row>
    <row r="36" spans="1:58" ht="11.25" customHeight="1">
      <c r="A36" s="1088" t="s">
        <v>1334</v>
      </c>
      <c r="D36" s="1082"/>
      <c r="E36" s="1092"/>
      <c r="F36" s="3895"/>
      <c r="G36" s="3853" t="s">
        <v>90</v>
      </c>
      <c r="H36" s="3885" t="s">
        <v>164</v>
      </c>
      <c r="I36" s="3886"/>
      <c r="J36" s="3883"/>
      <c r="K36" s="3887" t="s">
        <v>1434</v>
      </c>
      <c r="L36" s="3599" t="s">
        <v>6</v>
      </c>
      <c r="M36" s="3600"/>
      <c r="N36" s="1872"/>
      <c r="O36" s="1099" t="s">
        <v>421</v>
      </c>
      <c r="P36" s="1100"/>
      <c r="Q36" s="1100"/>
      <c r="R36" s="1100"/>
      <c r="S36" s="1100"/>
      <c r="T36" s="1100"/>
      <c r="U36" s="1100"/>
      <c r="V36" s="1100"/>
      <c r="W36" s="1100"/>
      <c r="X36" s="1100"/>
      <c r="Y36" s="1100"/>
      <c r="Z36" s="1100"/>
      <c r="AA36" s="1100"/>
      <c r="AB36" s="1100"/>
      <c r="AC36" s="1100"/>
      <c r="AD36" s="1100"/>
      <c r="AE36" s="1100"/>
      <c r="AF36" s="3876">
        <v>2021</v>
      </c>
      <c r="AG36" s="3877" t="s">
        <v>1435</v>
      </c>
      <c r="AH36" s="3877" t="s">
        <v>1436</v>
      </c>
      <c r="AI36" s="3876">
        <v>2021</v>
      </c>
      <c r="AJ36" s="3877" t="s">
        <v>1435</v>
      </c>
      <c r="AK36" s="3877" t="s">
        <v>1436</v>
      </c>
      <c r="AL36" s="1874"/>
      <c r="AM36" s="1714"/>
      <c r="AN36" s="1714"/>
      <c r="AO36" s="1714"/>
      <c r="AP36" s="1714"/>
      <c r="AQ36" s="1714"/>
      <c r="AR36" s="1714"/>
      <c r="AS36" s="1714"/>
      <c r="AT36" s="1714"/>
      <c r="AU36" s="1714"/>
      <c r="AV36" s="1714"/>
      <c r="AW36" s="1714"/>
      <c r="AX36" s="1714"/>
      <c r="AY36" s="1714"/>
      <c r="AZ36" s="1714"/>
      <c r="BA36" s="1714"/>
      <c r="BB36" s="1714"/>
      <c r="BC36" s="1714"/>
      <c r="BD36" s="1714"/>
      <c r="BE36" s="1714"/>
      <c r="BF36" s="1714"/>
    </row>
    <row r="37" spans="1:58" ht="11.25" customHeight="1">
      <c r="A37" s="1088" t="s">
        <v>1334</v>
      </c>
      <c r="D37" s="1082"/>
      <c r="E37" s="1092"/>
      <c r="F37" s="3895"/>
      <c r="G37" s="3875"/>
      <c r="H37" s="3885" t="s">
        <v>421</v>
      </c>
      <c r="I37" s="3886"/>
      <c r="J37" s="3883"/>
      <c r="K37" s="3887"/>
      <c r="L37" s="3599"/>
      <c r="M37" s="3600"/>
      <c r="N37" s="3878"/>
      <c r="O37" s="3879">
        <v>1</v>
      </c>
      <c r="P37" s="3880" t="s">
        <v>50</v>
      </c>
      <c r="Q37" s="3883" t="s">
        <v>1437</v>
      </c>
      <c r="R37" s="3884" t="s">
        <v>1438</v>
      </c>
      <c r="S37" s="3884" t="s">
        <v>151</v>
      </c>
      <c r="T37" s="3884" t="s">
        <v>151</v>
      </c>
      <c r="U37" s="3884" t="s">
        <v>152</v>
      </c>
      <c r="V37" s="3884" t="s">
        <v>1439</v>
      </c>
      <c r="W37" s="3884" t="s">
        <v>1440</v>
      </c>
      <c r="X37" s="3884" t="s">
        <v>1441</v>
      </c>
      <c r="Y37" s="3884" t="s">
        <v>1442</v>
      </c>
      <c r="Z37" s="1097"/>
      <c r="AA37" s="1098"/>
      <c r="AB37" s="1098"/>
      <c r="AC37" s="1102"/>
      <c r="AD37" s="1102"/>
      <c r="AE37" s="1103"/>
      <c r="AF37" s="3876"/>
      <c r="AG37" s="3877"/>
      <c r="AH37" s="3877"/>
      <c r="AI37" s="3876"/>
      <c r="AJ37" s="3877"/>
      <c r="AK37" s="3877"/>
      <c r="AL37" s="1874"/>
      <c r="AM37" s="1714"/>
      <c r="AN37" s="1714"/>
      <c r="AO37" s="1714"/>
      <c r="AP37" s="1714"/>
      <c r="AQ37" s="1714"/>
      <c r="AR37" s="1714"/>
      <c r="AS37" s="1714"/>
      <c r="AT37" s="1714"/>
      <c r="AU37" s="1714"/>
      <c r="AV37" s="1714"/>
      <c r="AW37" s="1714"/>
      <c r="AX37" s="1714"/>
      <c r="AY37" s="1714"/>
      <c r="AZ37" s="1714"/>
      <c r="BA37" s="1714"/>
      <c r="BB37" s="1714"/>
      <c r="BC37" s="1714"/>
      <c r="BD37" s="1714"/>
      <c r="BE37" s="1714"/>
      <c r="BF37" s="1714"/>
    </row>
    <row r="38" spans="1:58" ht="11.25" customHeight="1">
      <c r="A38" s="1088" t="s">
        <v>1334</v>
      </c>
      <c r="D38" s="1082"/>
      <c r="E38" s="1092"/>
      <c r="F38" s="3895"/>
      <c r="G38" s="3875"/>
      <c r="H38" s="3885" t="s">
        <v>421</v>
      </c>
      <c r="I38" s="3886"/>
      <c r="J38" s="3883"/>
      <c r="K38" s="3887"/>
      <c r="L38" s="3599"/>
      <c r="M38" s="3600"/>
      <c r="N38" s="3878"/>
      <c r="O38" s="3879"/>
      <c r="P38" s="3881"/>
      <c r="Q38" s="3883"/>
      <c r="R38" s="3874"/>
      <c r="S38" s="3884"/>
      <c r="T38" s="3874"/>
      <c r="U38" s="3874"/>
      <c r="V38" s="3874"/>
      <c r="W38" s="3874"/>
      <c r="X38" s="3874"/>
      <c r="Y38" s="3874"/>
      <c r="Z38" s="1719"/>
      <c r="AA38" s="1686">
        <v>1</v>
      </c>
      <c r="AB38" s="1101" t="s">
        <v>1443</v>
      </c>
      <c r="AC38" s="1091">
        <v>5500</v>
      </c>
      <c r="AD38" s="1101" t="str">
        <f>AB38</f>
        <v xml:space="preserve">  Прибыль направляемая на инвестиции</v>
      </c>
      <c r="AE38" s="1091">
        <v>18460.46</v>
      </c>
      <c r="AF38" s="3876"/>
      <c r="AG38" s="3877"/>
      <c r="AH38" s="3877"/>
      <c r="AI38" s="3876"/>
      <c r="AJ38" s="3877"/>
      <c r="AK38" s="3877"/>
      <c r="AL38" s="1874"/>
      <c r="AM38" s="1714"/>
      <c r="AN38" s="1714"/>
      <c r="AO38" s="1714"/>
      <c r="AP38" s="1714"/>
      <c r="AQ38" s="1714"/>
      <c r="AR38" s="1714"/>
      <c r="AS38" s="1714"/>
      <c r="AT38" s="1714"/>
      <c r="AU38" s="1714"/>
      <c r="AV38" s="1714"/>
      <c r="AW38" s="1714"/>
      <c r="AX38" s="1714"/>
      <c r="AY38" s="1714"/>
      <c r="AZ38" s="1714"/>
      <c r="BA38" s="1714"/>
      <c r="BB38" s="1714"/>
      <c r="BC38" s="1714"/>
      <c r="BD38" s="1714"/>
      <c r="BE38" s="1714"/>
      <c r="BF38" s="1714"/>
    </row>
    <row r="39" spans="1:58" ht="11.25" customHeight="1">
      <c r="A39" s="1088" t="s">
        <v>1334</v>
      </c>
      <c r="D39" s="1082"/>
      <c r="E39" s="1092"/>
      <c r="F39" s="3895"/>
      <c r="G39" s="3875"/>
      <c r="H39" s="3885" t="s">
        <v>421</v>
      </c>
      <c r="I39" s="3886"/>
      <c r="J39" s="3883"/>
      <c r="K39" s="3887"/>
      <c r="L39" s="3599"/>
      <c r="M39" s="3600"/>
      <c r="N39" s="3878"/>
      <c r="O39" s="3879"/>
      <c r="P39" s="3882"/>
      <c r="Q39" s="3883"/>
      <c r="R39" s="3874"/>
      <c r="S39" s="3884"/>
      <c r="T39" s="3874"/>
      <c r="U39" s="3874"/>
      <c r="V39" s="3874"/>
      <c r="W39" s="3874"/>
      <c r="X39" s="3874"/>
      <c r="Y39" s="3874"/>
      <c r="Z39" s="1097"/>
      <c r="AA39" s="1098"/>
      <c r="AB39" s="1163" t="s">
        <v>1444</v>
      </c>
      <c r="AC39" s="1102"/>
      <c r="AD39" s="1102"/>
      <c r="AE39" s="1104"/>
      <c r="AF39" s="3876"/>
      <c r="AG39" s="3877"/>
      <c r="AH39" s="3877"/>
      <c r="AI39" s="3876"/>
      <c r="AJ39" s="3877"/>
      <c r="AK39" s="3877"/>
      <c r="AL39" s="1874"/>
      <c r="AM39" s="1714"/>
      <c r="AN39" s="1714"/>
      <c r="AO39" s="1714"/>
      <c r="AP39" s="1714"/>
      <c r="AQ39" s="1714"/>
      <c r="AR39" s="1714"/>
      <c r="AS39" s="1714"/>
      <c r="AT39" s="1714"/>
      <c r="AU39" s="1714"/>
      <c r="AV39" s="1714"/>
      <c r="AW39" s="1714"/>
      <c r="AX39" s="1714"/>
      <c r="AY39" s="1714"/>
      <c r="AZ39" s="1714"/>
      <c r="BA39" s="1714"/>
      <c r="BB39" s="1714"/>
      <c r="BC39" s="1714"/>
      <c r="BD39" s="1714"/>
      <c r="BE39" s="1714"/>
      <c r="BF39" s="1714"/>
    </row>
    <row r="40" spans="1:58" ht="11.25" customHeight="1">
      <c r="A40" s="1088" t="s">
        <v>1334</v>
      </c>
      <c r="D40" s="1082"/>
      <c r="E40" s="1092"/>
      <c r="F40" s="3895"/>
      <c r="G40" s="3875"/>
      <c r="H40" s="3885" t="s">
        <v>421</v>
      </c>
      <c r="I40" s="3886"/>
      <c r="J40" s="3883"/>
      <c r="K40" s="3887"/>
      <c r="L40" s="3599"/>
      <c r="M40" s="3600"/>
      <c r="N40" s="1097"/>
      <c r="O40" s="1098"/>
      <c r="P40" s="1090" t="s">
        <v>1445</v>
      </c>
      <c r="Q40" s="1098"/>
      <c r="R40" s="1098"/>
      <c r="S40" s="1098"/>
      <c r="T40" s="1098"/>
      <c r="U40" s="1098"/>
      <c r="V40" s="1098"/>
      <c r="W40" s="1098"/>
      <c r="X40" s="1098"/>
      <c r="Y40" s="1098"/>
      <c r="Z40" s="1098"/>
      <c r="AA40" s="1098"/>
      <c r="AB40" s="1098"/>
      <c r="AC40" s="1098"/>
      <c r="AD40" s="1098"/>
      <c r="AE40" s="1105"/>
      <c r="AF40" s="3876"/>
      <c r="AG40" s="3877"/>
      <c r="AH40" s="3877"/>
      <c r="AI40" s="3876"/>
      <c r="AJ40" s="3877"/>
      <c r="AK40" s="3877"/>
      <c r="AL40" s="1874"/>
      <c r="AM40" s="1714"/>
      <c r="AN40" s="1714"/>
      <c r="AO40" s="1714"/>
      <c r="AP40" s="1714"/>
      <c r="AQ40" s="1714"/>
      <c r="AR40" s="1714"/>
      <c r="AS40" s="1714"/>
      <c r="AT40" s="1714"/>
      <c r="AU40" s="1714"/>
      <c r="AV40" s="1714"/>
      <c r="AW40" s="1714"/>
      <c r="AX40" s="1714"/>
      <c r="AY40" s="1714"/>
      <c r="AZ40" s="1714"/>
      <c r="BA40" s="1714"/>
      <c r="BB40" s="1714"/>
      <c r="BC40" s="1714"/>
      <c r="BD40" s="1714"/>
      <c r="BE40" s="1714"/>
      <c r="BF40" s="1714"/>
    </row>
    <row r="41" spans="1:58" ht="11.25" customHeight="1">
      <c r="A41" s="1088" t="s">
        <v>1334</v>
      </c>
      <c r="D41" s="1082"/>
      <c r="E41" s="1092"/>
      <c r="F41" s="3895"/>
      <c r="G41" s="3853" t="s">
        <v>90</v>
      </c>
      <c r="H41" s="3885" t="s">
        <v>89</v>
      </c>
      <c r="I41" s="3886"/>
      <c r="J41" s="3883"/>
      <c r="K41" s="3887" t="s">
        <v>1452</v>
      </c>
      <c r="L41" s="3599" t="s">
        <v>6</v>
      </c>
      <c r="M41" s="3600"/>
      <c r="N41" s="1872"/>
      <c r="O41" s="1099" t="s">
        <v>421</v>
      </c>
      <c r="P41" s="1100"/>
      <c r="Q41" s="1100"/>
      <c r="R41" s="1100"/>
      <c r="S41" s="1100"/>
      <c r="T41" s="1100"/>
      <c r="U41" s="1100"/>
      <c r="V41" s="1100"/>
      <c r="W41" s="1100"/>
      <c r="X41" s="1100"/>
      <c r="Y41" s="1100"/>
      <c r="Z41" s="1100"/>
      <c r="AA41" s="1100"/>
      <c r="AB41" s="1100"/>
      <c r="AC41" s="1100"/>
      <c r="AD41" s="1100"/>
      <c r="AE41" s="1100"/>
      <c r="AF41" s="3876">
        <v>2023</v>
      </c>
      <c r="AG41" s="3877" t="s">
        <v>1447</v>
      </c>
      <c r="AH41" s="3877" t="s">
        <v>1448</v>
      </c>
      <c r="AI41" s="3876">
        <v>2023</v>
      </c>
      <c r="AJ41" s="3877" t="s">
        <v>1447</v>
      </c>
      <c r="AK41" s="3877" t="s">
        <v>1448</v>
      </c>
      <c r="AL41" s="1874"/>
      <c r="AM41" s="1714"/>
      <c r="AN41" s="1714"/>
      <c r="AO41" s="1714"/>
      <c r="AP41" s="1714"/>
      <c r="AQ41" s="1714"/>
      <c r="AR41" s="1714"/>
      <c r="AS41" s="1714"/>
      <c r="AT41" s="1714"/>
      <c r="AU41" s="1714"/>
      <c r="AV41" s="1714"/>
      <c r="AW41" s="1714"/>
      <c r="AX41" s="1714"/>
      <c r="AY41" s="1714"/>
      <c r="AZ41" s="1714"/>
      <c r="BA41" s="1714"/>
      <c r="BB41" s="1714"/>
      <c r="BC41" s="1714"/>
      <c r="BD41" s="1714"/>
      <c r="BE41" s="1714"/>
      <c r="BF41" s="1714"/>
    </row>
    <row r="42" spans="1:58" ht="11.25" customHeight="1">
      <c r="A42" s="1088" t="s">
        <v>1334</v>
      </c>
      <c r="D42" s="1082"/>
      <c r="E42" s="1092"/>
      <c r="F42" s="3895"/>
      <c r="G42" s="3875"/>
      <c r="H42" s="3885" t="s">
        <v>164</v>
      </c>
      <c r="I42" s="3886"/>
      <c r="J42" s="3883"/>
      <c r="K42" s="3887"/>
      <c r="L42" s="3599"/>
      <c r="M42" s="3600"/>
      <c r="N42" s="3878"/>
      <c r="O42" s="3879">
        <v>1</v>
      </c>
      <c r="P42" s="3880" t="s">
        <v>50</v>
      </c>
      <c r="Q42" s="3883" t="s">
        <v>1449</v>
      </c>
      <c r="R42" s="3884" t="s">
        <v>1438</v>
      </c>
      <c r="S42" s="3884" t="s">
        <v>151</v>
      </c>
      <c r="T42" s="3884" t="s">
        <v>151</v>
      </c>
      <c r="U42" s="3884" t="s">
        <v>152</v>
      </c>
      <c r="V42" s="3884" t="s">
        <v>1439</v>
      </c>
      <c r="W42" s="3884" t="s">
        <v>1440</v>
      </c>
      <c r="X42" s="3884" t="s">
        <v>1450</v>
      </c>
      <c r="Y42" s="3884" t="s">
        <v>1442</v>
      </c>
      <c r="Z42" s="1097"/>
      <c r="AA42" s="1098"/>
      <c r="AB42" s="1098"/>
      <c r="AC42" s="1102"/>
      <c r="AD42" s="1102"/>
      <c r="AE42" s="1103"/>
      <c r="AF42" s="3876"/>
      <c r="AG42" s="3877"/>
      <c r="AH42" s="3877"/>
      <c r="AI42" s="3876"/>
      <c r="AJ42" s="3877"/>
      <c r="AK42" s="3877"/>
      <c r="AL42" s="1874"/>
      <c r="AM42" s="1714"/>
      <c r="AN42" s="1714"/>
      <c r="AO42" s="1714"/>
      <c r="AP42" s="1714"/>
      <c r="AQ42" s="1714"/>
      <c r="AR42" s="1714"/>
      <c r="AS42" s="1714"/>
      <c r="AT42" s="1714"/>
      <c r="AU42" s="1714"/>
      <c r="AV42" s="1714"/>
      <c r="AW42" s="1714"/>
      <c r="AX42" s="1714"/>
      <c r="AY42" s="1714"/>
      <c r="AZ42" s="1714"/>
      <c r="BA42" s="1714"/>
      <c r="BB42" s="1714"/>
      <c r="BC42" s="1714"/>
      <c r="BD42" s="1714"/>
      <c r="BE42" s="1714"/>
      <c r="BF42" s="1714"/>
    </row>
    <row r="43" spans="1:58" ht="11.25" customHeight="1">
      <c r="A43" s="1088" t="s">
        <v>1334</v>
      </c>
      <c r="D43" s="1082"/>
      <c r="E43" s="1092"/>
      <c r="F43" s="3895"/>
      <c r="G43" s="3875"/>
      <c r="H43" s="3885" t="s">
        <v>164</v>
      </c>
      <c r="I43" s="3886"/>
      <c r="J43" s="3883"/>
      <c r="K43" s="3887"/>
      <c r="L43" s="3599"/>
      <c r="M43" s="3600"/>
      <c r="N43" s="3878"/>
      <c r="O43" s="3879"/>
      <c r="P43" s="3881"/>
      <c r="Q43" s="3883"/>
      <c r="R43" s="3874"/>
      <c r="S43" s="3884"/>
      <c r="T43" s="3874"/>
      <c r="U43" s="3874"/>
      <c r="V43" s="3874"/>
      <c r="W43" s="3874"/>
      <c r="X43" s="3874"/>
      <c r="Y43" s="3874"/>
      <c r="Z43" s="1719"/>
      <c r="AA43" s="1686">
        <v>1</v>
      </c>
      <c r="AB43" s="1101" t="s">
        <v>1443</v>
      </c>
      <c r="AC43" s="1091">
        <v>550</v>
      </c>
      <c r="AD43" s="1101" t="str">
        <f>AB43</f>
        <v xml:space="preserve">  Прибыль направляемая на инвестиции</v>
      </c>
      <c r="AE43" s="1091">
        <v>15</v>
      </c>
      <c r="AF43" s="3876"/>
      <c r="AG43" s="3877"/>
      <c r="AH43" s="3877"/>
      <c r="AI43" s="3876"/>
      <c r="AJ43" s="3877"/>
      <c r="AK43" s="3877"/>
      <c r="AL43" s="1874"/>
      <c r="AM43" s="1714"/>
      <c r="AN43" s="1714"/>
      <c r="AO43" s="1714"/>
      <c r="AP43" s="1714"/>
      <c r="AQ43" s="1714"/>
      <c r="AR43" s="1714"/>
      <c r="AS43" s="1714"/>
      <c r="AT43" s="1714"/>
      <c r="AU43" s="1714"/>
      <c r="AV43" s="1714"/>
      <c r="AW43" s="1714"/>
      <c r="AX43" s="1714"/>
      <c r="AY43" s="1714"/>
      <c r="AZ43" s="1714"/>
      <c r="BA43" s="1714"/>
      <c r="BB43" s="1714"/>
      <c r="BC43" s="1714"/>
      <c r="BD43" s="1714"/>
      <c r="BE43" s="1714"/>
      <c r="BF43" s="1714"/>
    </row>
    <row r="44" spans="1:58" ht="11.25" customHeight="1">
      <c r="A44" s="1088" t="s">
        <v>1334</v>
      </c>
      <c r="D44" s="1082"/>
      <c r="E44" s="1092"/>
      <c r="F44" s="3895"/>
      <c r="G44" s="3875"/>
      <c r="H44" s="3885" t="s">
        <v>164</v>
      </c>
      <c r="I44" s="3886"/>
      <c r="J44" s="3883"/>
      <c r="K44" s="3887"/>
      <c r="L44" s="3599"/>
      <c r="M44" s="3600"/>
      <c r="N44" s="3878"/>
      <c r="O44" s="3879"/>
      <c r="P44" s="3882"/>
      <c r="Q44" s="3883"/>
      <c r="R44" s="3874"/>
      <c r="S44" s="3884"/>
      <c r="T44" s="3874"/>
      <c r="U44" s="3874"/>
      <c r="V44" s="3874"/>
      <c r="W44" s="3874"/>
      <c r="X44" s="3874"/>
      <c r="Y44" s="3874"/>
      <c r="Z44" s="1097"/>
      <c r="AA44" s="1098"/>
      <c r="AB44" s="1163" t="s">
        <v>1444</v>
      </c>
      <c r="AC44" s="1102"/>
      <c r="AD44" s="1102"/>
      <c r="AE44" s="1104"/>
      <c r="AF44" s="3876"/>
      <c r="AG44" s="3877"/>
      <c r="AH44" s="3877"/>
      <c r="AI44" s="3876"/>
      <c r="AJ44" s="3877"/>
      <c r="AK44" s="3877"/>
      <c r="AL44" s="1874"/>
      <c r="AM44" s="1714"/>
      <c r="AN44" s="1714"/>
      <c r="AO44" s="1714"/>
      <c r="AP44" s="1714"/>
      <c r="AQ44" s="1714"/>
      <c r="AR44" s="1714"/>
      <c r="AS44" s="1714"/>
      <c r="AT44" s="1714"/>
      <c r="AU44" s="1714"/>
      <c r="AV44" s="1714"/>
      <c r="AW44" s="1714"/>
      <c r="AX44" s="1714"/>
      <c r="AY44" s="1714"/>
      <c r="AZ44" s="1714"/>
      <c r="BA44" s="1714"/>
      <c r="BB44" s="1714"/>
      <c r="BC44" s="1714"/>
      <c r="BD44" s="1714"/>
      <c r="BE44" s="1714"/>
      <c r="BF44" s="1714"/>
    </row>
    <row r="45" spans="1:58" ht="11.25" customHeight="1">
      <c r="A45" s="1088" t="s">
        <v>1334</v>
      </c>
      <c r="D45" s="1082"/>
      <c r="E45" s="1092"/>
      <c r="F45" s="3895"/>
      <c r="G45" s="3875"/>
      <c r="H45" s="3885" t="s">
        <v>164</v>
      </c>
      <c r="I45" s="3886"/>
      <c r="J45" s="3883"/>
      <c r="K45" s="3887"/>
      <c r="L45" s="3599"/>
      <c r="M45" s="3600"/>
      <c r="N45" s="1097"/>
      <c r="O45" s="1098"/>
      <c r="P45" s="1090" t="s">
        <v>1445</v>
      </c>
      <c r="Q45" s="1098"/>
      <c r="R45" s="1098"/>
      <c r="S45" s="1098"/>
      <c r="T45" s="1098"/>
      <c r="U45" s="1098"/>
      <c r="V45" s="1098"/>
      <c r="W45" s="1098"/>
      <c r="X45" s="1098"/>
      <c r="Y45" s="1098"/>
      <c r="Z45" s="1098"/>
      <c r="AA45" s="1098"/>
      <c r="AB45" s="1098"/>
      <c r="AC45" s="1098"/>
      <c r="AD45" s="1098"/>
      <c r="AE45" s="1105"/>
      <c r="AF45" s="3876"/>
      <c r="AG45" s="3877"/>
      <c r="AH45" s="3877"/>
      <c r="AI45" s="3876"/>
      <c r="AJ45" s="3877"/>
      <c r="AK45" s="3877"/>
      <c r="AL45" s="1874"/>
      <c r="AM45" s="1714"/>
      <c r="AN45" s="1714"/>
      <c r="AO45" s="1714"/>
      <c r="AP45" s="1714"/>
      <c r="AQ45" s="1714"/>
      <c r="AR45" s="1714"/>
      <c r="AS45" s="1714"/>
      <c r="AT45" s="1714"/>
      <c r="AU45" s="1714"/>
      <c r="AV45" s="1714"/>
      <c r="AW45" s="1714"/>
      <c r="AX45" s="1714"/>
      <c r="AY45" s="1714"/>
      <c r="AZ45" s="1714"/>
      <c r="BA45" s="1714"/>
      <c r="BB45" s="1714"/>
      <c r="BC45" s="1714"/>
      <c r="BD45" s="1714"/>
      <c r="BE45" s="1714"/>
      <c r="BF45" s="1714"/>
    </row>
    <row r="46" spans="1:58" ht="12" customHeight="1">
      <c r="A46" s="1088" t="s">
        <v>1334</v>
      </c>
      <c r="D46" s="1082"/>
      <c r="E46" s="1092"/>
      <c r="F46" s="3896"/>
      <c r="G46" s="1112"/>
      <c r="H46" s="1112"/>
      <c r="I46" s="3893" t="s">
        <v>1451</v>
      </c>
      <c r="J46" s="3893"/>
      <c r="K46" s="3893"/>
      <c r="L46" s="1095"/>
      <c r="M46" s="1095"/>
      <c r="N46" s="1096"/>
      <c r="O46" s="1096"/>
      <c r="P46" s="1096"/>
      <c r="Q46" s="1096"/>
      <c r="R46" s="1096"/>
      <c r="S46" s="1096"/>
      <c r="T46" s="1096"/>
      <c r="U46" s="1096"/>
      <c r="V46" s="1096"/>
      <c r="W46" s="1096"/>
      <c r="X46" s="1096"/>
      <c r="Y46" s="1096"/>
      <c r="Z46" s="1096"/>
      <c r="AA46" s="1096"/>
      <c r="AB46" s="1096"/>
      <c r="AC46" s="1096"/>
      <c r="AD46" s="1096"/>
      <c r="AE46" s="1096"/>
      <c r="AF46" s="1096"/>
      <c r="AG46" s="1095"/>
      <c r="AH46" s="1095"/>
      <c r="AI46" s="1096"/>
      <c r="AJ46" s="1095"/>
      <c r="AK46" s="1096"/>
      <c r="AL46" s="1874"/>
      <c r="AM46" s="1714"/>
      <c r="AN46" s="1714"/>
      <c r="AO46" s="1714"/>
      <c r="AP46" s="1714"/>
      <c r="AQ46" s="1714"/>
      <c r="AR46" s="1714"/>
      <c r="AS46" s="1714"/>
      <c r="AT46" s="1714"/>
      <c r="AU46" s="1714"/>
      <c r="AV46" s="1714"/>
      <c r="AW46" s="1714"/>
      <c r="AX46" s="1714"/>
      <c r="AY46" s="1714"/>
      <c r="AZ46" s="1714"/>
      <c r="BA46" s="1714"/>
      <c r="BB46" s="1714"/>
      <c r="BC46" s="1714"/>
      <c r="BD46" s="1714"/>
      <c r="BE46" s="1714"/>
      <c r="BF46" s="1714"/>
    </row>
    <row r="47" spans="1:58" ht="0.75" customHeight="1">
      <c r="A47" s="1088" t="s">
        <v>1334</v>
      </c>
      <c r="D47" s="1082"/>
      <c r="E47" s="1092"/>
      <c r="F47" s="3894">
        <v>2022</v>
      </c>
      <c r="G47" s="3885"/>
      <c r="H47" s="3898" t="s">
        <v>421</v>
      </c>
      <c r="I47" s="3899"/>
      <c r="J47" s="3891"/>
      <c r="K47" s="3891"/>
      <c r="L47" s="3892"/>
      <c r="M47" s="3743"/>
      <c r="N47" s="1922"/>
      <c r="O47" s="1921"/>
      <c r="P47" s="1922"/>
      <c r="Q47" s="1922"/>
      <c r="R47" s="1922"/>
      <c r="S47" s="1922"/>
      <c r="T47" s="1922"/>
      <c r="U47" s="1922"/>
      <c r="V47" s="1922"/>
      <c r="W47" s="1922"/>
      <c r="X47" s="1922"/>
      <c r="Y47" s="1922"/>
      <c r="Z47" s="1922"/>
      <c r="AA47" s="1922"/>
      <c r="AB47" s="1922"/>
      <c r="AC47" s="1922"/>
      <c r="AD47" s="1922"/>
      <c r="AE47" s="1922"/>
      <c r="AF47" s="3897"/>
      <c r="AG47" s="3892"/>
      <c r="AH47" s="3892"/>
      <c r="AI47" s="3897"/>
      <c r="AJ47" s="3892"/>
      <c r="AK47" s="3892"/>
      <c r="AL47" s="1874"/>
      <c r="AM47" s="1714"/>
      <c r="AN47" s="1714"/>
      <c r="AO47" s="1714"/>
      <c r="AP47" s="1714"/>
      <c r="AQ47" s="1714"/>
      <c r="AR47" s="1714"/>
      <c r="AS47" s="1714"/>
      <c r="AT47" s="1714"/>
      <c r="AU47" s="1714"/>
      <c r="AV47" s="1714"/>
      <c r="AW47" s="1714"/>
      <c r="AX47" s="1714"/>
      <c r="AY47" s="1714"/>
      <c r="AZ47" s="1714"/>
      <c r="BA47" s="1714"/>
      <c r="BB47" s="1714"/>
      <c r="BC47" s="1714"/>
      <c r="BD47" s="1714"/>
      <c r="BE47" s="1714"/>
      <c r="BF47" s="1714"/>
    </row>
    <row r="48" spans="1:58" ht="0.75" customHeight="1">
      <c r="A48" s="1088" t="s">
        <v>1334</v>
      </c>
      <c r="D48" s="1082"/>
      <c r="E48" s="1092"/>
      <c r="F48" s="3894"/>
      <c r="G48" s="3885"/>
      <c r="H48" s="3898"/>
      <c r="I48" s="3899"/>
      <c r="J48" s="3891"/>
      <c r="K48" s="3891"/>
      <c r="L48" s="3892"/>
      <c r="M48" s="3743"/>
      <c r="N48" s="3900"/>
      <c r="O48" s="3901"/>
      <c r="P48" s="3888"/>
      <c r="Q48" s="3891"/>
      <c r="R48" s="3891"/>
      <c r="S48" s="3891"/>
      <c r="T48" s="3891"/>
      <c r="U48" s="3891"/>
      <c r="V48" s="3891"/>
      <c r="W48" s="3891"/>
      <c r="X48" s="3891"/>
      <c r="Y48" s="3891"/>
      <c r="Z48" s="1923"/>
      <c r="AA48" s="1924"/>
      <c r="AB48" s="1924"/>
      <c r="AC48" s="1925"/>
      <c r="AD48" s="1925"/>
      <c r="AE48" s="1926"/>
      <c r="AF48" s="3897"/>
      <c r="AG48" s="3892"/>
      <c r="AH48" s="3892"/>
      <c r="AI48" s="3897"/>
      <c r="AJ48" s="3892"/>
      <c r="AK48" s="3892"/>
      <c r="AL48" s="1874"/>
      <c r="AM48" s="1714"/>
      <c r="AN48" s="1714"/>
      <c r="AO48" s="1714"/>
      <c r="AP48" s="1714"/>
      <c r="AQ48" s="1714"/>
      <c r="AR48" s="1714"/>
      <c r="AS48" s="1714"/>
      <c r="AT48" s="1714"/>
      <c r="AU48" s="1714"/>
      <c r="AV48" s="1714"/>
      <c r="AW48" s="1714"/>
      <c r="AX48" s="1714"/>
      <c r="AY48" s="1714"/>
      <c r="AZ48" s="1714"/>
      <c r="BA48" s="1714"/>
      <c r="BB48" s="1714"/>
      <c r="BC48" s="1714"/>
      <c r="BD48" s="1714"/>
      <c r="BE48" s="1714"/>
      <c r="BF48" s="1714"/>
    </row>
    <row r="49" spans="1:58" ht="0.75" customHeight="1">
      <c r="A49" s="1088" t="s">
        <v>1334</v>
      </c>
      <c r="D49" s="1082"/>
      <c r="E49" s="1092"/>
      <c r="F49" s="3894"/>
      <c r="G49" s="3885"/>
      <c r="H49" s="3898"/>
      <c r="I49" s="3899"/>
      <c r="J49" s="3891"/>
      <c r="K49" s="3891"/>
      <c r="L49" s="3892"/>
      <c r="M49" s="3743"/>
      <c r="N49" s="3900"/>
      <c r="O49" s="3901"/>
      <c r="P49" s="3889"/>
      <c r="Q49" s="3891"/>
      <c r="R49" s="3891"/>
      <c r="S49" s="3891"/>
      <c r="T49" s="3891"/>
      <c r="U49" s="3891"/>
      <c r="V49" s="3891"/>
      <c r="W49" s="3891"/>
      <c r="X49" s="3891"/>
      <c r="Y49" s="3891"/>
      <c r="Z49" s="1927"/>
      <c r="AA49" s="1928"/>
      <c r="AB49" s="1929"/>
      <c r="AC49" s="1930"/>
      <c r="AD49" s="1929"/>
      <c r="AE49" s="1930"/>
      <c r="AF49" s="3897"/>
      <c r="AG49" s="3892"/>
      <c r="AH49" s="3892"/>
      <c r="AI49" s="3897"/>
      <c r="AJ49" s="3892"/>
      <c r="AK49" s="3892"/>
      <c r="AL49" s="1874"/>
      <c r="AM49" s="1714"/>
      <c r="AN49" s="1714"/>
      <c r="AO49" s="1714"/>
      <c r="AP49" s="1714"/>
      <c r="AQ49" s="1714"/>
      <c r="AR49" s="1714"/>
      <c r="AS49" s="1714"/>
      <c r="AT49" s="1714"/>
      <c r="AU49" s="1714"/>
      <c r="AV49" s="1714"/>
      <c r="AW49" s="1714"/>
      <c r="AX49" s="1714"/>
      <c r="AY49" s="1714"/>
      <c r="AZ49" s="1714"/>
      <c r="BA49" s="1714"/>
      <c r="BB49" s="1714"/>
      <c r="BC49" s="1714"/>
      <c r="BD49" s="1714"/>
      <c r="BE49" s="1714"/>
      <c r="BF49" s="1714"/>
    </row>
    <row r="50" spans="1:58" ht="0.75" customHeight="1">
      <c r="A50" s="1088" t="s">
        <v>1334</v>
      </c>
      <c r="D50" s="1082"/>
      <c r="E50" s="1092"/>
      <c r="F50" s="3894"/>
      <c r="G50" s="3885"/>
      <c r="H50" s="3898"/>
      <c r="I50" s="3899"/>
      <c r="J50" s="3891"/>
      <c r="K50" s="3891"/>
      <c r="L50" s="3892"/>
      <c r="M50" s="3743"/>
      <c r="N50" s="3900"/>
      <c r="O50" s="3901"/>
      <c r="P50" s="3890"/>
      <c r="Q50" s="3891"/>
      <c r="R50" s="3891"/>
      <c r="S50" s="3891"/>
      <c r="T50" s="3891"/>
      <c r="U50" s="3891"/>
      <c r="V50" s="3891"/>
      <c r="W50" s="3891"/>
      <c r="X50" s="3891"/>
      <c r="Y50" s="3891"/>
      <c r="Z50" s="1923"/>
      <c r="AA50" s="1924"/>
      <c r="AB50" s="1931"/>
      <c r="AC50" s="1925"/>
      <c r="AD50" s="1925"/>
      <c r="AE50" s="1932"/>
      <c r="AF50" s="3897"/>
      <c r="AG50" s="3892"/>
      <c r="AH50" s="3892"/>
      <c r="AI50" s="3897"/>
      <c r="AJ50" s="3892"/>
      <c r="AK50" s="3892"/>
      <c r="AL50" s="1874"/>
      <c r="AM50" s="1714"/>
      <c r="AN50" s="1714"/>
      <c r="AO50" s="1714"/>
      <c r="AP50" s="1714"/>
      <c r="AQ50" s="1714"/>
      <c r="AR50" s="1714"/>
      <c r="AS50" s="1714"/>
      <c r="AT50" s="1714"/>
      <c r="AU50" s="1714"/>
      <c r="AV50" s="1714"/>
      <c r="AW50" s="1714"/>
      <c r="AX50" s="1714"/>
      <c r="AY50" s="1714"/>
      <c r="AZ50" s="1714"/>
      <c r="BA50" s="1714"/>
      <c r="BB50" s="1714"/>
      <c r="BC50" s="1714"/>
      <c r="BD50" s="1714"/>
      <c r="BE50" s="1714"/>
      <c r="BF50" s="1714"/>
    </row>
    <row r="51" spans="1:58" ht="0.75" customHeight="1">
      <c r="A51" s="1088" t="s">
        <v>1334</v>
      </c>
      <c r="D51" s="1082"/>
      <c r="E51" s="1092"/>
      <c r="F51" s="3894"/>
      <c r="G51" s="3885"/>
      <c r="H51" s="3898"/>
      <c r="I51" s="3899"/>
      <c r="J51" s="3891"/>
      <c r="K51" s="3891"/>
      <c r="L51" s="3892"/>
      <c r="M51" s="3743"/>
      <c r="N51" s="1924"/>
      <c r="O51" s="1924"/>
      <c r="P51" s="1931"/>
      <c r="Q51" s="1924"/>
      <c r="R51" s="1924"/>
      <c r="S51" s="1924"/>
      <c r="T51" s="1924"/>
      <c r="U51" s="1924"/>
      <c r="V51" s="1924"/>
      <c r="W51" s="1924"/>
      <c r="X51" s="1924"/>
      <c r="Y51" s="1924"/>
      <c r="Z51" s="1924"/>
      <c r="AA51" s="1924"/>
      <c r="AB51" s="1924"/>
      <c r="AC51" s="1924"/>
      <c r="AD51" s="1924"/>
      <c r="AE51" s="1933"/>
      <c r="AF51" s="3897"/>
      <c r="AG51" s="3892"/>
      <c r="AH51" s="3892"/>
      <c r="AI51" s="3897"/>
      <c r="AJ51" s="3892"/>
      <c r="AK51" s="3892"/>
      <c r="AL51" s="1874"/>
      <c r="AM51" s="1714"/>
      <c r="AN51" s="1714"/>
      <c r="AO51" s="1714"/>
      <c r="AP51" s="1714"/>
      <c r="AQ51" s="1714"/>
      <c r="AR51" s="1714"/>
      <c r="AS51" s="1714"/>
      <c r="AT51" s="1714"/>
      <c r="AU51" s="1714"/>
      <c r="AV51" s="1714"/>
      <c r="AW51" s="1714"/>
      <c r="AX51" s="1714"/>
      <c r="AY51" s="1714"/>
      <c r="AZ51" s="1714"/>
      <c r="BA51" s="1714"/>
      <c r="BB51" s="1714"/>
      <c r="BC51" s="1714"/>
      <c r="BD51" s="1714"/>
      <c r="BE51" s="1714"/>
      <c r="BF51" s="1714"/>
    </row>
    <row r="52" spans="1:58" ht="11.25" customHeight="1">
      <c r="A52" s="1088" t="s">
        <v>1334</v>
      </c>
      <c r="D52" s="1082"/>
      <c r="E52" s="1092"/>
      <c r="F52" s="3895"/>
      <c r="G52" s="3853" t="s">
        <v>90</v>
      </c>
      <c r="H52" s="3885" t="s">
        <v>164</v>
      </c>
      <c r="I52" s="3886"/>
      <c r="J52" s="3883"/>
      <c r="K52" s="3887" t="s">
        <v>1434</v>
      </c>
      <c r="L52" s="3599" t="s">
        <v>6</v>
      </c>
      <c r="M52" s="3600"/>
      <c r="N52" s="1872"/>
      <c r="O52" s="1099" t="s">
        <v>421</v>
      </c>
      <c r="P52" s="1100"/>
      <c r="Q52" s="1100"/>
      <c r="R52" s="1100"/>
      <c r="S52" s="1100"/>
      <c r="T52" s="1100"/>
      <c r="U52" s="1100"/>
      <c r="V52" s="1100"/>
      <c r="W52" s="1100"/>
      <c r="X52" s="1100"/>
      <c r="Y52" s="1100"/>
      <c r="Z52" s="1100"/>
      <c r="AA52" s="1100"/>
      <c r="AB52" s="1100"/>
      <c r="AC52" s="1100"/>
      <c r="AD52" s="1100"/>
      <c r="AE52" s="1100"/>
      <c r="AF52" s="3876">
        <v>2021</v>
      </c>
      <c r="AG52" s="3877" t="s">
        <v>1435</v>
      </c>
      <c r="AH52" s="3877" t="s">
        <v>1436</v>
      </c>
      <c r="AI52" s="3876">
        <v>2021</v>
      </c>
      <c r="AJ52" s="3877" t="s">
        <v>1435</v>
      </c>
      <c r="AK52" s="3877" t="s">
        <v>1436</v>
      </c>
      <c r="AL52" s="1874"/>
      <c r="AM52" s="1714"/>
      <c r="AN52" s="1714"/>
      <c r="AO52" s="1714"/>
      <c r="AP52" s="1714"/>
      <c r="AQ52" s="1714"/>
      <c r="AR52" s="1714"/>
      <c r="AS52" s="1714"/>
      <c r="AT52" s="1714"/>
      <c r="AU52" s="1714"/>
      <c r="AV52" s="1714"/>
      <c r="AW52" s="1714"/>
      <c r="AX52" s="1714"/>
      <c r="AY52" s="1714"/>
      <c r="AZ52" s="1714"/>
      <c r="BA52" s="1714"/>
      <c r="BB52" s="1714"/>
      <c r="BC52" s="1714"/>
      <c r="BD52" s="1714"/>
      <c r="BE52" s="1714"/>
      <c r="BF52" s="1714"/>
    </row>
    <row r="53" spans="1:58" ht="11.25" customHeight="1">
      <c r="A53" s="1088" t="s">
        <v>1334</v>
      </c>
      <c r="D53" s="1082"/>
      <c r="E53" s="1092"/>
      <c r="F53" s="3895"/>
      <c r="G53" s="3875"/>
      <c r="H53" s="3885" t="s">
        <v>421</v>
      </c>
      <c r="I53" s="3886"/>
      <c r="J53" s="3883"/>
      <c r="K53" s="3887"/>
      <c r="L53" s="3599"/>
      <c r="M53" s="3600"/>
      <c r="N53" s="3878"/>
      <c r="O53" s="3879">
        <v>1</v>
      </c>
      <c r="P53" s="3880" t="s">
        <v>50</v>
      </c>
      <c r="Q53" s="3883" t="s">
        <v>1437</v>
      </c>
      <c r="R53" s="3884" t="s">
        <v>1438</v>
      </c>
      <c r="S53" s="3884" t="s">
        <v>151</v>
      </c>
      <c r="T53" s="3884" t="s">
        <v>151</v>
      </c>
      <c r="U53" s="3884" t="s">
        <v>152</v>
      </c>
      <c r="V53" s="3884" t="s">
        <v>1439</v>
      </c>
      <c r="W53" s="3884" t="s">
        <v>1440</v>
      </c>
      <c r="X53" s="3884" t="s">
        <v>1441</v>
      </c>
      <c r="Y53" s="3884" t="s">
        <v>1442</v>
      </c>
      <c r="Z53" s="1097"/>
      <c r="AA53" s="1098"/>
      <c r="AB53" s="1098"/>
      <c r="AC53" s="1102"/>
      <c r="AD53" s="1102"/>
      <c r="AE53" s="1103"/>
      <c r="AF53" s="3876"/>
      <c r="AG53" s="3877"/>
      <c r="AH53" s="3877"/>
      <c r="AI53" s="3876"/>
      <c r="AJ53" s="3877"/>
      <c r="AK53" s="3877"/>
      <c r="AL53" s="1874"/>
      <c r="AM53" s="1714"/>
      <c r="AN53" s="1714"/>
      <c r="AO53" s="1714"/>
      <c r="AP53" s="1714"/>
      <c r="AQ53" s="1714"/>
      <c r="AR53" s="1714"/>
      <c r="AS53" s="1714"/>
      <c r="AT53" s="1714"/>
      <c r="AU53" s="1714"/>
      <c r="AV53" s="1714"/>
      <c r="AW53" s="1714"/>
      <c r="AX53" s="1714"/>
      <c r="AY53" s="1714"/>
      <c r="AZ53" s="1714"/>
      <c r="BA53" s="1714"/>
      <c r="BB53" s="1714"/>
      <c r="BC53" s="1714"/>
      <c r="BD53" s="1714"/>
      <c r="BE53" s="1714"/>
      <c r="BF53" s="1714"/>
    </row>
    <row r="54" spans="1:58" ht="11.25" customHeight="1">
      <c r="A54" s="1088" t="s">
        <v>1334</v>
      </c>
      <c r="D54" s="1082"/>
      <c r="E54" s="1092"/>
      <c r="F54" s="3895"/>
      <c r="G54" s="3875"/>
      <c r="H54" s="3885" t="s">
        <v>421</v>
      </c>
      <c r="I54" s="3886"/>
      <c r="J54" s="3883"/>
      <c r="K54" s="3887"/>
      <c r="L54" s="3599"/>
      <c r="M54" s="3600"/>
      <c r="N54" s="3878"/>
      <c r="O54" s="3879"/>
      <c r="P54" s="3881"/>
      <c r="Q54" s="3883"/>
      <c r="R54" s="3874"/>
      <c r="S54" s="3884"/>
      <c r="T54" s="3874"/>
      <c r="U54" s="3874"/>
      <c r="V54" s="3874"/>
      <c r="W54" s="3874"/>
      <c r="X54" s="3874"/>
      <c r="Y54" s="3874"/>
      <c r="Z54" s="1719"/>
      <c r="AA54" s="1686">
        <v>1</v>
      </c>
      <c r="AB54" s="1101" t="s">
        <v>1453</v>
      </c>
      <c r="AC54" s="1091">
        <v>1925</v>
      </c>
      <c r="AD54" s="1101" t="str">
        <f>AB54</f>
        <v xml:space="preserve">      Амортизационные отчисления с выделением результатов переоценки основных средств и нематериальных активов</v>
      </c>
      <c r="AE54" s="1091">
        <v>0</v>
      </c>
      <c r="AF54" s="3876"/>
      <c r="AG54" s="3877"/>
      <c r="AH54" s="3877"/>
      <c r="AI54" s="3876"/>
      <c r="AJ54" s="3877"/>
      <c r="AK54" s="3877"/>
      <c r="AL54" s="1874"/>
      <c r="AM54" s="1714"/>
      <c r="AN54" s="1714"/>
      <c r="AO54" s="1714"/>
      <c r="AP54" s="1714"/>
      <c r="AQ54" s="1714"/>
      <c r="AR54" s="1714"/>
      <c r="AS54" s="1714"/>
      <c r="AT54" s="1714"/>
      <c r="AU54" s="1714"/>
      <c r="AV54" s="1714"/>
      <c r="AW54" s="1714"/>
      <c r="AX54" s="1714"/>
      <c r="AY54" s="1714"/>
      <c r="AZ54" s="1714"/>
      <c r="BA54" s="1714"/>
      <c r="BB54" s="1714"/>
      <c r="BC54" s="1714"/>
      <c r="BD54" s="1714"/>
      <c r="BE54" s="1714"/>
      <c r="BF54" s="1714"/>
    </row>
    <row r="55" spans="1:58" ht="11.25" customHeight="1">
      <c r="A55" s="1088" t="s">
        <v>1334</v>
      </c>
      <c r="D55" s="1082"/>
      <c r="E55" s="1092"/>
      <c r="F55" s="3875"/>
      <c r="G55" s="3875"/>
      <c r="H55" s="3875"/>
      <c r="I55" s="3875"/>
      <c r="J55" s="3875"/>
      <c r="K55" s="3875"/>
      <c r="L55" s="3875"/>
      <c r="M55" s="3875"/>
      <c r="N55" s="3875"/>
      <c r="O55" s="3875"/>
      <c r="P55" s="3875"/>
      <c r="Q55" s="3875"/>
      <c r="R55" s="3875"/>
      <c r="S55" s="3875"/>
      <c r="T55" s="3875"/>
      <c r="U55" s="3875"/>
      <c r="V55" s="3875"/>
      <c r="W55" s="3875"/>
      <c r="X55" s="3875"/>
      <c r="Y55" s="3875"/>
      <c r="Z55" s="617" t="s">
        <v>90</v>
      </c>
      <c r="AA55" s="1706" t="s">
        <v>89</v>
      </c>
      <c r="AB55" s="1101" t="s">
        <v>1443</v>
      </c>
      <c r="AC55" s="1091">
        <v>2200</v>
      </c>
      <c r="AD55" s="1101" t="str">
        <f>AB55</f>
        <v xml:space="preserve">  Прибыль направляемая на инвестиции</v>
      </c>
      <c r="AE55" s="1091">
        <v>0</v>
      </c>
      <c r="AF55" s="3902"/>
      <c r="AG55" s="3903"/>
      <c r="AH55" s="3903"/>
      <c r="AI55" s="3902"/>
      <c r="AJ55" s="3903"/>
      <c r="AK55" s="3904"/>
      <c r="AL55" s="1874"/>
      <c r="AM55" s="1714"/>
      <c r="AN55" s="1714"/>
      <c r="AO55" s="1714"/>
      <c r="AP55" s="1714"/>
      <c r="AQ55" s="1714"/>
      <c r="AR55" s="1714"/>
      <c r="AS55" s="1714"/>
      <c r="AT55" s="1714"/>
      <c r="AU55" s="1714"/>
      <c r="AV55" s="1714"/>
      <c r="AW55" s="1714"/>
      <c r="AX55" s="1714"/>
      <c r="AY55" s="1714"/>
      <c r="AZ55" s="1714"/>
      <c r="BA55" s="1714"/>
      <c r="BB55" s="1714"/>
      <c r="BC55" s="1714"/>
      <c r="BD55" s="1714"/>
      <c r="BE55" s="1714"/>
      <c r="BF55" s="1714"/>
    </row>
    <row r="56" spans="1:58" ht="11.25" customHeight="1">
      <c r="A56" s="1088" t="s">
        <v>1334</v>
      </c>
      <c r="D56" s="1082"/>
      <c r="E56" s="1092"/>
      <c r="F56" s="3895"/>
      <c r="G56" s="3875"/>
      <c r="H56" s="3885" t="s">
        <v>421</v>
      </c>
      <c r="I56" s="3886"/>
      <c r="J56" s="3883"/>
      <c r="K56" s="3887"/>
      <c r="L56" s="3599"/>
      <c r="M56" s="3600"/>
      <c r="N56" s="3878"/>
      <c r="O56" s="3879"/>
      <c r="P56" s="3882"/>
      <c r="Q56" s="3883"/>
      <c r="R56" s="3874"/>
      <c r="S56" s="3884"/>
      <c r="T56" s="3874"/>
      <c r="U56" s="3874"/>
      <c r="V56" s="3874"/>
      <c r="W56" s="3874"/>
      <c r="X56" s="3874"/>
      <c r="Y56" s="3874"/>
      <c r="Z56" s="1097"/>
      <c r="AA56" s="1098"/>
      <c r="AB56" s="1163" t="s">
        <v>1444</v>
      </c>
      <c r="AC56" s="1102"/>
      <c r="AD56" s="1102"/>
      <c r="AE56" s="1104"/>
      <c r="AF56" s="3876"/>
      <c r="AG56" s="3877"/>
      <c r="AH56" s="3877"/>
      <c r="AI56" s="3876"/>
      <c r="AJ56" s="3877"/>
      <c r="AK56" s="3877"/>
      <c r="AL56" s="1874"/>
      <c r="AM56" s="1714"/>
      <c r="AN56" s="1714"/>
      <c r="AO56" s="1714"/>
      <c r="AP56" s="1714"/>
      <c r="AQ56" s="1714"/>
      <c r="AR56" s="1714"/>
      <c r="AS56" s="1714"/>
      <c r="AT56" s="1714"/>
      <c r="AU56" s="1714"/>
      <c r="AV56" s="1714"/>
      <c r="AW56" s="1714"/>
      <c r="AX56" s="1714"/>
      <c r="AY56" s="1714"/>
      <c r="AZ56" s="1714"/>
      <c r="BA56" s="1714"/>
      <c r="BB56" s="1714"/>
      <c r="BC56" s="1714"/>
      <c r="BD56" s="1714"/>
      <c r="BE56" s="1714"/>
      <c r="BF56" s="1714"/>
    </row>
    <row r="57" spans="1:58" ht="11.25" customHeight="1">
      <c r="A57" s="1088" t="s">
        <v>1334</v>
      </c>
      <c r="D57" s="1082"/>
      <c r="E57" s="1092"/>
      <c r="F57" s="3895"/>
      <c r="G57" s="3875"/>
      <c r="H57" s="3885" t="s">
        <v>421</v>
      </c>
      <c r="I57" s="3886"/>
      <c r="J57" s="3883"/>
      <c r="K57" s="3887"/>
      <c r="L57" s="3599"/>
      <c r="M57" s="3600"/>
      <c r="N57" s="1097"/>
      <c r="O57" s="1098"/>
      <c r="P57" s="1090" t="s">
        <v>1445</v>
      </c>
      <c r="Q57" s="1098"/>
      <c r="R57" s="1098"/>
      <c r="S57" s="1098"/>
      <c r="T57" s="1098"/>
      <c r="U57" s="1098"/>
      <c r="V57" s="1098"/>
      <c r="W57" s="1098"/>
      <c r="X57" s="1098"/>
      <c r="Y57" s="1098"/>
      <c r="Z57" s="1098"/>
      <c r="AA57" s="1098"/>
      <c r="AB57" s="1098"/>
      <c r="AC57" s="1098"/>
      <c r="AD57" s="1098"/>
      <c r="AE57" s="1105"/>
      <c r="AF57" s="3876"/>
      <c r="AG57" s="3877"/>
      <c r="AH57" s="3877"/>
      <c r="AI57" s="3876"/>
      <c r="AJ57" s="3877"/>
      <c r="AK57" s="3877"/>
      <c r="AL57" s="1874"/>
      <c r="AM57" s="1714"/>
      <c r="AN57" s="1714"/>
      <c r="AO57" s="1714"/>
      <c r="AP57" s="1714"/>
      <c r="AQ57" s="1714"/>
      <c r="AR57" s="1714"/>
      <c r="AS57" s="1714"/>
      <c r="AT57" s="1714"/>
      <c r="AU57" s="1714"/>
      <c r="AV57" s="1714"/>
      <c r="AW57" s="1714"/>
      <c r="AX57" s="1714"/>
      <c r="AY57" s="1714"/>
      <c r="AZ57" s="1714"/>
      <c r="BA57" s="1714"/>
      <c r="BB57" s="1714"/>
      <c r="BC57" s="1714"/>
      <c r="BD57" s="1714"/>
      <c r="BE57" s="1714"/>
      <c r="BF57" s="1714"/>
    </row>
    <row r="58" spans="1:58" ht="11.25" customHeight="1">
      <c r="A58" s="1088" t="s">
        <v>1334</v>
      </c>
      <c r="D58" s="1082"/>
      <c r="E58" s="1092"/>
      <c r="F58" s="3895"/>
      <c r="G58" s="3853" t="s">
        <v>90</v>
      </c>
      <c r="H58" s="3885" t="s">
        <v>89</v>
      </c>
      <c r="I58" s="3886"/>
      <c r="J58" s="3883"/>
      <c r="K58" s="3887" t="s">
        <v>1452</v>
      </c>
      <c r="L58" s="3599" t="s">
        <v>6</v>
      </c>
      <c r="M58" s="3600"/>
      <c r="N58" s="1872"/>
      <c r="O58" s="1099" t="s">
        <v>421</v>
      </c>
      <c r="P58" s="1100"/>
      <c r="Q58" s="1100"/>
      <c r="R58" s="1100"/>
      <c r="S58" s="1100"/>
      <c r="T58" s="1100"/>
      <c r="U58" s="1100"/>
      <c r="V58" s="1100"/>
      <c r="W58" s="1100"/>
      <c r="X58" s="1100"/>
      <c r="Y58" s="1100"/>
      <c r="Z58" s="1100"/>
      <c r="AA58" s="1100"/>
      <c r="AB58" s="1100"/>
      <c r="AC58" s="1100"/>
      <c r="AD58" s="1100"/>
      <c r="AE58" s="1100"/>
      <c r="AF58" s="3876">
        <v>2023</v>
      </c>
      <c r="AG58" s="3877" t="s">
        <v>1447</v>
      </c>
      <c r="AH58" s="3877" t="s">
        <v>1448</v>
      </c>
      <c r="AI58" s="3876">
        <v>2023</v>
      </c>
      <c r="AJ58" s="3877" t="s">
        <v>1447</v>
      </c>
      <c r="AK58" s="3877" t="s">
        <v>1448</v>
      </c>
      <c r="AL58" s="1874"/>
      <c r="AM58" s="1714"/>
      <c r="AN58" s="1714"/>
      <c r="AO58" s="1714"/>
      <c r="AP58" s="1714"/>
      <c r="AQ58" s="1714"/>
      <c r="AR58" s="1714"/>
      <c r="AS58" s="1714"/>
      <c r="AT58" s="1714"/>
      <c r="AU58" s="1714"/>
      <c r="AV58" s="1714"/>
      <c r="AW58" s="1714"/>
      <c r="AX58" s="1714"/>
      <c r="AY58" s="1714"/>
      <c r="AZ58" s="1714"/>
      <c r="BA58" s="1714"/>
      <c r="BB58" s="1714"/>
      <c r="BC58" s="1714"/>
      <c r="BD58" s="1714"/>
      <c r="BE58" s="1714"/>
      <c r="BF58" s="1714"/>
    </row>
    <row r="59" spans="1:58" ht="11.25" customHeight="1">
      <c r="A59" s="1088" t="s">
        <v>1334</v>
      </c>
      <c r="D59" s="1082"/>
      <c r="E59" s="1092"/>
      <c r="F59" s="3895"/>
      <c r="G59" s="3875"/>
      <c r="H59" s="3885" t="s">
        <v>164</v>
      </c>
      <c r="I59" s="3886"/>
      <c r="J59" s="3883"/>
      <c r="K59" s="3887"/>
      <c r="L59" s="3599"/>
      <c r="M59" s="3600"/>
      <c r="N59" s="3878"/>
      <c r="O59" s="3879">
        <v>1</v>
      </c>
      <c r="P59" s="3880" t="s">
        <v>50</v>
      </c>
      <c r="Q59" s="3883" t="s">
        <v>1449</v>
      </c>
      <c r="R59" s="3884" t="s">
        <v>1438</v>
      </c>
      <c r="S59" s="3884" t="s">
        <v>151</v>
      </c>
      <c r="T59" s="3884" t="s">
        <v>151</v>
      </c>
      <c r="U59" s="3884" t="s">
        <v>152</v>
      </c>
      <c r="V59" s="3884" t="s">
        <v>1439</v>
      </c>
      <c r="W59" s="3884" t="s">
        <v>1440</v>
      </c>
      <c r="X59" s="3884" t="s">
        <v>1450</v>
      </c>
      <c r="Y59" s="3884" t="s">
        <v>1442</v>
      </c>
      <c r="Z59" s="1097"/>
      <c r="AA59" s="1098"/>
      <c r="AB59" s="1098"/>
      <c r="AC59" s="1102"/>
      <c r="AD59" s="1102"/>
      <c r="AE59" s="1103"/>
      <c r="AF59" s="3876"/>
      <c r="AG59" s="3877"/>
      <c r="AH59" s="3877"/>
      <c r="AI59" s="3876"/>
      <c r="AJ59" s="3877"/>
      <c r="AK59" s="3877"/>
      <c r="AL59" s="1874"/>
      <c r="AM59" s="1714"/>
      <c r="AN59" s="1714"/>
      <c r="AO59" s="1714"/>
      <c r="AP59" s="1714"/>
      <c r="AQ59" s="1714"/>
      <c r="AR59" s="1714"/>
      <c r="AS59" s="1714"/>
      <c r="AT59" s="1714"/>
      <c r="AU59" s="1714"/>
      <c r="AV59" s="1714"/>
      <c r="AW59" s="1714"/>
      <c r="AX59" s="1714"/>
      <c r="AY59" s="1714"/>
      <c r="AZ59" s="1714"/>
      <c r="BA59" s="1714"/>
      <c r="BB59" s="1714"/>
      <c r="BC59" s="1714"/>
      <c r="BD59" s="1714"/>
      <c r="BE59" s="1714"/>
      <c r="BF59" s="1714"/>
    </row>
    <row r="60" spans="1:58" ht="11.25" customHeight="1">
      <c r="A60" s="1088" t="s">
        <v>1334</v>
      </c>
      <c r="D60" s="1082"/>
      <c r="E60" s="1092"/>
      <c r="F60" s="3895"/>
      <c r="G60" s="3875"/>
      <c r="H60" s="3885" t="s">
        <v>164</v>
      </c>
      <c r="I60" s="3886"/>
      <c r="J60" s="3883"/>
      <c r="K60" s="3887"/>
      <c r="L60" s="3599"/>
      <c r="M60" s="3600"/>
      <c r="N60" s="3878"/>
      <c r="O60" s="3879"/>
      <c r="P60" s="3881"/>
      <c r="Q60" s="3883"/>
      <c r="R60" s="3874"/>
      <c r="S60" s="3884"/>
      <c r="T60" s="3874"/>
      <c r="U60" s="3874"/>
      <c r="V60" s="3874"/>
      <c r="W60" s="3874"/>
      <c r="X60" s="3874"/>
      <c r="Y60" s="3874"/>
      <c r="Z60" s="1719"/>
      <c r="AA60" s="1686">
        <v>1</v>
      </c>
      <c r="AB60" s="1101" t="s">
        <v>1443</v>
      </c>
      <c r="AC60" s="1091">
        <v>1925</v>
      </c>
      <c r="AD60" s="1101" t="str">
        <f>AB60</f>
        <v xml:space="preserve">  Прибыль направляемая на инвестиции</v>
      </c>
      <c r="AE60" s="1091">
        <v>700</v>
      </c>
      <c r="AF60" s="3876"/>
      <c r="AG60" s="3877"/>
      <c r="AH60" s="3877"/>
      <c r="AI60" s="3876"/>
      <c r="AJ60" s="3877"/>
      <c r="AK60" s="3877"/>
      <c r="AL60" s="1874"/>
      <c r="AM60" s="1714"/>
      <c r="AN60" s="1714"/>
      <c r="AO60" s="1714"/>
      <c r="AP60" s="1714"/>
      <c r="AQ60" s="1714"/>
      <c r="AR60" s="1714"/>
      <c r="AS60" s="1714"/>
      <c r="AT60" s="1714"/>
      <c r="AU60" s="1714"/>
      <c r="AV60" s="1714"/>
      <c r="AW60" s="1714"/>
      <c r="AX60" s="1714"/>
      <c r="AY60" s="1714"/>
      <c r="AZ60" s="1714"/>
      <c r="BA60" s="1714"/>
      <c r="BB60" s="1714"/>
      <c r="BC60" s="1714"/>
      <c r="BD60" s="1714"/>
      <c r="BE60" s="1714"/>
      <c r="BF60" s="1714"/>
    </row>
    <row r="61" spans="1:58" ht="11.25" customHeight="1">
      <c r="A61" s="1088" t="s">
        <v>1334</v>
      </c>
      <c r="D61" s="1082"/>
      <c r="E61" s="1092"/>
      <c r="F61" s="3895"/>
      <c r="G61" s="3875"/>
      <c r="H61" s="3885" t="s">
        <v>164</v>
      </c>
      <c r="I61" s="3886"/>
      <c r="J61" s="3883"/>
      <c r="K61" s="3887"/>
      <c r="L61" s="3599"/>
      <c r="M61" s="3600"/>
      <c r="N61" s="3878"/>
      <c r="O61" s="3879"/>
      <c r="P61" s="3882"/>
      <c r="Q61" s="3883"/>
      <c r="R61" s="3874"/>
      <c r="S61" s="3884"/>
      <c r="T61" s="3874"/>
      <c r="U61" s="3874"/>
      <c r="V61" s="3874"/>
      <c r="W61" s="3874"/>
      <c r="X61" s="3874"/>
      <c r="Y61" s="3874"/>
      <c r="Z61" s="1097"/>
      <c r="AA61" s="1098"/>
      <c r="AB61" s="1163" t="s">
        <v>1444</v>
      </c>
      <c r="AC61" s="1102"/>
      <c r="AD61" s="1102"/>
      <c r="AE61" s="1104"/>
      <c r="AF61" s="3876"/>
      <c r="AG61" s="3877"/>
      <c r="AH61" s="3877"/>
      <c r="AI61" s="3876"/>
      <c r="AJ61" s="3877"/>
      <c r="AK61" s="3877"/>
      <c r="AL61" s="1874"/>
      <c r="AM61" s="1714"/>
      <c r="AN61" s="1714"/>
      <c r="AO61" s="1714"/>
      <c r="AP61" s="1714"/>
      <c r="AQ61" s="1714"/>
      <c r="AR61" s="1714"/>
      <c r="AS61" s="1714"/>
      <c r="AT61" s="1714"/>
      <c r="AU61" s="1714"/>
      <c r="AV61" s="1714"/>
      <c r="AW61" s="1714"/>
      <c r="AX61" s="1714"/>
      <c r="AY61" s="1714"/>
      <c r="AZ61" s="1714"/>
      <c r="BA61" s="1714"/>
      <c r="BB61" s="1714"/>
      <c r="BC61" s="1714"/>
      <c r="BD61" s="1714"/>
      <c r="BE61" s="1714"/>
      <c r="BF61" s="1714"/>
    </row>
    <row r="62" spans="1:58" ht="11.25" customHeight="1">
      <c r="A62" s="1088" t="s">
        <v>1334</v>
      </c>
      <c r="D62" s="1082"/>
      <c r="E62" s="1092"/>
      <c r="F62" s="3895"/>
      <c r="G62" s="3875"/>
      <c r="H62" s="3885" t="s">
        <v>164</v>
      </c>
      <c r="I62" s="3886"/>
      <c r="J62" s="3883"/>
      <c r="K62" s="3887"/>
      <c r="L62" s="3599"/>
      <c r="M62" s="3600"/>
      <c r="N62" s="1097"/>
      <c r="O62" s="1098"/>
      <c r="P62" s="1090" t="s">
        <v>1445</v>
      </c>
      <c r="Q62" s="1098"/>
      <c r="R62" s="1098"/>
      <c r="S62" s="1098"/>
      <c r="T62" s="1098"/>
      <c r="U62" s="1098"/>
      <c r="V62" s="1098"/>
      <c r="W62" s="1098"/>
      <c r="X62" s="1098"/>
      <c r="Y62" s="1098"/>
      <c r="Z62" s="1098"/>
      <c r="AA62" s="1098"/>
      <c r="AB62" s="1098"/>
      <c r="AC62" s="1098"/>
      <c r="AD62" s="1098"/>
      <c r="AE62" s="1105"/>
      <c r="AF62" s="3876"/>
      <c r="AG62" s="3877"/>
      <c r="AH62" s="3877"/>
      <c r="AI62" s="3876"/>
      <c r="AJ62" s="3877"/>
      <c r="AK62" s="3877"/>
      <c r="AL62" s="1874"/>
      <c r="AM62" s="1714"/>
      <c r="AN62" s="1714"/>
      <c r="AO62" s="1714"/>
      <c r="AP62" s="1714"/>
      <c r="AQ62" s="1714"/>
      <c r="AR62" s="1714"/>
      <c r="AS62" s="1714"/>
      <c r="AT62" s="1714"/>
      <c r="AU62" s="1714"/>
      <c r="AV62" s="1714"/>
      <c r="AW62" s="1714"/>
      <c r="AX62" s="1714"/>
      <c r="AY62" s="1714"/>
      <c r="AZ62" s="1714"/>
      <c r="BA62" s="1714"/>
      <c r="BB62" s="1714"/>
      <c r="BC62" s="1714"/>
      <c r="BD62" s="1714"/>
      <c r="BE62" s="1714"/>
      <c r="BF62" s="1714"/>
    </row>
    <row r="63" spans="1:58" ht="12" customHeight="1">
      <c r="A63" s="1088" t="s">
        <v>1334</v>
      </c>
      <c r="D63" s="1082"/>
      <c r="E63" s="1092"/>
      <c r="F63" s="3896"/>
      <c r="G63" s="1112"/>
      <c r="H63" s="1112"/>
      <c r="I63" s="3893" t="s">
        <v>1451</v>
      </c>
      <c r="J63" s="3893"/>
      <c r="K63" s="3893"/>
      <c r="L63" s="1095"/>
      <c r="M63" s="1095"/>
      <c r="N63" s="1096"/>
      <c r="O63" s="1096"/>
      <c r="P63" s="1096"/>
      <c r="Q63" s="1096"/>
      <c r="R63" s="1096"/>
      <c r="S63" s="1096"/>
      <c r="T63" s="1096"/>
      <c r="U63" s="1096"/>
      <c r="V63" s="1096"/>
      <c r="W63" s="1096"/>
      <c r="X63" s="1096"/>
      <c r="Y63" s="1096"/>
      <c r="Z63" s="1096"/>
      <c r="AA63" s="1096"/>
      <c r="AB63" s="1096"/>
      <c r="AC63" s="1096"/>
      <c r="AD63" s="1096"/>
      <c r="AE63" s="1096"/>
      <c r="AF63" s="1096"/>
      <c r="AG63" s="1095"/>
      <c r="AH63" s="1095"/>
      <c r="AI63" s="1096"/>
      <c r="AJ63" s="1095"/>
      <c r="AK63" s="1096"/>
      <c r="AL63" s="1874"/>
      <c r="AM63" s="1714"/>
      <c r="AN63" s="1714"/>
      <c r="AO63" s="1714"/>
      <c r="AP63" s="1714"/>
      <c r="AQ63" s="1714"/>
      <c r="AR63" s="1714"/>
      <c r="AS63" s="1714"/>
      <c r="AT63" s="1714"/>
      <c r="AU63" s="1714"/>
      <c r="AV63" s="1714"/>
      <c r="AW63" s="1714"/>
      <c r="AX63" s="1714"/>
      <c r="AY63" s="1714"/>
      <c r="AZ63" s="1714"/>
      <c r="BA63" s="1714"/>
      <c r="BB63" s="1714"/>
      <c r="BC63" s="1714"/>
      <c r="BD63" s="1714"/>
      <c r="BE63" s="1714"/>
      <c r="BF63" s="1714"/>
    </row>
    <row r="64" spans="1:58" ht="0.75" customHeight="1">
      <c r="A64" s="1088" t="s">
        <v>1334</v>
      </c>
      <c r="D64" s="1082"/>
      <c r="E64" s="1092"/>
      <c r="F64" s="3894">
        <v>2023</v>
      </c>
      <c r="G64" s="3885"/>
      <c r="H64" s="3898" t="s">
        <v>421</v>
      </c>
      <c r="I64" s="3899"/>
      <c r="J64" s="3891"/>
      <c r="K64" s="3891"/>
      <c r="L64" s="3892"/>
      <c r="M64" s="3743"/>
      <c r="N64" s="1922"/>
      <c r="O64" s="1921"/>
      <c r="P64" s="1922"/>
      <c r="Q64" s="1922"/>
      <c r="R64" s="1922"/>
      <c r="S64" s="1922"/>
      <c r="T64" s="1922"/>
      <c r="U64" s="1922"/>
      <c r="V64" s="1922"/>
      <c r="W64" s="1922"/>
      <c r="X64" s="1922"/>
      <c r="Y64" s="1922"/>
      <c r="Z64" s="1922"/>
      <c r="AA64" s="1922"/>
      <c r="AB64" s="1922"/>
      <c r="AC64" s="1922"/>
      <c r="AD64" s="1922"/>
      <c r="AE64" s="1922"/>
      <c r="AF64" s="3897"/>
      <c r="AG64" s="3892"/>
      <c r="AH64" s="3892"/>
      <c r="AI64" s="3897"/>
      <c r="AJ64" s="3892"/>
      <c r="AK64" s="3892"/>
      <c r="AL64" s="1874"/>
      <c r="AM64" s="1714"/>
      <c r="AN64" s="1714"/>
      <c r="AO64" s="1714"/>
      <c r="AP64" s="1714"/>
      <c r="AQ64" s="1714"/>
      <c r="AR64" s="1714"/>
      <c r="AS64" s="1714"/>
      <c r="AT64" s="1714"/>
      <c r="AU64" s="1714"/>
      <c r="AV64" s="1714"/>
      <c r="AW64" s="1714"/>
      <c r="AX64" s="1714"/>
      <c r="AY64" s="1714"/>
      <c r="AZ64" s="1714"/>
      <c r="BA64" s="1714"/>
      <c r="BB64" s="1714"/>
      <c r="BC64" s="1714"/>
      <c r="BD64" s="1714"/>
      <c r="BE64" s="1714"/>
      <c r="BF64" s="1714"/>
    </row>
    <row r="65" spans="1:58" ht="0.75" customHeight="1">
      <c r="A65" s="1088" t="s">
        <v>1334</v>
      </c>
      <c r="D65" s="1082"/>
      <c r="E65" s="1092"/>
      <c r="F65" s="3894"/>
      <c r="G65" s="3885"/>
      <c r="H65" s="3898"/>
      <c r="I65" s="3899"/>
      <c r="J65" s="3891"/>
      <c r="K65" s="3891"/>
      <c r="L65" s="3892"/>
      <c r="M65" s="3743"/>
      <c r="N65" s="3900"/>
      <c r="O65" s="3901"/>
      <c r="P65" s="3888"/>
      <c r="Q65" s="3891"/>
      <c r="R65" s="3891"/>
      <c r="S65" s="3891"/>
      <c r="T65" s="3891"/>
      <c r="U65" s="3891"/>
      <c r="V65" s="3891"/>
      <c r="W65" s="3891"/>
      <c r="X65" s="3891"/>
      <c r="Y65" s="3891"/>
      <c r="Z65" s="1923"/>
      <c r="AA65" s="1924"/>
      <c r="AB65" s="1924"/>
      <c r="AC65" s="1925"/>
      <c r="AD65" s="1925"/>
      <c r="AE65" s="1926"/>
      <c r="AF65" s="3897"/>
      <c r="AG65" s="3892"/>
      <c r="AH65" s="3892"/>
      <c r="AI65" s="3897"/>
      <c r="AJ65" s="3892"/>
      <c r="AK65" s="3892"/>
      <c r="AL65" s="1874"/>
      <c r="AM65" s="1714"/>
      <c r="AN65" s="1714"/>
      <c r="AO65" s="1714"/>
      <c r="AP65" s="1714"/>
      <c r="AQ65" s="1714"/>
      <c r="AR65" s="1714"/>
      <c r="AS65" s="1714"/>
      <c r="AT65" s="1714"/>
      <c r="AU65" s="1714"/>
      <c r="AV65" s="1714"/>
      <c r="AW65" s="1714"/>
      <c r="AX65" s="1714"/>
      <c r="AY65" s="1714"/>
      <c r="AZ65" s="1714"/>
      <c r="BA65" s="1714"/>
      <c r="BB65" s="1714"/>
      <c r="BC65" s="1714"/>
      <c r="BD65" s="1714"/>
      <c r="BE65" s="1714"/>
      <c r="BF65" s="1714"/>
    </row>
    <row r="66" spans="1:58" ht="0.75" customHeight="1">
      <c r="A66" s="1088" t="s">
        <v>1334</v>
      </c>
      <c r="D66" s="1082"/>
      <c r="E66" s="1092"/>
      <c r="F66" s="3894"/>
      <c r="G66" s="3885"/>
      <c r="H66" s="3898"/>
      <c r="I66" s="3899"/>
      <c r="J66" s="3891"/>
      <c r="K66" s="3891"/>
      <c r="L66" s="3892"/>
      <c r="M66" s="3743"/>
      <c r="N66" s="3900"/>
      <c r="O66" s="3901"/>
      <c r="P66" s="3889"/>
      <c r="Q66" s="3891"/>
      <c r="R66" s="3891"/>
      <c r="S66" s="3891"/>
      <c r="T66" s="3891"/>
      <c r="U66" s="3891"/>
      <c r="V66" s="3891"/>
      <c r="W66" s="3891"/>
      <c r="X66" s="3891"/>
      <c r="Y66" s="3891"/>
      <c r="Z66" s="1927"/>
      <c r="AA66" s="1928"/>
      <c r="AB66" s="1929"/>
      <c r="AC66" s="1930"/>
      <c r="AD66" s="1929"/>
      <c r="AE66" s="1930"/>
      <c r="AF66" s="3897"/>
      <c r="AG66" s="3892"/>
      <c r="AH66" s="3892"/>
      <c r="AI66" s="3897"/>
      <c r="AJ66" s="3892"/>
      <c r="AK66" s="3892"/>
      <c r="AL66" s="1874"/>
      <c r="AM66" s="1714"/>
      <c r="AN66" s="1714"/>
      <c r="AO66" s="1714"/>
      <c r="AP66" s="1714"/>
      <c r="AQ66" s="1714"/>
      <c r="AR66" s="1714"/>
      <c r="AS66" s="1714"/>
      <c r="AT66" s="1714"/>
      <c r="AU66" s="1714"/>
      <c r="AV66" s="1714"/>
      <c r="AW66" s="1714"/>
      <c r="AX66" s="1714"/>
      <c r="AY66" s="1714"/>
      <c r="AZ66" s="1714"/>
      <c r="BA66" s="1714"/>
      <c r="BB66" s="1714"/>
      <c r="BC66" s="1714"/>
      <c r="BD66" s="1714"/>
      <c r="BE66" s="1714"/>
      <c r="BF66" s="1714"/>
    </row>
    <row r="67" spans="1:58" ht="0.75" customHeight="1">
      <c r="A67" s="1088" t="s">
        <v>1334</v>
      </c>
      <c r="D67" s="1082"/>
      <c r="E67" s="1092"/>
      <c r="F67" s="3894"/>
      <c r="G67" s="3885"/>
      <c r="H67" s="3898"/>
      <c r="I67" s="3899"/>
      <c r="J67" s="3891"/>
      <c r="K67" s="3891"/>
      <c r="L67" s="3892"/>
      <c r="M67" s="3743"/>
      <c r="N67" s="3900"/>
      <c r="O67" s="3901"/>
      <c r="P67" s="3890"/>
      <c r="Q67" s="3891"/>
      <c r="R67" s="3891"/>
      <c r="S67" s="3891"/>
      <c r="T67" s="3891"/>
      <c r="U67" s="3891"/>
      <c r="V67" s="3891"/>
      <c r="W67" s="3891"/>
      <c r="X67" s="3891"/>
      <c r="Y67" s="3891"/>
      <c r="Z67" s="1923"/>
      <c r="AA67" s="1924"/>
      <c r="AB67" s="1931"/>
      <c r="AC67" s="1925"/>
      <c r="AD67" s="1925"/>
      <c r="AE67" s="1932"/>
      <c r="AF67" s="3897"/>
      <c r="AG67" s="3892"/>
      <c r="AH67" s="3892"/>
      <c r="AI67" s="3897"/>
      <c r="AJ67" s="3892"/>
      <c r="AK67" s="3892"/>
      <c r="AL67" s="1874"/>
      <c r="AM67" s="1714"/>
      <c r="AN67" s="1714"/>
      <c r="AO67" s="1714"/>
      <c r="AP67" s="1714"/>
      <c r="AQ67" s="1714"/>
      <c r="AR67" s="1714"/>
      <c r="AS67" s="1714"/>
      <c r="AT67" s="1714"/>
      <c r="AU67" s="1714"/>
      <c r="AV67" s="1714"/>
      <c r="AW67" s="1714"/>
      <c r="AX67" s="1714"/>
      <c r="AY67" s="1714"/>
      <c r="AZ67" s="1714"/>
      <c r="BA67" s="1714"/>
      <c r="BB67" s="1714"/>
      <c r="BC67" s="1714"/>
      <c r="BD67" s="1714"/>
      <c r="BE67" s="1714"/>
      <c r="BF67" s="1714"/>
    </row>
    <row r="68" spans="1:58" ht="0.75" customHeight="1">
      <c r="A68" s="1088" t="s">
        <v>1334</v>
      </c>
      <c r="D68" s="1082"/>
      <c r="E68" s="1092"/>
      <c r="F68" s="3894"/>
      <c r="G68" s="3885"/>
      <c r="H68" s="3898"/>
      <c r="I68" s="3899"/>
      <c r="J68" s="3891"/>
      <c r="K68" s="3891"/>
      <c r="L68" s="3892"/>
      <c r="M68" s="3743"/>
      <c r="N68" s="1924"/>
      <c r="O68" s="1924"/>
      <c r="P68" s="1931"/>
      <c r="Q68" s="1924"/>
      <c r="R68" s="1924"/>
      <c r="S68" s="1924"/>
      <c r="T68" s="1924"/>
      <c r="U68" s="1924"/>
      <c r="V68" s="1924"/>
      <c r="W68" s="1924"/>
      <c r="X68" s="1924"/>
      <c r="Y68" s="1924"/>
      <c r="Z68" s="1924"/>
      <c r="AA68" s="1924"/>
      <c r="AB68" s="1924"/>
      <c r="AC68" s="1924"/>
      <c r="AD68" s="1924"/>
      <c r="AE68" s="1933"/>
      <c r="AF68" s="3897"/>
      <c r="AG68" s="3892"/>
      <c r="AH68" s="3892"/>
      <c r="AI68" s="3897"/>
      <c r="AJ68" s="3892"/>
      <c r="AK68" s="3892"/>
      <c r="AL68" s="1874"/>
      <c r="AM68" s="1714"/>
      <c r="AN68" s="1714"/>
      <c r="AO68" s="1714"/>
      <c r="AP68" s="1714"/>
      <c r="AQ68" s="1714"/>
      <c r="AR68" s="1714"/>
      <c r="AS68" s="1714"/>
      <c r="AT68" s="1714"/>
      <c r="AU68" s="1714"/>
      <c r="AV68" s="1714"/>
      <c r="AW68" s="1714"/>
      <c r="AX68" s="1714"/>
      <c r="AY68" s="1714"/>
      <c r="AZ68" s="1714"/>
      <c r="BA68" s="1714"/>
      <c r="BB68" s="1714"/>
      <c r="BC68" s="1714"/>
      <c r="BD68" s="1714"/>
      <c r="BE68" s="1714"/>
      <c r="BF68" s="1714"/>
    </row>
    <row r="69" spans="1:58" ht="11.25" customHeight="1">
      <c r="A69" s="1088" t="s">
        <v>1334</v>
      </c>
      <c r="D69" s="1082"/>
      <c r="E69" s="1092"/>
      <c r="F69" s="3895"/>
      <c r="G69" s="3853" t="s">
        <v>90</v>
      </c>
      <c r="H69" s="3885" t="s">
        <v>164</v>
      </c>
      <c r="I69" s="3886"/>
      <c r="J69" s="3883"/>
      <c r="K69" s="3887" t="s">
        <v>1434</v>
      </c>
      <c r="L69" s="3599" t="s">
        <v>6</v>
      </c>
      <c r="M69" s="3600"/>
      <c r="N69" s="1872"/>
      <c r="O69" s="1099" t="s">
        <v>421</v>
      </c>
      <c r="P69" s="1100"/>
      <c r="Q69" s="1100"/>
      <c r="R69" s="1100"/>
      <c r="S69" s="1100"/>
      <c r="T69" s="1100"/>
      <c r="U69" s="1100"/>
      <c r="V69" s="1100"/>
      <c r="W69" s="1100"/>
      <c r="X69" s="1100"/>
      <c r="Y69" s="1100"/>
      <c r="Z69" s="1100"/>
      <c r="AA69" s="1100"/>
      <c r="AB69" s="1100"/>
      <c r="AC69" s="1100"/>
      <c r="AD69" s="1100"/>
      <c r="AE69" s="1100"/>
      <c r="AF69" s="3876">
        <v>2021</v>
      </c>
      <c r="AG69" s="3877" t="s">
        <v>1435</v>
      </c>
      <c r="AH69" s="3877" t="s">
        <v>1436</v>
      </c>
      <c r="AI69" s="3876">
        <v>2021</v>
      </c>
      <c r="AJ69" s="3877" t="s">
        <v>1435</v>
      </c>
      <c r="AK69" s="3877" t="s">
        <v>1436</v>
      </c>
      <c r="AL69" s="1874"/>
      <c r="AM69" s="1714"/>
      <c r="AN69" s="1714"/>
      <c r="AO69" s="1714"/>
      <c r="AP69" s="1714"/>
      <c r="AQ69" s="1714"/>
      <c r="AR69" s="1714"/>
      <c r="AS69" s="1714"/>
      <c r="AT69" s="1714"/>
      <c r="AU69" s="1714"/>
      <c r="AV69" s="1714"/>
      <c r="AW69" s="1714"/>
      <c r="AX69" s="1714"/>
      <c r="AY69" s="1714"/>
      <c r="AZ69" s="1714"/>
      <c r="BA69" s="1714"/>
      <c r="BB69" s="1714"/>
      <c r="BC69" s="1714"/>
      <c r="BD69" s="1714"/>
      <c r="BE69" s="1714"/>
      <c r="BF69" s="1714"/>
    </row>
    <row r="70" spans="1:58" ht="11.25" customHeight="1">
      <c r="A70" s="1088" t="s">
        <v>1334</v>
      </c>
      <c r="D70" s="1082"/>
      <c r="E70" s="1092"/>
      <c r="F70" s="3895"/>
      <c r="G70" s="3875"/>
      <c r="H70" s="3885" t="s">
        <v>164</v>
      </c>
      <c r="I70" s="3886"/>
      <c r="J70" s="3883"/>
      <c r="K70" s="3887"/>
      <c r="L70" s="3599"/>
      <c r="M70" s="3600"/>
      <c r="N70" s="3878"/>
      <c r="O70" s="3879">
        <v>1</v>
      </c>
      <c r="P70" s="3880" t="s">
        <v>50</v>
      </c>
      <c r="Q70" s="3883" t="s">
        <v>1437</v>
      </c>
      <c r="R70" s="3884" t="s">
        <v>1438</v>
      </c>
      <c r="S70" s="3884" t="s">
        <v>151</v>
      </c>
      <c r="T70" s="3884" t="s">
        <v>151</v>
      </c>
      <c r="U70" s="3884" t="s">
        <v>152</v>
      </c>
      <c r="V70" s="3884" t="s">
        <v>1439</v>
      </c>
      <c r="W70" s="3884" t="s">
        <v>1440</v>
      </c>
      <c r="X70" s="3884" t="s">
        <v>1441</v>
      </c>
      <c r="Y70" s="3884" t="s">
        <v>1442</v>
      </c>
      <c r="Z70" s="1097"/>
      <c r="AA70" s="1098"/>
      <c r="AB70" s="1098"/>
      <c r="AC70" s="1102"/>
      <c r="AD70" s="1102"/>
      <c r="AE70" s="1103"/>
      <c r="AF70" s="3876"/>
      <c r="AG70" s="3877"/>
      <c r="AH70" s="3877"/>
      <c r="AI70" s="3876"/>
      <c r="AJ70" s="3877"/>
      <c r="AK70" s="3877"/>
      <c r="AL70" s="1874"/>
      <c r="AM70" s="1714"/>
      <c r="AN70" s="1714"/>
      <c r="AO70" s="1714"/>
      <c r="AP70" s="1714"/>
      <c r="AQ70" s="1714"/>
      <c r="AR70" s="1714"/>
      <c r="AS70" s="1714"/>
      <c r="AT70" s="1714"/>
      <c r="AU70" s="1714"/>
      <c r="AV70" s="1714"/>
      <c r="AW70" s="1714"/>
      <c r="AX70" s="1714"/>
      <c r="AY70" s="1714"/>
      <c r="AZ70" s="1714"/>
      <c r="BA70" s="1714"/>
      <c r="BB70" s="1714"/>
      <c r="BC70" s="1714"/>
      <c r="BD70" s="1714"/>
      <c r="BE70" s="1714"/>
      <c r="BF70" s="1714"/>
    </row>
    <row r="71" spans="1:58" ht="11.25" customHeight="1">
      <c r="A71" s="1088" t="s">
        <v>1334</v>
      </c>
      <c r="D71" s="1082"/>
      <c r="E71" s="1092"/>
      <c r="F71" s="3895"/>
      <c r="G71" s="3875"/>
      <c r="H71" s="3885" t="s">
        <v>164</v>
      </c>
      <c r="I71" s="3886"/>
      <c r="J71" s="3883"/>
      <c r="K71" s="3887"/>
      <c r="L71" s="3599"/>
      <c r="M71" s="3600"/>
      <c r="N71" s="3878"/>
      <c r="O71" s="3879"/>
      <c r="P71" s="3881"/>
      <c r="Q71" s="3883"/>
      <c r="R71" s="3874"/>
      <c r="S71" s="3884"/>
      <c r="T71" s="3874"/>
      <c r="U71" s="3874"/>
      <c r="V71" s="3874"/>
      <c r="W71" s="3874"/>
      <c r="X71" s="3874"/>
      <c r="Y71" s="3874"/>
      <c r="Z71" s="1719"/>
      <c r="AA71" s="1686">
        <v>1</v>
      </c>
      <c r="AB71" s="1101" t="s">
        <v>1453</v>
      </c>
      <c r="AC71" s="1091">
        <v>1859.51</v>
      </c>
      <c r="AD71" s="1101" t="str">
        <f>AB71</f>
        <v xml:space="preserve">      Амортизационные отчисления с выделением результатов переоценки основных средств и нематериальных активов</v>
      </c>
      <c r="AE71" s="1091">
        <v>0</v>
      </c>
      <c r="AF71" s="3876"/>
      <c r="AG71" s="3877"/>
      <c r="AH71" s="3877"/>
      <c r="AI71" s="3876"/>
      <c r="AJ71" s="3877"/>
      <c r="AK71" s="3877"/>
      <c r="AL71" s="1874"/>
      <c r="AM71" s="1714"/>
      <c r="AN71" s="1714"/>
      <c r="AO71" s="1714"/>
      <c r="AP71" s="1714"/>
      <c r="AQ71" s="1714"/>
      <c r="AR71" s="1714"/>
      <c r="AS71" s="1714"/>
      <c r="AT71" s="1714"/>
      <c r="AU71" s="1714"/>
      <c r="AV71" s="1714"/>
      <c r="AW71" s="1714"/>
      <c r="AX71" s="1714"/>
      <c r="AY71" s="1714"/>
      <c r="AZ71" s="1714"/>
      <c r="BA71" s="1714"/>
      <c r="BB71" s="1714"/>
      <c r="BC71" s="1714"/>
      <c r="BD71" s="1714"/>
      <c r="BE71" s="1714"/>
      <c r="BF71" s="1714"/>
    </row>
    <row r="72" spans="1:58" ht="11.25" customHeight="1">
      <c r="A72" s="1088" t="s">
        <v>1334</v>
      </c>
      <c r="D72" s="1082"/>
      <c r="E72" s="1092"/>
      <c r="F72" s="3875"/>
      <c r="G72" s="3875"/>
      <c r="H72" s="3875"/>
      <c r="I72" s="3875"/>
      <c r="J72" s="3875"/>
      <c r="K72" s="3875"/>
      <c r="L72" s="3875"/>
      <c r="M72" s="3875"/>
      <c r="N72" s="3875"/>
      <c r="O72" s="3875"/>
      <c r="P72" s="3875"/>
      <c r="Q72" s="3875"/>
      <c r="R72" s="3875"/>
      <c r="S72" s="3875"/>
      <c r="T72" s="3875"/>
      <c r="U72" s="3875"/>
      <c r="V72" s="3875"/>
      <c r="W72" s="3875"/>
      <c r="X72" s="3875"/>
      <c r="Y72" s="3875"/>
      <c r="Z72" s="617" t="s">
        <v>90</v>
      </c>
      <c r="AA72" s="1706" t="s">
        <v>89</v>
      </c>
      <c r="AB72" s="1101" t="s">
        <v>1443</v>
      </c>
      <c r="AC72" s="1091">
        <v>1060.55</v>
      </c>
      <c r="AD72" s="1101" t="str">
        <f>AB72</f>
        <v xml:space="preserve">  Прибыль направляемая на инвестиции</v>
      </c>
      <c r="AE72" s="1091">
        <v>0</v>
      </c>
      <c r="AF72" s="3902"/>
      <c r="AG72" s="3903"/>
      <c r="AH72" s="3903"/>
      <c r="AI72" s="3902"/>
      <c r="AJ72" s="3903"/>
      <c r="AK72" s="3904"/>
      <c r="AL72" s="1874"/>
      <c r="AM72" s="1714"/>
      <c r="AN72" s="1714"/>
      <c r="AO72" s="1714"/>
      <c r="AP72" s="1714"/>
      <c r="AQ72" s="1714"/>
      <c r="AR72" s="1714"/>
      <c r="AS72" s="1714"/>
      <c r="AT72" s="1714"/>
      <c r="AU72" s="1714"/>
      <c r="AV72" s="1714"/>
      <c r="AW72" s="1714"/>
      <c r="AX72" s="1714"/>
      <c r="AY72" s="1714"/>
      <c r="AZ72" s="1714"/>
      <c r="BA72" s="1714"/>
      <c r="BB72" s="1714"/>
      <c r="BC72" s="1714"/>
      <c r="BD72" s="1714"/>
      <c r="BE72" s="1714"/>
      <c r="BF72" s="1714"/>
    </row>
    <row r="73" spans="1:58" ht="11.25" customHeight="1">
      <c r="A73" s="1088" t="s">
        <v>1334</v>
      </c>
      <c r="D73" s="1082"/>
      <c r="E73" s="1092"/>
      <c r="F73" s="3895"/>
      <c r="G73" s="3875"/>
      <c r="H73" s="3885" t="s">
        <v>164</v>
      </c>
      <c r="I73" s="3886"/>
      <c r="J73" s="3883"/>
      <c r="K73" s="3887"/>
      <c r="L73" s="3599"/>
      <c r="M73" s="3600"/>
      <c r="N73" s="3878"/>
      <c r="O73" s="3879"/>
      <c r="P73" s="3882"/>
      <c r="Q73" s="3883"/>
      <c r="R73" s="3874"/>
      <c r="S73" s="3884"/>
      <c r="T73" s="3874"/>
      <c r="U73" s="3874"/>
      <c r="V73" s="3874"/>
      <c r="W73" s="3874"/>
      <c r="X73" s="3874"/>
      <c r="Y73" s="3874"/>
      <c r="Z73" s="1097"/>
      <c r="AA73" s="1098"/>
      <c r="AB73" s="1163" t="s">
        <v>1444</v>
      </c>
      <c r="AC73" s="1102"/>
      <c r="AD73" s="1102"/>
      <c r="AE73" s="1104"/>
      <c r="AF73" s="3876"/>
      <c r="AG73" s="3877"/>
      <c r="AH73" s="3877"/>
      <c r="AI73" s="3876"/>
      <c r="AJ73" s="3877"/>
      <c r="AK73" s="3877"/>
      <c r="AL73" s="1874"/>
      <c r="AM73" s="1714"/>
      <c r="AN73" s="1714"/>
      <c r="AO73" s="1714"/>
      <c r="AP73" s="1714"/>
      <c r="AQ73" s="1714"/>
      <c r="AR73" s="1714"/>
      <c r="AS73" s="1714"/>
      <c r="AT73" s="1714"/>
      <c r="AU73" s="1714"/>
      <c r="AV73" s="1714"/>
      <c r="AW73" s="1714"/>
      <c r="AX73" s="1714"/>
      <c r="AY73" s="1714"/>
      <c r="AZ73" s="1714"/>
      <c r="BA73" s="1714"/>
      <c r="BB73" s="1714"/>
      <c r="BC73" s="1714"/>
      <c r="BD73" s="1714"/>
      <c r="BE73" s="1714"/>
      <c r="BF73" s="1714"/>
    </row>
    <row r="74" spans="1:58" ht="11.25" customHeight="1">
      <c r="A74" s="1088" t="s">
        <v>1334</v>
      </c>
      <c r="D74" s="1082"/>
      <c r="E74" s="1092"/>
      <c r="F74" s="3895"/>
      <c r="G74" s="3875"/>
      <c r="H74" s="3885" t="s">
        <v>164</v>
      </c>
      <c r="I74" s="3886"/>
      <c r="J74" s="3883"/>
      <c r="K74" s="3887"/>
      <c r="L74" s="3599"/>
      <c r="M74" s="3600"/>
      <c r="N74" s="1097"/>
      <c r="O74" s="1098"/>
      <c r="P74" s="1090" t="s">
        <v>1445</v>
      </c>
      <c r="Q74" s="1098"/>
      <c r="R74" s="1098"/>
      <c r="S74" s="1098"/>
      <c r="T74" s="1098"/>
      <c r="U74" s="1098"/>
      <c r="V74" s="1098"/>
      <c r="W74" s="1098"/>
      <c r="X74" s="1098"/>
      <c r="Y74" s="1098"/>
      <c r="Z74" s="1098"/>
      <c r="AA74" s="1098"/>
      <c r="AB74" s="1098"/>
      <c r="AC74" s="1098"/>
      <c r="AD74" s="1098"/>
      <c r="AE74" s="1105"/>
      <c r="AF74" s="3876"/>
      <c r="AG74" s="3877"/>
      <c r="AH74" s="3877"/>
      <c r="AI74" s="3876"/>
      <c r="AJ74" s="3877"/>
      <c r="AK74" s="3877"/>
      <c r="AL74" s="1874"/>
      <c r="AM74" s="1714"/>
      <c r="AN74" s="1714"/>
      <c r="AO74" s="1714"/>
      <c r="AP74" s="1714"/>
      <c r="AQ74" s="1714"/>
      <c r="AR74" s="1714"/>
      <c r="AS74" s="1714"/>
      <c r="AT74" s="1714"/>
      <c r="AU74" s="1714"/>
      <c r="AV74" s="1714"/>
      <c r="AW74" s="1714"/>
      <c r="AX74" s="1714"/>
      <c r="AY74" s="1714"/>
      <c r="AZ74" s="1714"/>
      <c r="BA74" s="1714"/>
      <c r="BB74" s="1714"/>
      <c r="BC74" s="1714"/>
      <c r="BD74" s="1714"/>
      <c r="BE74" s="1714"/>
      <c r="BF74" s="1714"/>
    </row>
    <row r="75" spans="1:58" ht="11.25" customHeight="1">
      <c r="A75" s="1088" t="s">
        <v>1334</v>
      </c>
      <c r="D75" s="1082"/>
      <c r="E75" s="1092"/>
      <c r="F75" s="3895"/>
      <c r="G75" s="3853" t="s">
        <v>90</v>
      </c>
      <c r="H75" s="3885" t="s">
        <v>89</v>
      </c>
      <c r="I75" s="3886"/>
      <c r="J75" s="3883"/>
      <c r="K75" s="3887" t="s">
        <v>1446</v>
      </c>
      <c r="L75" s="3599" t="s">
        <v>6</v>
      </c>
      <c r="M75" s="3600"/>
      <c r="N75" s="1872"/>
      <c r="O75" s="1099" t="s">
        <v>421</v>
      </c>
      <c r="P75" s="1100"/>
      <c r="Q75" s="1100"/>
      <c r="R75" s="1100"/>
      <c r="S75" s="1100"/>
      <c r="T75" s="1100"/>
      <c r="U75" s="1100"/>
      <c r="V75" s="1100"/>
      <c r="W75" s="1100"/>
      <c r="X75" s="1100"/>
      <c r="Y75" s="1100"/>
      <c r="Z75" s="1100"/>
      <c r="AA75" s="1100"/>
      <c r="AB75" s="1100"/>
      <c r="AC75" s="1100"/>
      <c r="AD75" s="1100"/>
      <c r="AE75" s="1100"/>
      <c r="AF75" s="3876">
        <v>2023</v>
      </c>
      <c r="AG75" s="3877" t="s">
        <v>1447</v>
      </c>
      <c r="AH75" s="3877" t="s">
        <v>1448</v>
      </c>
      <c r="AI75" s="3876">
        <v>2023</v>
      </c>
      <c r="AJ75" s="3877" t="s">
        <v>1447</v>
      </c>
      <c r="AK75" s="3877" t="s">
        <v>1448</v>
      </c>
      <c r="AL75" s="1874"/>
      <c r="AM75" s="1714"/>
      <c r="AN75" s="1714"/>
      <c r="AO75" s="1714"/>
      <c r="AP75" s="1714"/>
      <c r="AQ75" s="1714"/>
      <c r="AR75" s="1714"/>
      <c r="AS75" s="1714"/>
      <c r="AT75" s="1714"/>
      <c r="AU75" s="1714"/>
      <c r="AV75" s="1714"/>
      <c r="AW75" s="1714"/>
      <c r="AX75" s="1714"/>
      <c r="AY75" s="1714"/>
      <c r="AZ75" s="1714"/>
      <c r="BA75" s="1714"/>
      <c r="BB75" s="1714"/>
      <c r="BC75" s="1714"/>
      <c r="BD75" s="1714"/>
      <c r="BE75" s="1714"/>
      <c r="BF75" s="1714"/>
    </row>
    <row r="76" spans="1:58" ht="11.25" customHeight="1">
      <c r="A76" s="1088" t="s">
        <v>1334</v>
      </c>
      <c r="D76" s="1082"/>
      <c r="E76" s="1092"/>
      <c r="F76" s="3895"/>
      <c r="G76" s="3875"/>
      <c r="H76" s="3885" t="s">
        <v>89</v>
      </c>
      <c r="I76" s="3886"/>
      <c r="J76" s="3883"/>
      <c r="K76" s="3887"/>
      <c r="L76" s="3599"/>
      <c r="M76" s="3600"/>
      <c r="N76" s="3878"/>
      <c r="O76" s="3879">
        <v>1</v>
      </c>
      <c r="P76" s="3880" t="s">
        <v>50</v>
      </c>
      <c r="Q76" s="3883" t="s">
        <v>1449</v>
      </c>
      <c r="R76" s="3884" t="s">
        <v>1438</v>
      </c>
      <c r="S76" s="3884" t="s">
        <v>151</v>
      </c>
      <c r="T76" s="3884" t="s">
        <v>151</v>
      </c>
      <c r="U76" s="3884" t="s">
        <v>152</v>
      </c>
      <c r="V76" s="3884" t="s">
        <v>1439</v>
      </c>
      <c r="W76" s="3884" t="s">
        <v>1440</v>
      </c>
      <c r="X76" s="3884" t="s">
        <v>1450</v>
      </c>
      <c r="Y76" s="3884" t="s">
        <v>1442</v>
      </c>
      <c r="Z76" s="1097"/>
      <c r="AA76" s="1098"/>
      <c r="AB76" s="1098"/>
      <c r="AC76" s="1102"/>
      <c r="AD76" s="1102"/>
      <c r="AE76" s="1103"/>
      <c r="AF76" s="3876"/>
      <c r="AG76" s="3877"/>
      <c r="AH76" s="3877"/>
      <c r="AI76" s="3876"/>
      <c r="AJ76" s="3877"/>
      <c r="AK76" s="3877"/>
      <c r="AL76" s="1874"/>
      <c r="AM76" s="1714"/>
      <c r="AN76" s="1714"/>
      <c r="AO76" s="1714"/>
      <c r="AP76" s="1714"/>
      <c r="AQ76" s="1714"/>
      <c r="AR76" s="1714"/>
      <c r="AS76" s="1714"/>
      <c r="AT76" s="1714"/>
      <c r="AU76" s="1714"/>
      <c r="AV76" s="1714"/>
      <c r="AW76" s="1714"/>
      <c r="AX76" s="1714"/>
      <c r="AY76" s="1714"/>
      <c r="AZ76" s="1714"/>
      <c r="BA76" s="1714"/>
      <c r="BB76" s="1714"/>
      <c r="BC76" s="1714"/>
      <c r="BD76" s="1714"/>
      <c r="BE76" s="1714"/>
      <c r="BF76" s="1714"/>
    </row>
    <row r="77" spans="1:58" ht="11.25" customHeight="1">
      <c r="A77" s="1088" t="s">
        <v>1334</v>
      </c>
      <c r="D77" s="1082"/>
      <c r="E77" s="1092"/>
      <c r="F77" s="3895"/>
      <c r="G77" s="3875"/>
      <c r="H77" s="3885" t="s">
        <v>89</v>
      </c>
      <c r="I77" s="3886"/>
      <c r="J77" s="3883"/>
      <c r="K77" s="3887"/>
      <c r="L77" s="3599"/>
      <c r="M77" s="3600"/>
      <c r="N77" s="3878"/>
      <c r="O77" s="3879"/>
      <c r="P77" s="3881"/>
      <c r="Q77" s="3883"/>
      <c r="R77" s="3874"/>
      <c r="S77" s="3884"/>
      <c r="T77" s="3874"/>
      <c r="U77" s="3874"/>
      <c r="V77" s="3874"/>
      <c r="W77" s="3874"/>
      <c r="X77" s="3874"/>
      <c r="Y77" s="3874"/>
      <c r="Z77" s="1719"/>
      <c r="AA77" s="1686">
        <v>1</v>
      </c>
      <c r="AB77" s="1101" t="s">
        <v>1443</v>
      </c>
      <c r="AC77" s="1091">
        <v>3129.94</v>
      </c>
      <c r="AD77" s="1101" t="str">
        <f>AB77</f>
        <v xml:space="preserve">  Прибыль направляемая на инвестиции</v>
      </c>
      <c r="AE77" s="1091">
        <v>19250.93</v>
      </c>
      <c r="AF77" s="3876"/>
      <c r="AG77" s="3877"/>
      <c r="AH77" s="3877"/>
      <c r="AI77" s="3876"/>
      <c r="AJ77" s="3877"/>
      <c r="AK77" s="3877"/>
      <c r="AL77" s="1874"/>
      <c r="AM77" s="1714"/>
      <c r="AN77" s="1714"/>
      <c r="AO77" s="1714"/>
      <c r="AP77" s="1714"/>
      <c r="AQ77" s="1714"/>
      <c r="AR77" s="1714"/>
      <c r="AS77" s="1714"/>
      <c r="AT77" s="1714"/>
      <c r="AU77" s="1714"/>
      <c r="AV77" s="1714"/>
      <c r="AW77" s="1714"/>
      <c r="AX77" s="1714"/>
      <c r="AY77" s="1714"/>
      <c r="AZ77" s="1714"/>
      <c r="BA77" s="1714"/>
      <c r="BB77" s="1714"/>
      <c r="BC77" s="1714"/>
      <c r="BD77" s="1714"/>
      <c r="BE77" s="1714"/>
      <c r="BF77" s="1714"/>
    </row>
    <row r="78" spans="1:58" ht="11.25" customHeight="1">
      <c r="A78" s="1088" t="s">
        <v>1334</v>
      </c>
      <c r="D78" s="1082"/>
      <c r="E78" s="1092"/>
      <c r="F78" s="3895"/>
      <c r="G78" s="3875"/>
      <c r="H78" s="3885" t="s">
        <v>89</v>
      </c>
      <c r="I78" s="3886"/>
      <c r="J78" s="3883"/>
      <c r="K78" s="3887"/>
      <c r="L78" s="3599"/>
      <c r="M78" s="3600"/>
      <c r="N78" s="3878"/>
      <c r="O78" s="3879"/>
      <c r="P78" s="3882"/>
      <c r="Q78" s="3883"/>
      <c r="R78" s="3874"/>
      <c r="S78" s="3884"/>
      <c r="T78" s="3874"/>
      <c r="U78" s="3874"/>
      <c r="V78" s="3874"/>
      <c r="W78" s="3874"/>
      <c r="X78" s="3874"/>
      <c r="Y78" s="3874"/>
      <c r="Z78" s="1097"/>
      <c r="AA78" s="1098"/>
      <c r="AB78" s="1163" t="s">
        <v>1444</v>
      </c>
      <c r="AC78" s="1102"/>
      <c r="AD78" s="1102"/>
      <c r="AE78" s="1104"/>
      <c r="AF78" s="3876"/>
      <c r="AG78" s="3877"/>
      <c r="AH78" s="3877"/>
      <c r="AI78" s="3876"/>
      <c r="AJ78" s="3877"/>
      <c r="AK78" s="3877"/>
      <c r="AL78" s="1874"/>
      <c r="AM78" s="1714"/>
      <c r="AN78" s="1714"/>
      <c r="AO78" s="1714"/>
      <c r="AP78" s="1714"/>
      <c r="AQ78" s="1714"/>
      <c r="AR78" s="1714"/>
      <c r="AS78" s="1714"/>
      <c r="AT78" s="1714"/>
      <c r="AU78" s="1714"/>
      <c r="AV78" s="1714"/>
      <c r="AW78" s="1714"/>
      <c r="AX78" s="1714"/>
      <c r="AY78" s="1714"/>
      <c r="AZ78" s="1714"/>
      <c r="BA78" s="1714"/>
      <c r="BB78" s="1714"/>
      <c r="BC78" s="1714"/>
      <c r="BD78" s="1714"/>
      <c r="BE78" s="1714"/>
      <c r="BF78" s="1714"/>
    </row>
    <row r="79" spans="1:58" ht="11.25" customHeight="1">
      <c r="A79" s="1088" t="s">
        <v>1334</v>
      </c>
      <c r="D79" s="1082"/>
      <c r="E79" s="1092"/>
      <c r="F79" s="3895"/>
      <c r="G79" s="3875"/>
      <c r="H79" s="3885" t="s">
        <v>89</v>
      </c>
      <c r="I79" s="3886"/>
      <c r="J79" s="3883"/>
      <c r="K79" s="3887"/>
      <c r="L79" s="3599"/>
      <c r="M79" s="3600"/>
      <c r="N79" s="1097"/>
      <c r="O79" s="1098"/>
      <c r="P79" s="1090" t="s">
        <v>1445</v>
      </c>
      <c r="Q79" s="1098"/>
      <c r="R79" s="1098"/>
      <c r="S79" s="1098"/>
      <c r="T79" s="1098"/>
      <c r="U79" s="1098"/>
      <c r="V79" s="1098"/>
      <c r="W79" s="1098"/>
      <c r="X79" s="1098"/>
      <c r="Y79" s="1098"/>
      <c r="Z79" s="1098"/>
      <c r="AA79" s="1098"/>
      <c r="AB79" s="1098"/>
      <c r="AC79" s="1098"/>
      <c r="AD79" s="1098"/>
      <c r="AE79" s="1105"/>
      <c r="AF79" s="3876"/>
      <c r="AG79" s="3877"/>
      <c r="AH79" s="3877"/>
      <c r="AI79" s="3876"/>
      <c r="AJ79" s="3877"/>
      <c r="AK79" s="3877"/>
      <c r="AL79" s="1874"/>
      <c r="AM79" s="1714"/>
      <c r="AN79" s="1714"/>
      <c r="AO79" s="1714"/>
      <c r="AP79" s="1714"/>
      <c r="AQ79" s="1714"/>
      <c r="AR79" s="1714"/>
      <c r="AS79" s="1714"/>
      <c r="AT79" s="1714"/>
      <c r="AU79" s="1714"/>
      <c r="AV79" s="1714"/>
      <c r="AW79" s="1714"/>
      <c r="AX79" s="1714"/>
      <c r="AY79" s="1714"/>
      <c r="AZ79" s="1714"/>
      <c r="BA79" s="1714"/>
      <c r="BB79" s="1714"/>
      <c r="BC79" s="1714"/>
      <c r="BD79" s="1714"/>
      <c r="BE79" s="1714"/>
      <c r="BF79" s="1714"/>
    </row>
    <row r="80" spans="1:58" ht="11.25" customHeight="1">
      <c r="A80" s="1088" t="s">
        <v>1334</v>
      </c>
      <c r="D80" s="1082"/>
      <c r="E80" s="1092"/>
      <c r="F80" s="3895"/>
      <c r="G80" s="3853" t="s">
        <v>90</v>
      </c>
      <c r="H80" s="3885" t="s">
        <v>78</v>
      </c>
      <c r="I80" s="3886"/>
      <c r="J80" s="3883"/>
      <c r="K80" s="3887" t="s">
        <v>1454</v>
      </c>
      <c r="L80" s="3599" t="s">
        <v>6</v>
      </c>
      <c r="M80" s="3600"/>
      <c r="N80" s="1872"/>
      <c r="O80" s="1099" t="s">
        <v>421</v>
      </c>
      <c r="P80" s="1100"/>
      <c r="Q80" s="1100"/>
      <c r="R80" s="1100"/>
      <c r="S80" s="1100"/>
      <c r="T80" s="1100"/>
      <c r="U80" s="1100"/>
      <c r="V80" s="1100"/>
      <c r="W80" s="1100"/>
      <c r="X80" s="1100"/>
      <c r="Y80" s="1100"/>
      <c r="Z80" s="1100"/>
      <c r="AA80" s="1100"/>
      <c r="AB80" s="1100"/>
      <c r="AC80" s="1100"/>
      <c r="AD80" s="1100"/>
      <c r="AE80" s="1100"/>
      <c r="AF80" s="3876">
        <v>2026</v>
      </c>
      <c r="AG80" s="3877" t="s">
        <v>1447</v>
      </c>
      <c r="AH80" s="3877" t="s">
        <v>1455</v>
      </c>
      <c r="AI80" s="3876">
        <v>2026</v>
      </c>
      <c r="AJ80" s="3877" t="s">
        <v>1447</v>
      </c>
      <c r="AK80" s="3877" t="s">
        <v>1455</v>
      </c>
      <c r="AL80" s="1874"/>
      <c r="AM80" s="1714"/>
      <c r="AN80" s="1714"/>
      <c r="AO80" s="1714"/>
      <c r="AP80" s="1714"/>
      <c r="AQ80" s="1714"/>
      <c r="AR80" s="1714"/>
      <c r="AS80" s="1714"/>
      <c r="AT80" s="1714"/>
      <c r="AU80" s="1714"/>
      <c r="AV80" s="1714"/>
      <c r="AW80" s="1714"/>
      <c r="AX80" s="1714"/>
      <c r="AY80" s="1714"/>
      <c r="AZ80" s="1714"/>
      <c r="BA80" s="1714"/>
      <c r="BB80" s="1714"/>
      <c r="BC80" s="1714"/>
      <c r="BD80" s="1714"/>
      <c r="BE80" s="1714"/>
      <c r="BF80" s="1714"/>
    </row>
    <row r="81" spans="1:58" ht="11.25" customHeight="1">
      <c r="A81" s="1088" t="s">
        <v>1334</v>
      </c>
      <c r="D81" s="1082"/>
      <c r="E81" s="1092"/>
      <c r="F81" s="3895"/>
      <c r="G81" s="3875"/>
      <c r="H81" s="3885" t="s">
        <v>89</v>
      </c>
      <c r="I81" s="3886"/>
      <c r="J81" s="3883"/>
      <c r="K81" s="3887"/>
      <c r="L81" s="3599"/>
      <c r="M81" s="3600"/>
      <c r="N81" s="3878"/>
      <c r="O81" s="3879">
        <v>1</v>
      </c>
      <c r="P81" s="3880" t="s">
        <v>50</v>
      </c>
      <c r="Q81" s="3883" t="s">
        <v>1456</v>
      </c>
      <c r="R81" s="3884" t="s">
        <v>1457</v>
      </c>
      <c r="S81" s="3884" t="s">
        <v>151</v>
      </c>
      <c r="T81" s="3884" t="s">
        <v>151</v>
      </c>
      <c r="U81" s="3884" t="s">
        <v>152</v>
      </c>
      <c r="V81" s="3884" t="s">
        <v>1439</v>
      </c>
      <c r="W81" s="3884" t="s">
        <v>1440</v>
      </c>
      <c r="X81" s="3884" t="s">
        <v>1458</v>
      </c>
      <c r="Y81" s="3884" t="s">
        <v>1442</v>
      </c>
      <c r="Z81" s="1097"/>
      <c r="AA81" s="1098"/>
      <c r="AB81" s="1098"/>
      <c r="AC81" s="1102"/>
      <c r="AD81" s="1102"/>
      <c r="AE81" s="1103"/>
      <c r="AF81" s="3876"/>
      <c r="AG81" s="3877"/>
      <c r="AH81" s="3877"/>
      <c r="AI81" s="3876"/>
      <c r="AJ81" s="3877"/>
      <c r="AK81" s="3877"/>
      <c r="AL81" s="1874"/>
      <c r="AM81" s="1714"/>
      <c r="AN81" s="1714"/>
      <c r="AO81" s="1714"/>
      <c r="AP81" s="1714"/>
      <c r="AQ81" s="1714"/>
      <c r="AR81" s="1714"/>
      <c r="AS81" s="1714"/>
      <c r="AT81" s="1714"/>
      <c r="AU81" s="1714"/>
      <c r="AV81" s="1714"/>
      <c r="AW81" s="1714"/>
      <c r="AX81" s="1714"/>
      <c r="AY81" s="1714"/>
      <c r="AZ81" s="1714"/>
      <c r="BA81" s="1714"/>
      <c r="BB81" s="1714"/>
      <c r="BC81" s="1714"/>
      <c r="BD81" s="1714"/>
      <c r="BE81" s="1714"/>
      <c r="BF81" s="1714"/>
    </row>
    <row r="82" spans="1:58" ht="11.25" customHeight="1">
      <c r="A82" s="1088" t="s">
        <v>1334</v>
      </c>
      <c r="D82" s="1082"/>
      <c r="E82" s="1092"/>
      <c r="F82" s="3895"/>
      <c r="G82" s="3875"/>
      <c r="H82" s="3885" t="s">
        <v>89</v>
      </c>
      <c r="I82" s="3886"/>
      <c r="J82" s="3883"/>
      <c r="K82" s="3887"/>
      <c r="L82" s="3599"/>
      <c r="M82" s="3600"/>
      <c r="N82" s="3878"/>
      <c r="O82" s="3879"/>
      <c r="P82" s="3881"/>
      <c r="Q82" s="3883"/>
      <c r="R82" s="3874"/>
      <c r="S82" s="3884"/>
      <c r="T82" s="3874"/>
      <c r="U82" s="3874"/>
      <c r="V82" s="3874"/>
      <c r="W82" s="3874"/>
      <c r="X82" s="3874"/>
      <c r="Y82" s="3874"/>
      <c r="Z82" s="1719"/>
      <c r="AA82" s="1686">
        <v>1</v>
      </c>
      <c r="AB82" s="1101" t="s">
        <v>1443</v>
      </c>
      <c r="AC82" s="1091">
        <v>0</v>
      </c>
      <c r="AD82" s="1101" t="str">
        <f>AB82</f>
        <v xml:space="preserve">  Прибыль направляемая на инвестиции</v>
      </c>
      <c r="AE82" s="1091">
        <v>15</v>
      </c>
      <c r="AF82" s="3876"/>
      <c r="AG82" s="3877"/>
      <c r="AH82" s="3877"/>
      <c r="AI82" s="3876"/>
      <c r="AJ82" s="3877"/>
      <c r="AK82" s="3877"/>
      <c r="AL82" s="1874"/>
      <c r="AM82" s="1714"/>
      <c r="AN82" s="1714"/>
      <c r="AO82" s="1714"/>
      <c r="AP82" s="1714"/>
      <c r="AQ82" s="1714"/>
      <c r="AR82" s="1714"/>
      <c r="AS82" s="1714"/>
      <c r="AT82" s="1714"/>
      <c r="AU82" s="1714"/>
      <c r="AV82" s="1714"/>
      <c r="AW82" s="1714"/>
      <c r="AX82" s="1714"/>
      <c r="AY82" s="1714"/>
      <c r="AZ82" s="1714"/>
      <c r="BA82" s="1714"/>
      <c r="BB82" s="1714"/>
      <c r="BC82" s="1714"/>
      <c r="BD82" s="1714"/>
      <c r="BE82" s="1714"/>
      <c r="BF82" s="1714"/>
    </row>
    <row r="83" spans="1:58" ht="11.25" customHeight="1">
      <c r="A83" s="1088" t="s">
        <v>1334</v>
      </c>
      <c r="D83" s="1082"/>
      <c r="E83" s="1092"/>
      <c r="F83" s="3895"/>
      <c r="G83" s="3875"/>
      <c r="H83" s="3885" t="s">
        <v>89</v>
      </c>
      <c r="I83" s="3886"/>
      <c r="J83" s="3883"/>
      <c r="K83" s="3887"/>
      <c r="L83" s="3599"/>
      <c r="M83" s="3600"/>
      <c r="N83" s="3878"/>
      <c r="O83" s="3879"/>
      <c r="P83" s="3882"/>
      <c r="Q83" s="3883"/>
      <c r="R83" s="3874"/>
      <c r="S83" s="3884"/>
      <c r="T83" s="3874"/>
      <c r="U83" s="3874"/>
      <c r="V83" s="3874"/>
      <c r="W83" s="3874"/>
      <c r="X83" s="3874"/>
      <c r="Y83" s="3874"/>
      <c r="Z83" s="1097"/>
      <c r="AA83" s="1098"/>
      <c r="AB83" s="1163" t="s">
        <v>1444</v>
      </c>
      <c r="AC83" s="1102"/>
      <c r="AD83" s="1102"/>
      <c r="AE83" s="1104"/>
      <c r="AF83" s="3876"/>
      <c r="AG83" s="3877"/>
      <c r="AH83" s="3877"/>
      <c r="AI83" s="3876"/>
      <c r="AJ83" s="3877"/>
      <c r="AK83" s="3877"/>
      <c r="AL83" s="1874"/>
      <c r="AM83" s="1714"/>
      <c r="AN83" s="1714"/>
      <c r="AO83" s="1714"/>
      <c r="AP83" s="1714"/>
      <c r="AQ83" s="1714"/>
      <c r="AR83" s="1714"/>
      <c r="AS83" s="1714"/>
      <c r="AT83" s="1714"/>
      <c r="AU83" s="1714"/>
      <c r="AV83" s="1714"/>
      <c r="AW83" s="1714"/>
      <c r="AX83" s="1714"/>
      <c r="AY83" s="1714"/>
      <c r="AZ83" s="1714"/>
      <c r="BA83" s="1714"/>
      <c r="BB83" s="1714"/>
      <c r="BC83" s="1714"/>
      <c r="BD83" s="1714"/>
      <c r="BE83" s="1714"/>
      <c r="BF83" s="1714"/>
    </row>
    <row r="84" spans="1:58" ht="11.25" customHeight="1">
      <c r="A84" s="1088" t="s">
        <v>1334</v>
      </c>
      <c r="D84" s="1082"/>
      <c r="E84" s="1092"/>
      <c r="F84" s="3895"/>
      <c r="G84" s="3875"/>
      <c r="H84" s="3885" t="s">
        <v>89</v>
      </c>
      <c r="I84" s="3886"/>
      <c r="J84" s="3883"/>
      <c r="K84" s="3887"/>
      <c r="L84" s="3599"/>
      <c r="M84" s="3600"/>
      <c r="N84" s="1097"/>
      <c r="O84" s="1098"/>
      <c r="P84" s="1090" t="s">
        <v>1445</v>
      </c>
      <c r="Q84" s="1098"/>
      <c r="R84" s="1098"/>
      <c r="S84" s="1098"/>
      <c r="T84" s="1098"/>
      <c r="U84" s="1098"/>
      <c r="V84" s="1098"/>
      <c r="W84" s="1098"/>
      <c r="X84" s="1098"/>
      <c r="Y84" s="1098"/>
      <c r="Z84" s="1098"/>
      <c r="AA84" s="1098"/>
      <c r="AB84" s="1098"/>
      <c r="AC84" s="1098"/>
      <c r="AD84" s="1098"/>
      <c r="AE84" s="1105"/>
      <c r="AF84" s="3876"/>
      <c r="AG84" s="3877"/>
      <c r="AH84" s="3877"/>
      <c r="AI84" s="3876"/>
      <c r="AJ84" s="3877"/>
      <c r="AK84" s="3877"/>
      <c r="AL84" s="1874"/>
      <c r="AM84" s="1714"/>
      <c r="AN84" s="1714"/>
      <c r="AO84" s="1714"/>
      <c r="AP84" s="1714"/>
      <c r="AQ84" s="1714"/>
      <c r="AR84" s="1714"/>
      <c r="AS84" s="1714"/>
      <c r="AT84" s="1714"/>
      <c r="AU84" s="1714"/>
      <c r="AV84" s="1714"/>
      <c r="AW84" s="1714"/>
      <c r="AX84" s="1714"/>
      <c r="AY84" s="1714"/>
      <c r="AZ84" s="1714"/>
      <c r="BA84" s="1714"/>
      <c r="BB84" s="1714"/>
      <c r="BC84" s="1714"/>
      <c r="BD84" s="1714"/>
      <c r="BE84" s="1714"/>
      <c r="BF84" s="1714"/>
    </row>
    <row r="85" spans="1:58" ht="12" customHeight="1">
      <c r="A85" s="1088" t="s">
        <v>1334</v>
      </c>
      <c r="D85" s="1082"/>
      <c r="E85" s="1092"/>
      <c r="F85" s="3896"/>
      <c r="G85" s="1112"/>
      <c r="H85" s="1112"/>
      <c r="I85" s="3893" t="s">
        <v>1451</v>
      </c>
      <c r="J85" s="3893"/>
      <c r="K85" s="3893"/>
      <c r="L85" s="1095"/>
      <c r="M85" s="1095"/>
      <c r="N85" s="1096"/>
      <c r="O85" s="1096"/>
      <c r="P85" s="1096"/>
      <c r="Q85" s="1096"/>
      <c r="R85" s="1096"/>
      <c r="S85" s="1096"/>
      <c r="T85" s="1096"/>
      <c r="U85" s="1096"/>
      <c r="V85" s="1096"/>
      <c r="W85" s="1096"/>
      <c r="X85" s="1096"/>
      <c r="Y85" s="1096"/>
      <c r="Z85" s="1096"/>
      <c r="AA85" s="1096"/>
      <c r="AB85" s="1096"/>
      <c r="AC85" s="1096"/>
      <c r="AD85" s="1096"/>
      <c r="AE85" s="1096"/>
      <c r="AF85" s="1096"/>
      <c r="AG85" s="1095"/>
      <c r="AH85" s="1095"/>
      <c r="AI85" s="1096"/>
      <c r="AJ85" s="1095"/>
      <c r="AK85" s="1096"/>
      <c r="AL85" s="1874"/>
      <c r="AM85" s="1714"/>
      <c r="AN85" s="1714"/>
      <c r="AO85" s="1714"/>
      <c r="AP85" s="1714"/>
      <c r="AQ85" s="1714"/>
      <c r="AR85" s="1714"/>
      <c r="AS85" s="1714"/>
      <c r="AT85" s="1714"/>
      <c r="AU85" s="1714"/>
      <c r="AV85" s="1714"/>
      <c r="AW85" s="1714"/>
      <c r="AX85" s="1714"/>
      <c r="AY85" s="1714"/>
      <c r="AZ85" s="1714"/>
      <c r="BA85" s="1714"/>
      <c r="BB85" s="1714"/>
      <c r="BC85" s="1714"/>
      <c r="BD85" s="1714"/>
      <c r="BE85" s="1714"/>
      <c r="BF85" s="1714"/>
    </row>
    <row r="86" spans="1:58" ht="0.75" customHeight="1">
      <c r="A86" s="1088" t="s">
        <v>1334</v>
      </c>
      <c r="D86" s="1082"/>
      <c r="E86" s="1092"/>
      <c r="F86" s="3894">
        <v>2024</v>
      </c>
      <c r="G86" s="3885"/>
      <c r="H86" s="3898" t="s">
        <v>421</v>
      </c>
      <c r="I86" s="3899"/>
      <c r="J86" s="3891"/>
      <c r="K86" s="3891"/>
      <c r="L86" s="3892"/>
      <c r="M86" s="3743"/>
      <c r="N86" s="1922"/>
      <c r="O86" s="1921"/>
      <c r="P86" s="1922"/>
      <c r="Q86" s="1922"/>
      <c r="R86" s="1922"/>
      <c r="S86" s="1922"/>
      <c r="T86" s="1922"/>
      <c r="U86" s="1922"/>
      <c r="V86" s="1922"/>
      <c r="W86" s="1922"/>
      <c r="X86" s="1922"/>
      <c r="Y86" s="1922"/>
      <c r="Z86" s="1922"/>
      <c r="AA86" s="1922"/>
      <c r="AB86" s="1922"/>
      <c r="AC86" s="1922"/>
      <c r="AD86" s="1922"/>
      <c r="AE86" s="1922"/>
      <c r="AF86" s="3897"/>
      <c r="AG86" s="3892"/>
      <c r="AH86" s="3892"/>
      <c r="AI86" s="3897"/>
      <c r="AJ86" s="3892"/>
      <c r="AK86" s="3892"/>
      <c r="AL86" s="1874"/>
      <c r="AM86" s="1714"/>
      <c r="AN86" s="1714"/>
      <c r="AO86" s="1714"/>
      <c r="AP86" s="1714"/>
      <c r="AQ86" s="1714"/>
      <c r="AR86" s="1714"/>
      <c r="AS86" s="1714"/>
      <c r="AT86" s="1714"/>
      <c r="AU86" s="1714"/>
      <c r="AV86" s="1714"/>
      <c r="AW86" s="1714"/>
      <c r="AX86" s="1714"/>
      <c r="AY86" s="1714"/>
      <c r="AZ86" s="1714"/>
      <c r="BA86" s="1714"/>
      <c r="BB86" s="1714"/>
      <c r="BC86" s="1714"/>
      <c r="BD86" s="1714"/>
      <c r="BE86" s="1714"/>
      <c r="BF86" s="1714"/>
    </row>
    <row r="87" spans="1:58" ht="0.75" customHeight="1">
      <c r="A87" s="1088" t="s">
        <v>1334</v>
      </c>
      <c r="D87" s="1082"/>
      <c r="E87" s="1092"/>
      <c r="F87" s="3894"/>
      <c r="G87" s="3885"/>
      <c r="H87" s="3898"/>
      <c r="I87" s="3899"/>
      <c r="J87" s="3891"/>
      <c r="K87" s="3891"/>
      <c r="L87" s="3892"/>
      <c r="M87" s="3743"/>
      <c r="N87" s="3900"/>
      <c r="O87" s="3901"/>
      <c r="P87" s="3888"/>
      <c r="Q87" s="3891"/>
      <c r="R87" s="3891"/>
      <c r="S87" s="3891"/>
      <c r="T87" s="3891"/>
      <c r="U87" s="3891"/>
      <c r="V87" s="3891"/>
      <c r="W87" s="3891"/>
      <c r="X87" s="3891"/>
      <c r="Y87" s="3891"/>
      <c r="Z87" s="1923"/>
      <c r="AA87" s="1924"/>
      <c r="AB87" s="1924"/>
      <c r="AC87" s="1925"/>
      <c r="AD87" s="1925"/>
      <c r="AE87" s="1926"/>
      <c r="AF87" s="3897"/>
      <c r="AG87" s="3892"/>
      <c r="AH87" s="3892"/>
      <c r="AI87" s="3897"/>
      <c r="AJ87" s="3892"/>
      <c r="AK87" s="3892"/>
      <c r="AL87" s="1874"/>
      <c r="AM87" s="1714"/>
      <c r="AN87" s="1714"/>
      <c r="AO87" s="1714"/>
      <c r="AP87" s="1714"/>
      <c r="AQ87" s="1714"/>
      <c r="AR87" s="1714"/>
      <c r="AS87" s="1714"/>
      <c r="AT87" s="1714"/>
      <c r="AU87" s="1714"/>
      <c r="AV87" s="1714"/>
      <c r="AW87" s="1714"/>
      <c r="AX87" s="1714"/>
      <c r="AY87" s="1714"/>
      <c r="AZ87" s="1714"/>
      <c r="BA87" s="1714"/>
      <c r="BB87" s="1714"/>
      <c r="BC87" s="1714"/>
      <c r="BD87" s="1714"/>
      <c r="BE87" s="1714"/>
      <c r="BF87" s="1714"/>
    </row>
    <row r="88" spans="1:58" ht="0.75" customHeight="1">
      <c r="A88" s="1088" t="s">
        <v>1334</v>
      </c>
      <c r="D88" s="1082"/>
      <c r="E88" s="1092"/>
      <c r="F88" s="3894"/>
      <c r="G88" s="3885"/>
      <c r="H88" s="3898"/>
      <c r="I88" s="3899"/>
      <c r="J88" s="3891"/>
      <c r="K88" s="3891"/>
      <c r="L88" s="3892"/>
      <c r="M88" s="3743"/>
      <c r="N88" s="3900"/>
      <c r="O88" s="3901"/>
      <c r="P88" s="3889"/>
      <c r="Q88" s="3891"/>
      <c r="R88" s="3891"/>
      <c r="S88" s="3891"/>
      <c r="T88" s="3891"/>
      <c r="U88" s="3891"/>
      <c r="V88" s="3891"/>
      <c r="W88" s="3891"/>
      <c r="X88" s="3891"/>
      <c r="Y88" s="3891"/>
      <c r="Z88" s="1927"/>
      <c r="AA88" s="1928"/>
      <c r="AB88" s="1929"/>
      <c r="AC88" s="1930"/>
      <c r="AD88" s="1929"/>
      <c r="AE88" s="1930"/>
      <c r="AF88" s="3897"/>
      <c r="AG88" s="3892"/>
      <c r="AH88" s="3892"/>
      <c r="AI88" s="3897"/>
      <c r="AJ88" s="3892"/>
      <c r="AK88" s="3892"/>
      <c r="AL88" s="1874"/>
      <c r="AM88" s="1714"/>
      <c r="AN88" s="1714"/>
      <c r="AO88" s="1714"/>
      <c r="AP88" s="1714"/>
      <c r="AQ88" s="1714"/>
      <c r="AR88" s="1714"/>
      <c r="AS88" s="1714"/>
      <c r="AT88" s="1714"/>
      <c r="AU88" s="1714"/>
      <c r="AV88" s="1714"/>
      <c r="AW88" s="1714"/>
      <c r="AX88" s="1714"/>
      <c r="AY88" s="1714"/>
      <c r="AZ88" s="1714"/>
      <c r="BA88" s="1714"/>
      <c r="BB88" s="1714"/>
      <c r="BC88" s="1714"/>
      <c r="BD88" s="1714"/>
      <c r="BE88" s="1714"/>
      <c r="BF88" s="1714"/>
    </row>
    <row r="89" spans="1:58" ht="0.75" customHeight="1">
      <c r="A89" s="1088" t="s">
        <v>1334</v>
      </c>
      <c r="D89" s="1082"/>
      <c r="E89" s="1092"/>
      <c r="F89" s="3894"/>
      <c r="G89" s="3885"/>
      <c r="H89" s="3898"/>
      <c r="I89" s="3899"/>
      <c r="J89" s="3891"/>
      <c r="K89" s="3891"/>
      <c r="L89" s="3892"/>
      <c r="M89" s="3743"/>
      <c r="N89" s="3900"/>
      <c r="O89" s="3901"/>
      <c r="P89" s="3890"/>
      <c r="Q89" s="3891"/>
      <c r="R89" s="3891"/>
      <c r="S89" s="3891"/>
      <c r="T89" s="3891"/>
      <c r="U89" s="3891"/>
      <c r="V89" s="3891"/>
      <c r="W89" s="3891"/>
      <c r="X89" s="3891"/>
      <c r="Y89" s="3891"/>
      <c r="Z89" s="1923"/>
      <c r="AA89" s="1924"/>
      <c r="AB89" s="1931"/>
      <c r="AC89" s="1925"/>
      <c r="AD89" s="1925"/>
      <c r="AE89" s="1932"/>
      <c r="AF89" s="3897"/>
      <c r="AG89" s="3892"/>
      <c r="AH89" s="3892"/>
      <c r="AI89" s="3897"/>
      <c r="AJ89" s="3892"/>
      <c r="AK89" s="3892"/>
      <c r="AL89" s="1874"/>
      <c r="AM89" s="1714"/>
      <c r="AN89" s="1714"/>
      <c r="AO89" s="1714"/>
      <c r="AP89" s="1714"/>
      <c r="AQ89" s="1714"/>
      <c r="AR89" s="1714"/>
      <c r="AS89" s="1714"/>
      <c r="AT89" s="1714"/>
      <c r="AU89" s="1714"/>
      <c r="AV89" s="1714"/>
      <c r="AW89" s="1714"/>
      <c r="AX89" s="1714"/>
      <c r="AY89" s="1714"/>
      <c r="AZ89" s="1714"/>
      <c r="BA89" s="1714"/>
      <c r="BB89" s="1714"/>
      <c r="BC89" s="1714"/>
      <c r="BD89" s="1714"/>
      <c r="BE89" s="1714"/>
      <c r="BF89" s="1714"/>
    </row>
    <row r="90" spans="1:58" ht="0.75" customHeight="1">
      <c r="A90" s="1088" t="s">
        <v>1334</v>
      </c>
      <c r="D90" s="1082"/>
      <c r="E90" s="1092"/>
      <c r="F90" s="3894"/>
      <c r="G90" s="3885"/>
      <c r="H90" s="3898"/>
      <c r="I90" s="3899"/>
      <c r="J90" s="3891"/>
      <c r="K90" s="3891"/>
      <c r="L90" s="3892"/>
      <c r="M90" s="3743"/>
      <c r="N90" s="1924"/>
      <c r="O90" s="1924"/>
      <c r="P90" s="1931"/>
      <c r="Q90" s="1924"/>
      <c r="R90" s="1924"/>
      <c r="S90" s="1924"/>
      <c r="T90" s="1924"/>
      <c r="U90" s="1924"/>
      <c r="V90" s="1924"/>
      <c r="W90" s="1924"/>
      <c r="X90" s="1924"/>
      <c r="Y90" s="1924"/>
      <c r="Z90" s="1924"/>
      <c r="AA90" s="1924"/>
      <c r="AB90" s="1924"/>
      <c r="AC90" s="1924"/>
      <c r="AD90" s="1924"/>
      <c r="AE90" s="1933"/>
      <c r="AF90" s="3897"/>
      <c r="AG90" s="3892"/>
      <c r="AH90" s="3892"/>
      <c r="AI90" s="3897"/>
      <c r="AJ90" s="3892"/>
      <c r="AK90" s="3892"/>
      <c r="AL90" s="1874"/>
      <c r="AM90" s="1714"/>
      <c r="AN90" s="1714"/>
      <c r="AO90" s="1714"/>
      <c r="AP90" s="1714"/>
      <c r="AQ90" s="1714"/>
      <c r="AR90" s="1714"/>
      <c r="AS90" s="1714"/>
      <c r="AT90" s="1714"/>
      <c r="AU90" s="1714"/>
      <c r="AV90" s="1714"/>
      <c r="AW90" s="1714"/>
      <c r="AX90" s="1714"/>
      <c r="AY90" s="1714"/>
      <c r="AZ90" s="1714"/>
      <c r="BA90" s="1714"/>
      <c r="BB90" s="1714"/>
      <c r="BC90" s="1714"/>
      <c r="BD90" s="1714"/>
      <c r="BE90" s="1714"/>
      <c r="BF90" s="1714"/>
    </row>
    <row r="91" spans="1:58" ht="11.25" customHeight="1">
      <c r="A91" s="1088" t="s">
        <v>1334</v>
      </c>
      <c r="D91" s="1082"/>
      <c r="E91" s="1092"/>
      <c r="F91" s="3895"/>
      <c r="G91" s="3853" t="s">
        <v>90</v>
      </c>
      <c r="H91" s="3885" t="s">
        <v>164</v>
      </c>
      <c r="I91" s="3886"/>
      <c r="J91" s="3883"/>
      <c r="K91" s="3887" t="s">
        <v>1446</v>
      </c>
      <c r="L91" s="3599" t="s">
        <v>6</v>
      </c>
      <c r="M91" s="3600"/>
      <c r="N91" s="1872"/>
      <c r="O91" s="1099" t="s">
        <v>421</v>
      </c>
      <c r="P91" s="1100"/>
      <c r="Q91" s="1100"/>
      <c r="R91" s="1100"/>
      <c r="S91" s="1100"/>
      <c r="T91" s="1100"/>
      <c r="U91" s="1100"/>
      <c r="V91" s="1100"/>
      <c r="W91" s="1100"/>
      <c r="X91" s="1100"/>
      <c r="Y91" s="1100"/>
      <c r="Z91" s="1100"/>
      <c r="AA91" s="1100"/>
      <c r="AB91" s="1100"/>
      <c r="AC91" s="1100"/>
      <c r="AD91" s="1100"/>
      <c r="AE91" s="1100"/>
      <c r="AF91" s="3876">
        <v>2023</v>
      </c>
      <c r="AG91" s="3877" t="s">
        <v>1447</v>
      </c>
      <c r="AH91" s="3877" t="s">
        <v>1448</v>
      </c>
      <c r="AI91" s="3876">
        <v>2023</v>
      </c>
      <c r="AJ91" s="3877" t="s">
        <v>1447</v>
      </c>
      <c r="AK91" s="3877" t="s">
        <v>1448</v>
      </c>
      <c r="AL91" s="1874"/>
      <c r="AM91" s="1714"/>
      <c r="AN91" s="1714"/>
      <c r="AO91" s="1714"/>
      <c r="AP91" s="1714"/>
      <c r="AQ91" s="1714"/>
      <c r="AR91" s="1714"/>
      <c r="AS91" s="1714"/>
      <c r="AT91" s="1714"/>
      <c r="AU91" s="1714"/>
      <c r="AV91" s="1714"/>
      <c r="AW91" s="1714"/>
      <c r="AX91" s="1714"/>
      <c r="AY91" s="1714"/>
      <c r="AZ91" s="1714"/>
      <c r="BA91" s="1714"/>
      <c r="BB91" s="1714"/>
      <c r="BC91" s="1714"/>
      <c r="BD91" s="1714"/>
      <c r="BE91" s="1714"/>
      <c r="BF91" s="1714"/>
    </row>
    <row r="92" spans="1:58" ht="11.25" customHeight="1">
      <c r="A92" s="1088" t="s">
        <v>1334</v>
      </c>
      <c r="D92" s="1082"/>
      <c r="E92" s="1092"/>
      <c r="F92" s="3895"/>
      <c r="G92" s="3875"/>
      <c r="H92" s="3885" t="s">
        <v>421</v>
      </c>
      <c r="I92" s="3886"/>
      <c r="J92" s="3883"/>
      <c r="K92" s="3887"/>
      <c r="L92" s="3599"/>
      <c r="M92" s="3600"/>
      <c r="N92" s="3878"/>
      <c r="O92" s="3879">
        <v>1</v>
      </c>
      <c r="P92" s="3880" t="s">
        <v>50</v>
      </c>
      <c r="Q92" s="3883" t="s">
        <v>1449</v>
      </c>
      <c r="R92" s="3884" t="s">
        <v>1438</v>
      </c>
      <c r="S92" s="3884" t="s">
        <v>151</v>
      </c>
      <c r="T92" s="3884" t="s">
        <v>151</v>
      </c>
      <c r="U92" s="3884" t="s">
        <v>152</v>
      </c>
      <c r="V92" s="3884" t="s">
        <v>1439</v>
      </c>
      <c r="W92" s="3884" t="s">
        <v>1440</v>
      </c>
      <c r="X92" s="3884" t="s">
        <v>1450</v>
      </c>
      <c r="Y92" s="3884" t="s">
        <v>1442</v>
      </c>
      <c r="Z92" s="1097"/>
      <c r="AA92" s="1098"/>
      <c r="AB92" s="1098"/>
      <c r="AC92" s="1102"/>
      <c r="AD92" s="1102"/>
      <c r="AE92" s="1103"/>
      <c r="AF92" s="3876"/>
      <c r="AG92" s="3877"/>
      <c r="AH92" s="3877"/>
      <c r="AI92" s="3876"/>
      <c r="AJ92" s="3877"/>
      <c r="AK92" s="3877"/>
      <c r="AL92" s="1874"/>
      <c r="AM92" s="1714"/>
      <c r="AN92" s="1714"/>
      <c r="AO92" s="1714"/>
      <c r="AP92" s="1714"/>
      <c r="AQ92" s="1714"/>
      <c r="AR92" s="1714"/>
      <c r="AS92" s="1714"/>
      <c r="AT92" s="1714"/>
      <c r="AU92" s="1714"/>
      <c r="AV92" s="1714"/>
      <c r="AW92" s="1714"/>
      <c r="AX92" s="1714"/>
      <c r="AY92" s="1714"/>
      <c r="AZ92" s="1714"/>
      <c r="BA92" s="1714"/>
      <c r="BB92" s="1714"/>
      <c r="BC92" s="1714"/>
      <c r="BD92" s="1714"/>
      <c r="BE92" s="1714"/>
      <c r="BF92" s="1714"/>
    </row>
    <row r="93" spans="1:58" ht="11.25" customHeight="1">
      <c r="A93" s="1088" t="s">
        <v>1334</v>
      </c>
      <c r="D93" s="1082"/>
      <c r="E93" s="1092"/>
      <c r="F93" s="3895"/>
      <c r="G93" s="3875"/>
      <c r="H93" s="3885" t="s">
        <v>421</v>
      </c>
      <c r="I93" s="3886"/>
      <c r="J93" s="3883"/>
      <c r="K93" s="3887"/>
      <c r="L93" s="3599"/>
      <c r="M93" s="3600"/>
      <c r="N93" s="3878"/>
      <c r="O93" s="3879"/>
      <c r="P93" s="3881"/>
      <c r="Q93" s="3883"/>
      <c r="R93" s="3874"/>
      <c r="S93" s="3884"/>
      <c r="T93" s="3874"/>
      <c r="U93" s="3874"/>
      <c r="V93" s="3874"/>
      <c r="W93" s="3874"/>
      <c r="X93" s="3874"/>
      <c r="Y93" s="3874"/>
      <c r="Z93" s="1719"/>
      <c r="AA93" s="1686">
        <v>1</v>
      </c>
      <c r="AB93" s="1101" t="s">
        <v>1453</v>
      </c>
      <c r="AC93" s="1091">
        <v>2959.51</v>
      </c>
      <c r="AD93" s="1101" t="str">
        <f>AB93</f>
        <v xml:space="preserve">      Амортизационные отчисления с выделением результатов переоценки основных средств и нематериальных активов</v>
      </c>
      <c r="AE93" s="1091">
        <v>0</v>
      </c>
      <c r="AF93" s="3876"/>
      <c r="AG93" s="3877"/>
      <c r="AH93" s="3877"/>
      <c r="AI93" s="3876"/>
      <c r="AJ93" s="3877"/>
      <c r="AK93" s="3877"/>
      <c r="AL93" s="1874"/>
      <c r="AM93" s="1714"/>
      <c r="AN93" s="1714"/>
      <c r="AO93" s="1714"/>
      <c r="AP93" s="1714"/>
      <c r="AQ93" s="1714"/>
      <c r="AR93" s="1714"/>
      <c r="AS93" s="1714"/>
      <c r="AT93" s="1714"/>
      <c r="AU93" s="1714"/>
      <c r="AV93" s="1714"/>
      <c r="AW93" s="1714"/>
      <c r="AX93" s="1714"/>
      <c r="AY93" s="1714"/>
      <c r="AZ93" s="1714"/>
      <c r="BA93" s="1714"/>
      <c r="BB93" s="1714"/>
      <c r="BC93" s="1714"/>
      <c r="BD93" s="1714"/>
      <c r="BE93" s="1714"/>
      <c r="BF93" s="1714"/>
    </row>
    <row r="94" spans="1:58" ht="11.25" customHeight="1">
      <c r="A94" s="1088" t="s">
        <v>1334</v>
      </c>
      <c r="D94" s="1082"/>
      <c r="E94" s="1092"/>
      <c r="F94" s="3875"/>
      <c r="G94" s="3875"/>
      <c r="H94" s="3875"/>
      <c r="I94" s="3875"/>
      <c r="J94" s="3875"/>
      <c r="K94" s="3875"/>
      <c r="L94" s="3875"/>
      <c r="M94" s="3875"/>
      <c r="N94" s="3875"/>
      <c r="O94" s="3875"/>
      <c r="P94" s="3875"/>
      <c r="Q94" s="3875"/>
      <c r="R94" s="3875"/>
      <c r="S94" s="3875"/>
      <c r="T94" s="3875"/>
      <c r="U94" s="3875"/>
      <c r="V94" s="3875"/>
      <c r="W94" s="3875"/>
      <c r="X94" s="3875"/>
      <c r="Y94" s="3875"/>
      <c r="Z94" s="617" t="s">
        <v>90</v>
      </c>
      <c r="AA94" s="1706" t="s">
        <v>89</v>
      </c>
      <c r="AB94" s="1101" t="s">
        <v>1443</v>
      </c>
      <c r="AC94" s="1091">
        <v>5435.55</v>
      </c>
      <c r="AD94" s="1101" t="str">
        <f>AB94</f>
        <v xml:space="preserve">  Прибыль направляемая на инвестиции</v>
      </c>
      <c r="AE94" s="1091">
        <v>0</v>
      </c>
      <c r="AF94" s="3902"/>
      <c r="AG94" s="3903"/>
      <c r="AH94" s="3903"/>
      <c r="AI94" s="3902"/>
      <c r="AJ94" s="3903"/>
      <c r="AK94" s="3904"/>
      <c r="AL94" s="1874"/>
      <c r="AM94" s="1714"/>
      <c r="AN94" s="1714"/>
      <c r="AO94" s="1714"/>
      <c r="AP94" s="1714"/>
      <c r="AQ94" s="1714"/>
      <c r="AR94" s="1714"/>
      <c r="AS94" s="1714"/>
      <c r="AT94" s="1714"/>
      <c r="AU94" s="1714"/>
      <c r="AV94" s="1714"/>
      <c r="AW94" s="1714"/>
      <c r="AX94" s="1714"/>
      <c r="AY94" s="1714"/>
      <c r="AZ94" s="1714"/>
      <c r="BA94" s="1714"/>
      <c r="BB94" s="1714"/>
      <c r="BC94" s="1714"/>
      <c r="BD94" s="1714"/>
      <c r="BE94" s="1714"/>
      <c r="BF94" s="1714"/>
    </row>
    <row r="95" spans="1:58" ht="11.25" customHeight="1">
      <c r="A95" s="1088" t="s">
        <v>1334</v>
      </c>
      <c r="D95" s="1082"/>
      <c r="E95" s="1092"/>
      <c r="F95" s="3895"/>
      <c r="G95" s="3875"/>
      <c r="H95" s="3885" t="s">
        <v>421</v>
      </c>
      <c r="I95" s="3886"/>
      <c r="J95" s="3883"/>
      <c r="K95" s="3887"/>
      <c r="L95" s="3599"/>
      <c r="M95" s="3600"/>
      <c r="N95" s="3878"/>
      <c r="O95" s="3879"/>
      <c r="P95" s="3882"/>
      <c r="Q95" s="3883"/>
      <c r="R95" s="3874"/>
      <c r="S95" s="3884"/>
      <c r="T95" s="3874"/>
      <c r="U95" s="3874"/>
      <c r="V95" s="3874"/>
      <c r="W95" s="3874"/>
      <c r="X95" s="3874"/>
      <c r="Y95" s="3874"/>
      <c r="Z95" s="1097"/>
      <c r="AA95" s="1098"/>
      <c r="AB95" s="1163" t="s">
        <v>1444</v>
      </c>
      <c r="AC95" s="1102"/>
      <c r="AD95" s="1102"/>
      <c r="AE95" s="1104"/>
      <c r="AF95" s="3876"/>
      <c r="AG95" s="3877"/>
      <c r="AH95" s="3877"/>
      <c r="AI95" s="3876"/>
      <c r="AJ95" s="3877"/>
      <c r="AK95" s="3877"/>
      <c r="AL95" s="1874"/>
      <c r="AM95" s="1714"/>
      <c r="AN95" s="1714"/>
      <c r="AO95" s="1714"/>
      <c r="AP95" s="1714"/>
      <c r="AQ95" s="1714"/>
      <c r="AR95" s="1714"/>
      <c r="AS95" s="1714"/>
      <c r="AT95" s="1714"/>
      <c r="AU95" s="1714"/>
      <c r="AV95" s="1714"/>
      <c r="AW95" s="1714"/>
      <c r="AX95" s="1714"/>
      <c r="AY95" s="1714"/>
      <c r="AZ95" s="1714"/>
      <c r="BA95" s="1714"/>
      <c r="BB95" s="1714"/>
      <c r="BC95" s="1714"/>
      <c r="BD95" s="1714"/>
      <c r="BE95" s="1714"/>
      <c r="BF95" s="1714"/>
    </row>
    <row r="96" spans="1:58" ht="11.25" customHeight="1">
      <c r="A96" s="1088" t="s">
        <v>1334</v>
      </c>
      <c r="D96" s="1082"/>
      <c r="E96" s="1092"/>
      <c r="F96" s="3895"/>
      <c r="G96" s="3875"/>
      <c r="H96" s="3885" t="s">
        <v>421</v>
      </c>
      <c r="I96" s="3886"/>
      <c r="J96" s="3883"/>
      <c r="K96" s="3887"/>
      <c r="L96" s="3599"/>
      <c r="M96" s="3600"/>
      <c r="N96" s="1097"/>
      <c r="O96" s="1098"/>
      <c r="P96" s="1090" t="s">
        <v>1445</v>
      </c>
      <c r="Q96" s="1098"/>
      <c r="R96" s="1098"/>
      <c r="S96" s="1098"/>
      <c r="T96" s="1098"/>
      <c r="U96" s="1098"/>
      <c r="V96" s="1098"/>
      <c r="W96" s="1098"/>
      <c r="X96" s="1098"/>
      <c r="Y96" s="1098"/>
      <c r="Z96" s="1098"/>
      <c r="AA96" s="1098"/>
      <c r="AB96" s="1098"/>
      <c r="AC96" s="1098"/>
      <c r="AD96" s="1098"/>
      <c r="AE96" s="1105"/>
      <c r="AF96" s="3876"/>
      <c r="AG96" s="3877"/>
      <c r="AH96" s="3877"/>
      <c r="AI96" s="3876"/>
      <c r="AJ96" s="3877"/>
      <c r="AK96" s="3877"/>
      <c r="AL96" s="1874"/>
      <c r="AM96" s="1714"/>
      <c r="AN96" s="1714"/>
      <c r="AO96" s="1714"/>
      <c r="AP96" s="1714"/>
      <c r="AQ96" s="1714"/>
      <c r="AR96" s="1714"/>
      <c r="AS96" s="1714"/>
      <c r="AT96" s="1714"/>
      <c r="AU96" s="1714"/>
      <c r="AV96" s="1714"/>
      <c r="AW96" s="1714"/>
      <c r="AX96" s="1714"/>
      <c r="AY96" s="1714"/>
      <c r="AZ96" s="1714"/>
      <c r="BA96" s="1714"/>
      <c r="BB96" s="1714"/>
      <c r="BC96" s="1714"/>
      <c r="BD96" s="1714"/>
      <c r="BE96" s="1714"/>
      <c r="BF96" s="1714"/>
    </row>
    <row r="97" spans="1:58" ht="11.25" customHeight="1">
      <c r="A97" s="1088" t="s">
        <v>1334</v>
      </c>
      <c r="D97" s="1082"/>
      <c r="E97" s="1092"/>
      <c r="F97" s="3895"/>
      <c r="G97" s="3853" t="s">
        <v>90</v>
      </c>
      <c r="H97" s="3885" t="s">
        <v>89</v>
      </c>
      <c r="I97" s="3886"/>
      <c r="J97" s="3883"/>
      <c r="K97" s="3887" t="s">
        <v>1454</v>
      </c>
      <c r="L97" s="3599" t="s">
        <v>6</v>
      </c>
      <c r="M97" s="3600"/>
      <c r="N97" s="1872"/>
      <c r="O97" s="1099" t="s">
        <v>421</v>
      </c>
      <c r="P97" s="1100"/>
      <c r="Q97" s="1100"/>
      <c r="R97" s="1100"/>
      <c r="S97" s="1100"/>
      <c r="T97" s="1100"/>
      <c r="U97" s="1100"/>
      <c r="V97" s="1100"/>
      <c r="W97" s="1100"/>
      <c r="X97" s="1100"/>
      <c r="Y97" s="1100"/>
      <c r="Z97" s="1100"/>
      <c r="AA97" s="1100"/>
      <c r="AB97" s="1100"/>
      <c r="AC97" s="1100"/>
      <c r="AD97" s="1100"/>
      <c r="AE97" s="1100"/>
      <c r="AF97" s="3876">
        <v>2026</v>
      </c>
      <c r="AG97" s="3877" t="s">
        <v>1447</v>
      </c>
      <c r="AH97" s="3877" t="s">
        <v>1455</v>
      </c>
      <c r="AI97" s="3876">
        <v>2026</v>
      </c>
      <c r="AJ97" s="3877" t="s">
        <v>1447</v>
      </c>
      <c r="AK97" s="3877" t="s">
        <v>1455</v>
      </c>
      <c r="AL97" s="1874"/>
      <c r="AM97" s="1714"/>
      <c r="AN97" s="1714"/>
      <c r="AO97" s="1714"/>
      <c r="AP97" s="1714"/>
      <c r="AQ97" s="1714"/>
      <c r="AR97" s="1714"/>
      <c r="AS97" s="1714"/>
      <c r="AT97" s="1714"/>
      <c r="AU97" s="1714"/>
      <c r="AV97" s="1714"/>
      <c r="AW97" s="1714"/>
      <c r="AX97" s="1714"/>
      <c r="AY97" s="1714"/>
      <c r="AZ97" s="1714"/>
      <c r="BA97" s="1714"/>
      <c r="BB97" s="1714"/>
      <c r="BC97" s="1714"/>
      <c r="BD97" s="1714"/>
      <c r="BE97" s="1714"/>
      <c r="BF97" s="1714"/>
    </row>
    <row r="98" spans="1:58" ht="11.25" customHeight="1">
      <c r="A98" s="1088" t="s">
        <v>1334</v>
      </c>
      <c r="D98" s="1082"/>
      <c r="E98" s="1092"/>
      <c r="F98" s="3895"/>
      <c r="G98" s="3875"/>
      <c r="H98" s="3885" t="s">
        <v>164</v>
      </c>
      <c r="I98" s="3886"/>
      <c r="J98" s="3883"/>
      <c r="K98" s="3887"/>
      <c r="L98" s="3599"/>
      <c r="M98" s="3600"/>
      <c r="N98" s="3878"/>
      <c r="O98" s="3879">
        <v>1</v>
      </c>
      <c r="P98" s="3880" t="s">
        <v>50</v>
      </c>
      <c r="Q98" s="3883" t="s">
        <v>1456</v>
      </c>
      <c r="R98" s="3884" t="s">
        <v>1457</v>
      </c>
      <c r="S98" s="3884" t="s">
        <v>151</v>
      </c>
      <c r="T98" s="3884" t="s">
        <v>151</v>
      </c>
      <c r="U98" s="3884" t="s">
        <v>152</v>
      </c>
      <c r="V98" s="3884" t="s">
        <v>1439</v>
      </c>
      <c r="W98" s="3884" t="s">
        <v>1440</v>
      </c>
      <c r="X98" s="3884" t="s">
        <v>1458</v>
      </c>
      <c r="Y98" s="3884" t="s">
        <v>1442</v>
      </c>
      <c r="Z98" s="1097"/>
      <c r="AA98" s="1098"/>
      <c r="AB98" s="1098"/>
      <c r="AC98" s="1102"/>
      <c r="AD98" s="1102"/>
      <c r="AE98" s="1103"/>
      <c r="AF98" s="3876"/>
      <c r="AG98" s="3877"/>
      <c r="AH98" s="3877"/>
      <c r="AI98" s="3876"/>
      <c r="AJ98" s="3877"/>
      <c r="AK98" s="3877"/>
      <c r="AL98" s="1874"/>
      <c r="AM98" s="1714"/>
      <c r="AN98" s="1714"/>
      <c r="AO98" s="1714"/>
      <c r="AP98" s="1714"/>
      <c r="AQ98" s="1714"/>
      <c r="AR98" s="1714"/>
      <c r="AS98" s="1714"/>
      <c r="AT98" s="1714"/>
      <c r="AU98" s="1714"/>
      <c r="AV98" s="1714"/>
      <c r="AW98" s="1714"/>
      <c r="AX98" s="1714"/>
      <c r="AY98" s="1714"/>
      <c r="AZ98" s="1714"/>
      <c r="BA98" s="1714"/>
      <c r="BB98" s="1714"/>
      <c r="BC98" s="1714"/>
      <c r="BD98" s="1714"/>
      <c r="BE98" s="1714"/>
      <c r="BF98" s="1714"/>
    </row>
    <row r="99" spans="1:58" ht="11.25" customHeight="1">
      <c r="A99" s="1088" t="s">
        <v>1334</v>
      </c>
      <c r="D99" s="1082"/>
      <c r="E99" s="1092"/>
      <c r="F99" s="3895"/>
      <c r="G99" s="3875"/>
      <c r="H99" s="3885" t="s">
        <v>164</v>
      </c>
      <c r="I99" s="3886"/>
      <c r="J99" s="3883"/>
      <c r="K99" s="3887"/>
      <c r="L99" s="3599"/>
      <c r="M99" s="3600"/>
      <c r="N99" s="3878"/>
      <c r="O99" s="3879"/>
      <c r="P99" s="3881"/>
      <c r="Q99" s="3883"/>
      <c r="R99" s="3874"/>
      <c r="S99" s="3884"/>
      <c r="T99" s="3874"/>
      <c r="U99" s="3874"/>
      <c r="V99" s="3874"/>
      <c r="W99" s="3874"/>
      <c r="X99" s="3874"/>
      <c r="Y99" s="3874"/>
      <c r="Z99" s="1719"/>
      <c r="AA99" s="1686">
        <v>1</v>
      </c>
      <c r="AB99" s="1101" t="s">
        <v>1443</v>
      </c>
      <c r="AC99" s="1091">
        <v>0</v>
      </c>
      <c r="AD99" s="1101" t="str">
        <f>AB99</f>
        <v xml:space="preserve">  Прибыль направляемая на инвестиции</v>
      </c>
      <c r="AE99" s="1091">
        <v>13909.48</v>
      </c>
      <c r="AF99" s="3876"/>
      <c r="AG99" s="3877"/>
      <c r="AH99" s="3877"/>
      <c r="AI99" s="3876"/>
      <c r="AJ99" s="3877"/>
      <c r="AK99" s="3877"/>
      <c r="AL99" s="1874"/>
      <c r="AM99" s="1714"/>
      <c r="AN99" s="1714"/>
      <c r="AO99" s="1714"/>
      <c r="AP99" s="1714"/>
      <c r="AQ99" s="1714"/>
      <c r="AR99" s="1714"/>
      <c r="AS99" s="1714"/>
      <c r="AT99" s="1714"/>
      <c r="AU99" s="1714"/>
      <c r="AV99" s="1714"/>
      <c r="AW99" s="1714"/>
      <c r="AX99" s="1714"/>
      <c r="AY99" s="1714"/>
      <c r="AZ99" s="1714"/>
      <c r="BA99" s="1714"/>
      <c r="BB99" s="1714"/>
      <c r="BC99" s="1714"/>
      <c r="BD99" s="1714"/>
      <c r="BE99" s="1714"/>
      <c r="BF99" s="1714"/>
    </row>
    <row r="100" spans="1:58" ht="11.25" customHeight="1">
      <c r="A100" s="1088" t="s">
        <v>1334</v>
      </c>
      <c r="D100" s="1082"/>
      <c r="E100" s="1092"/>
      <c r="F100" s="3895"/>
      <c r="G100" s="3875"/>
      <c r="H100" s="3885" t="s">
        <v>164</v>
      </c>
      <c r="I100" s="3886"/>
      <c r="J100" s="3883"/>
      <c r="K100" s="3887"/>
      <c r="L100" s="3599"/>
      <c r="M100" s="3600"/>
      <c r="N100" s="3878"/>
      <c r="O100" s="3879"/>
      <c r="P100" s="3882"/>
      <c r="Q100" s="3883"/>
      <c r="R100" s="3874"/>
      <c r="S100" s="3884"/>
      <c r="T100" s="3874"/>
      <c r="U100" s="3874"/>
      <c r="V100" s="3874"/>
      <c r="W100" s="3874"/>
      <c r="X100" s="3874"/>
      <c r="Y100" s="3874"/>
      <c r="Z100" s="1097"/>
      <c r="AA100" s="1098"/>
      <c r="AB100" s="1163" t="s">
        <v>1444</v>
      </c>
      <c r="AC100" s="1102"/>
      <c r="AD100" s="1102"/>
      <c r="AE100" s="1104"/>
      <c r="AF100" s="3876"/>
      <c r="AG100" s="3877"/>
      <c r="AH100" s="3877"/>
      <c r="AI100" s="3876"/>
      <c r="AJ100" s="3877"/>
      <c r="AK100" s="3877"/>
      <c r="AL100" s="1874"/>
      <c r="AM100" s="1714"/>
      <c r="AN100" s="1714"/>
      <c r="AO100" s="1714"/>
      <c r="AP100" s="1714"/>
      <c r="AQ100" s="1714"/>
      <c r="AR100" s="1714"/>
      <c r="AS100" s="1714"/>
      <c r="AT100" s="1714"/>
      <c r="AU100" s="1714"/>
      <c r="AV100" s="1714"/>
      <c r="AW100" s="1714"/>
      <c r="AX100" s="1714"/>
      <c r="AY100" s="1714"/>
      <c r="AZ100" s="1714"/>
      <c r="BA100" s="1714"/>
      <c r="BB100" s="1714"/>
      <c r="BC100" s="1714"/>
      <c r="BD100" s="1714"/>
      <c r="BE100" s="1714"/>
      <c r="BF100" s="1714"/>
    </row>
    <row r="101" spans="1:58" ht="11.25" customHeight="1">
      <c r="A101" s="1088" t="s">
        <v>1334</v>
      </c>
      <c r="D101" s="1082"/>
      <c r="E101" s="1092"/>
      <c r="F101" s="3895"/>
      <c r="G101" s="3875"/>
      <c r="H101" s="3885" t="s">
        <v>164</v>
      </c>
      <c r="I101" s="3886"/>
      <c r="J101" s="3883"/>
      <c r="K101" s="3887"/>
      <c r="L101" s="3599"/>
      <c r="M101" s="3600"/>
      <c r="N101" s="1097"/>
      <c r="O101" s="1098"/>
      <c r="P101" s="1090" t="s">
        <v>1445</v>
      </c>
      <c r="Q101" s="1098"/>
      <c r="R101" s="1098"/>
      <c r="S101" s="1098"/>
      <c r="T101" s="1098"/>
      <c r="U101" s="1098"/>
      <c r="V101" s="1098"/>
      <c r="W101" s="1098"/>
      <c r="X101" s="1098"/>
      <c r="Y101" s="1098"/>
      <c r="Z101" s="1098"/>
      <c r="AA101" s="1098"/>
      <c r="AB101" s="1098"/>
      <c r="AC101" s="1098"/>
      <c r="AD101" s="1098"/>
      <c r="AE101" s="1105"/>
      <c r="AF101" s="3876"/>
      <c r="AG101" s="3877"/>
      <c r="AH101" s="3877"/>
      <c r="AI101" s="3876"/>
      <c r="AJ101" s="3877"/>
      <c r="AK101" s="3877"/>
      <c r="AL101" s="1874"/>
      <c r="AM101" s="1714"/>
      <c r="AN101" s="1714"/>
      <c r="AO101" s="1714"/>
      <c r="AP101" s="1714"/>
      <c r="AQ101" s="1714"/>
      <c r="AR101" s="1714"/>
      <c r="AS101" s="1714"/>
      <c r="AT101" s="1714"/>
      <c r="AU101" s="1714"/>
      <c r="AV101" s="1714"/>
      <c r="AW101" s="1714"/>
      <c r="AX101" s="1714"/>
      <c r="AY101" s="1714"/>
      <c r="AZ101" s="1714"/>
      <c r="BA101" s="1714"/>
      <c r="BB101" s="1714"/>
      <c r="BC101" s="1714"/>
      <c r="BD101" s="1714"/>
      <c r="BE101" s="1714"/>
      <c r="BF101" s="1714"/>
    </row>
    <row r="102" spans="1:58" ht="12" customHeight="1">
      <c r="A102" s="1088" t="s">
        <v>1334</v>
      </c>
      <c r="D102" s="1082"/>
      <c r="E102" s="1092"/>
      <c r="F102" s="3896"/>
      <c r="G102" s="1112"/>
      <c r="H102" s="1112"/>
      <c r="I102" s="3893" t="s">
        <v>1451</v>
      </c>
      <c r="J102" s="3893"/>
      <c r="K102" s="3893"/>
      <c r="L102" s="1095"/>
      <c r="M102" s="1095"/>
      <c r="N102" s="1096"/>
      <c r="O102" s="1096"/>
      <c r="P102" s="1096"/>
      <c r="Q102" s="1096"/>
      <c r="R102" s="1096"/>
      <c r="S102" s="1096"/>
      <c r="T102" s="1096"/>
      <c r="U102" s="1096"/>
      <c r="V102" s="1096"/>
      <c r="W102" s="1096"/>
      <c r="X102" s="1096"/>
      <c r="Y102" s="1096"/>
      <c r="Z102" s="1096"/>
      <c r="AA102" s="1096"/>
      <c r="AB102" s="1096"/>
      <c r="AC102" s="1096"/>
      <c r="AD102" s="1096"/>
      <c r="AE102" s="1096"/>
      <c r="AF102" s="1096"/>
      <c r="AG102" s="1095"/>
      <c r="AH102" s="1095"/>
      <c r="AI102" s="1096"/>
      <c r="AJ102" s="1095"/>
      <c r="AK102" s="1096"/>
      <c r="AL102" s="1874"/>
      <c r="AM102" s="1714"/>
      <c r="AN102" s="1714"/>
      <c r="AO102" s="1714"/>
      <c r="AP102" s="1714"/>
      <c r="AQ102" s="1714"/>
      <c r="AR102" s="1714"/>
      <c r="AS102" s="1714"/>
      <c r="AT102" s="1714"/>
      <c r="AU102" s="1714"/>
      <c r="AV102" s="1714"/>
      <c r="AW102" s="1714"/>
      <c r="AX102" s="1714"/>
      <c r="AY102" s="1714"/>
      <c r="AZ102" s="1714"/>
      <c r="BA102" s="1714"/>
      <c r="BB102" s="1714"/>
      <c r="BC102" s="1714"/>
      <c r="BD102" s="1714"/>
      <c r="BE102" s="1714"/>
      <c r="BF102" s="1714"/>
    </row>
    <row r="103" spans="1:58" ht="0.75" customHeight="1">
      <c r="A103" s="1088" t="s">
        <v>1334</v>
      </c>
      <c r="D103" s="1082"/>
      <c r="E103" s="1092"/>
      <c r="F103" s="3894">
        <v>2025</v>
      </c>
      <c r="G103" s="3885"/>
      <c r="H103" s="3898" t="s">
        <v>421</v>
      </c>
      <c r="I103" s="3899"/>
      <c r="J103" s="3891"/>
      <c r="K103" s="3891"/>
      <c r="L103" s="3892"/>
      <c r="M103" s="3743"/>
      <c r="N103" s="1922"/>
      <c r="O103" s="1921"/>
      <c r="P103" s="1922"/>
      <c r="Q103" s="1922"/>
      <c r="R103" s="1922"/>
      <c r="S103" s="1922"/>
      <c r="T103" s="1922"/>
      <c r="U103" s="1922"/>
      <c r="V103" s="1922"/>
      <c r="W103" s="1922"/>
      <c r="X103" s="1922"/>
      <c r="Y103" s="1922"/>
      <c r="Z103" s="1922"/>
      <c r="AA103" s="1922"/>
      <c r="AB103" s="1922"/>
      <c r="AC103" s="1922"/>
      <c r="AD103" s="1922"/>
      <c r="AE103" s="1922"/>
      <c r="AF103" s="3897"/>
      <c r="AG103" s="3892"/>
      <c r="AH103" s="3892"/>
      <c r="AI103" s="3897"/>
      <c r="AJ103" s="3892"/>
      <c r="AK103" s="3892"/>
      <c r="AL103" s="1874"/>
      <c r="AM103" s="1714"/>
      <c r="AN103" s="1714"/>
      <c r="AO103" s="1714"/>
      <c r="AP103" s="1714"/>
      <c r="AQ103" s="1714"/>
      <c r="AR103" s="1714"/>
      <c r="AS103" s="1714"/>
      <c r="AT103" s="1714"/>
      <c r="AU103" s="1714"/>
      <c r="AV103" s="1714"/>
      <c r="AW103" s="1714"/>
      <c r="AX103" s="1714"/>
      <c r="AY103" s="1714"/>
      <c r="AZ103" s="1714"/>
      <c r="BA103" s="1714"/>
      <c r="BB103" s="1714"/>
      <c r="BC103" s="1714"/>
      <c r="BD103" s="1714"/>
      <c r="BE103" s="1714"/>
      <c r="BF103" s="1714"/>
    </row>
    <row r="104" spans="1:58" ht="0.75" customHeight="1">
      <c r="A104" s="1088" t="s">
        <v>1334</v>
      </c>
      <c r="D104" s="1082"/>
      <c r="E104" s="1092"/>
      <c r="F104" s="3894"/>
      <c r="G104" s="3885"/>
      <c r="H104" s="3898"/>
      <c r="I104" s="3899"/>
      <c r="J104" s="3891"/>
      <c r="K104" s="3891"/>
      <c r="L104" s="3892"/>
      <c r="M104" s="3743"/>
      <c r="N104" s="3900"/>
      <c r="O104" s="3901"/>
      <c r="P104" s="3888"/>
      <c r="Q104" s="3891"/>
      <c r="R104" s="3891"/>
      <c r="S104" s="3891"/>
      <c r="T104" s="3891"/>
      <c r="U104" s="3891"/>
      <c r="V104" s="3891"/>
      <c r="W104" s="3891"/>
      <c r="X104" s="3891"/>
      <c r="Y104" s="3891"/>
      <c r="Z104" s="1923"/>
      <c r="AA104" s="1924"/>
      <c r="AB104" s="1924"/>
      <c r="AC104" s="1925"/>
      <c r="AD104" s="1925"/>
      <c r="AE104" s="1926"/>
      <c r="AF104" s="3897"/>
      <c r="AG104" s="3892"/>
      <c r="AH104" s="3892"/>
      <c r="AI104" s="3897"/>
      <c r="AJ104" s="3892"/>
      <c r="AK104" s="3892"/>
      <c r="AL104" s="1874"/>
      <c r="AM104" s="1714"/>
      <c r="AN104" s="1714"/>
      <c r="AO104" s="1714"/>
      <c r="AP104" s="1714"/>
      <c r="AQ104" s="1714"/>
      <c r="AR104" s="1714"/>
      <c r="AS104" s="1714"/>
      <c r="AT104" s="1714"/>
      <c r="AU104" s="1714"/>
      <c r="AV104" s="1714"/>
      <c r="AW104" s="1714"/>
      <c r="AX104" s="1714"/>
      <c r="AY104" s="1714"/>
      <c r="AZ104" s="1714"/>
      <c r="BA104" s="1714"/>
      <c r="BB104" s="1714"/>
      <c r="BC104" s="1714"/>
      <c r="BD104" s="1714"/>
      <c r="BE104" s="1714"/>
      <c r="BF104" s="1714"/>
    </row>
    <row r="105" spans="1:58" ht="0.75" customHeight="1">
      <c r="A105" s="1088" t="s">
        <v>1334</v>
      </c>
      <c r="D105" s="1082"/>
      <c r="E105" s="1092"/>
      <c r="F105" s="3894"/>
      <c r="G105" s="3885"/>
      <c r="H105" s="3898"/>
      <c r="I105" s="3899"/>
      <c r="J105" s="3891"/>
      <c r="K105" s="3891"/>
      <c r="L105" s="3892"/>
      <c r="M105" s="3743"/>
      <c r="N105" s="3900"/>
      <c r="O105" s="3901"/>
      <c r="P105" s="3889"/>
      <c r="Q105" s="3891"/>
      <c r="R105" s="3891"/>
      <c r="S105" s="3891"/>
      <c r="T105" s="3891"/>
      <c r="U105" s="3891"/>
      <c r="V105" s="3891"/>
      <c r="W105" s="3891"/>
      <c r="X105" s="3891"/>
      <c r="Y105" s="3891"/>
      <c r="Z105" s="1927"/>
      <c r="AA105" s="1928"/>
      <c r="AB105" s="1929"/>
      <c r="AC105" s="1930"/>
      <c r="AD105" s="1929"/>
      <c r="AE105" s="1930"/>
      <c r="AF105" s="3897"/>
      <c r="AG105" s="3892"/>
      <c r="AH105" s="3892"/>
      <c r="AI105" s="3897"/>
      <c r="AJ105" s="3892"/>
      <c r="AK105" s="3892"/>
      <c r="AL105" s="1874"/>
      <c r="AM105" s="1714"/>
      <c r="AN105" s="1714"/>
      <c r="AO105" s="1714"/>
      <c r="AP105" s="1714"/>
      <c r="AQ105" s="1714"/>
      <c r="AR105" s="1714"/>
      <c r="AS105" s="1714"/>
      <c r="AT105" s="1714"/>
      <c r="AU105" s="1714"/>
      <c r="AV105" s="1714"/>
      <c r="AW105" s="1714"/>
      <c r="AX105" s="1714"/>
      <c r="AY105" s="1714"/>
      <c r="AZ105" s="1714"/>
      <c r="BA105" s="1714"/>
      <c r="BB105" s="1714"/>
      <c r="BC105" s="1714"/>
      <c r="BD105" s="1714"/>
      <c r="BE105" s="1714"/>
      <c r="BF105" s="1714"/>
    </row>
    <row r="106" spans="1:58" ht="0.75" customHeight="1">
      <c r="A106" s="1088" t="s">
        <v>1334</v>
      </c>
      <c r="D106" s="1082"/>
      <c r="E106" s="1092"/>
      <c r="F106" s="3894"/>
      <c r="G106" s="3885"/>
      <c r="H106" s="3898"/>
      <c r="I106" s="3899"/>
      <c r="J106" s="3891"/>
      <c r="K106" s="3891"/>
      <c r="L106" s="3892"/>
      <c r="M106" s="3743"/>
      <c r="N106" s="3900"/>
      <c r="O106" s="3901"/>
      <c r="P106" s="3890"/>
      <c r="Q106" s="3891"/>
      <c r="R106" s="3891"/>
      <c r="S106" s="3891"/>
      <c r="T106" s="3891"/>
      <c r="U106" s="3891"/>
      <c r="V106" s="3891"/>
      <c r="W106" s="3891"/>
      <c r="X106" s="3891"/>
      <c r="Y106" s="3891"/>
      <c r="Z106" s="1923"/>
      <c r="AA106" s="1924"/>
      <c r="AB106" s="1931"/>
      <c r="AC106" s="1925"/>
      <c r="AD106" s="1925"/>
      <c r="AE106" s="1932"/>
      <c r="AF106" s="3897"/>
      <c r="AG106" s="3892"/>
      <c r="AH106" s="3892"/>
      <c r="AI106" s="3897"/>
      <c r="AJ106" s="3892"/>
      <c r="AK106" s="3892"/>
      <c r="AL106" s="1874"/>
      <c r="AM106" s="1714"/>
      <c r="AN106" s="1714"/>
      <c r="AO106" s="1714"/>
      <c r="AP106" s="1714"/>
      <c r="AQ106" s="1714"/>
      <c r="AR106" s="1714"/>
      <c r="AS106" s="1714"/>
      <c r="AT106" s="1714"/>
      <c r="AU106" s="1714"/>
      <c r="AV106" s="1714"/>
      <c r="AW106" s="1714"/>
      <c r="AX106" s="1714"/>
      <c r="AY106" s="1714"/>
      <c r="AZ106" s="1714"/>
      <c r="BA106" s="1714"/>
      <c r="BB106" s="1714"/>
      <c r="BC106" s="1714"/>
      <c r="BD106" s="1714"/>
      <c r="BE106" s="1714"/>
      <c r="BF106" s="1714"/>
    </row>
    <row r="107" spans="1:58" ht="0.75" customHeight="1">
      <c r="A107" s="1088" t="s">
        <v>1334</v>
      </c>
      <c r="D107" s="1082"/>
      <c r="E107" s="1092"/>
      <c r="F107" s="3894"/>
      <c r="G107" s="3885"/>
      <c r="H107" s="3898"/>
      <c r="I107" s="3899"/>
      <c r="J107" s="3891"/>
      <c r="K107" s="3891"/>
      <c r="L107" s="3892"/>
      <c r="M107" s="3743"/>
      <c r="N107" s="1924"/>
      <c r="O107" s="1924"/>
      <c r="P107" s="1931"/>
      <c r="Q107" s="1924"/>
      <c r="R107" s="1924"/>
      <c r="S107" s="1924"/>
      <c r="T107" s="1924"/>
      <c r="U107" s="1924"/>
      <c r="V107" s="1924"/>
      <c r="W107" s="1924"/>
      <c r="X107" s="1924"/>
      <c r="Y107" s="1924"/>
      <c r="Z107" s="1924"/>
      <c r="AA107" s="1924"/>
      <c r="AB107" s="1924"/>
      <c r="AC107" s="1924"/>
      <c r="AD107" s="1924"/>
      <c r="AE107" s="1933"/>
      <c r="AF107" s="3897"/>
      <c r="AG107" s="3892"/>
      <c r="AH107" s="3892"/>
      <c r="AI107" s="3897"/>
      <c r="AJ107" s="3892"/>
      <c r="AK107" s="3892"/>
      <c r="AL107" s="1874"/>
      <c r="AM107" s="1714"/>
      <c r="AN107" s="1714"/>
      <c r="AO107" s="1714"/>
      <c r="AP107" s="1714"/>
      <c r="AQ107" s="1714"/>
      <c r="AR107" s="1714"/>
      <c r="AS107" s="1714"/>
      <c r="AT107" s="1714"/>
      <c r="AU107" s="1714"/>
      <c r="AV107" s="1714"/>
      <c r="AW107" s="1714"/>
      <c r="AX107" s="1714"/>
      <c r="AY107" s="1714"/>
      <c r="AZ107" s="1714"/>
      <c r="BA107" s="1714"/>
      <c r="BB107" s="1714"/>
      <c r="BC107" s="1714"/>
      <c r="BD107" s="1714"/>
      <c r="BE107" s="1714"/>
      <c r="BF107" s="1714"/>
    </row>
    <row r="108" spans="1:58" ht="11.25" customHeight="1">
      <c r="A108" s="1088" t="s">
        <v>1334</v>
      </c>
      <c r="D108" s="1082"/>
      <c r="E108" s="1092"/>
      <c r="F108" s="3895"/>
      <c r="G108" s="3853" t="s">
        <v>90</v>
      </c>
      <c r="H108" s="3885" t="s">
        <v>164</v>
      </c>
      <c r="I108" s="3886"/>
      <c r="J108" s="3883"/>
      <c r="K108" s="3887" t="s">
        <v>1446</v>
      </c>
      <c r="L108" s="3599" t="s">
        <v>6</v>
      </c>
      <c r="M108" s="3600"/>
      <c r="N108" s="1872"/>
      <c r="O108" s="1099" t="s">
        <v>421</v>
      </c>
      <c r="P108" s="1100"/>
      <c r="Q108" s="1100"/>
      <c r="R108" s="1100"/>
      <c r="S108" s="1100"/>
      <c r="T108" s="1100"/>
      <c r="U108" s="1100"/>
      <c r="V108" s="1100"/>
      <c r="W108" s="1100"/>
      <c r="X108" s="1100"/>
      <c r="Y108" s="1100"/>
      <c r="Z108" s="1100"/>
      <c r="AA108" s="1100"/>
      <c r="AB108" s="1100"/>
      <c r="AC108" s="1100"/>
      <c r="AD108" s="1100"/>
      <c r="AE108" s="1100"/>
      <c r="AF108" s="3876">
        <v>2023</v>
      </c>
      <c r="AG108" s="3877" t="s">
        <v>1447</v>
      </c>
      <c r="AH108" s="3877" t="s">
        <v>1448</v>
      </c>
      <c r="AI108" s="3876">
        <v>2023</v>
      </c>
      <c r="AJ108" s="3877" t="s">
        <v>1447</v>
      </c>
      <c r="AK108" s="3877" t="s">
        <v>1448</v>
      </c>
      <c r="AL108" s="1874"/>
      <c r="AM108" s="1714"/>
      <c r="AN108" s="1714"/>
      <c r="AO108" s="1714"/>
      <c r="AP108" s="1714"/>
      <c r="AQ108" s="1714"/>
      <c r="AR108" s="1714"/>
      <c r="AS108" s="1714"/>
      <c r="AT108" s="1714"/>
      <c r="AU108" s="1714"/>
      <c r="AV108" s="1714"/>
      <c r="AW108" s="1714"/>
      <c r="AX108" s="1714"/>
      <c r="AY108" s="1714"/>
      <c r="AZ108" s="1714"/>
      <c r="BA108" s="1714"/>
      <c r="BB108" s="1714"/>
      <c r="BC108" s="1714"/>
      <c r="BD108" s="1714"/>
      <c r="BE108" s="1714"/>
      <c r="BF108" s="1714"/>
    </row>
    <row r="109" spans="1:58" ht="11.25" customHeight="1">
      <c r="A109" s="1088" t="s">
        <v>1334</v>
      </c>
      <c r="D109" s="1082"/>
      <c r="E109" s="1092"/>
      <c r="F109" s="3895"/>
      <c r="G109" s="3875"/>
      <c r="H109" s="3885" t="s">
        <v>421</v>
      </c>
      <c r="I109" s="3886"/>
      <c r="J109" s="3883"/>
      <c r="K109" s="3887"/>
      <c r="L109" s="3599"/>
      <c r="M109" s="3600"/>
      <c r="N109" s="3878"/>
      <c r="O109" s="3879">
        <v>1</v>
      </c>
      <c r="P109" s="3880" t="s">
        <v>50</v>
      </c>
      <c r="Q109" s="3883" t="s">
        <v>1449</v>
      </c>
      <c r="R109" s="3884" t="s">
        <v>1438</v>
      </c>
      <c r="S109" s="3884" t="s">
        <v>151</v>
      </c>
      <c r="T109" s="3884" t="s">
        <v>151</v>
      </c>
      <c r="U109" s="3884" t="s">
        <v>152</v>
      </c>
      <c r="V109" s="3884" t="s">
        <v>1439</v>
      </c>
      <c r="W109" s="3884" t="s">
        <v>1440</v>
      </c>
      <c r="X109" s="3884" t="s">
        <v>1450</v>
      </c>
      <c r="Y109" s="3884" t="s">
        <v>1442</v>
      </c>
      <c r="Z109" s="1097"/>
      <c r="AA109" s="1098"/>
      <c r="AB109" s="1098"/>
      <c r="AC109" s="1102"/>
      <c r="AD109" s="1102"/>
      <c r="AE109" s="1103"/>
      <c r="AF109" s="3876"/>
      <c r="AG109" s="3877"/>
      <c r="AH109" s="3877"/>
      <c r="AI109" s="3876"/>
      <c r="AJ109" s="3877"/>
      <c r="AK109" s="3877"/>
      <c r="AL109" s="1874"/>
      <c r="AM109" s="1714"/>
      <c r="AN109" s="1714"/>
      <c r="AO109" s="1714"/>
      <c r="AP109" s="1714"/>
      <c r="AQ109" s="1714"/>
      <c r="AR109" s="1714"/>
      <c r="AS109" s="1714"/>
      <c r="AT109" s="1714"/>
      <c r="AU109" s="1714"/>
      <c r="AV109" s="1714"/>
      <c r="AW109" s="1714"/>
      <c r="AX109" s="1714"/>
      <c r="AY109" s="1714"/>
      <c r="AZ109" s="1714"/>
      <c r="BA109" s="1714"/>
      <c r="BB109" s="1714"/>
      <c r="BC109" s="1714"/>
      <c r="BD109" s="1714"/>
      <c r="BE109" s="1714"/>
      <c r="BF109" s="1714"/>
    </row>
    <row r="110" spans="1:58" ht="11.25" customHeight="1">
      <c r="A110" s="1088" t="s">
        <v>1334</v>
      </c>
      <c r="D110" s="1082"/>
      <c r="E110" s="1092"/>
      <c r="F110" s="3895"/>
      <c r="G110" s="3875"/>
      <c r="H110" s="3885" t="s">
        <v>421</v>
      </c>
      <c r="I110" s="3886"/>
      <c r="J110" s="3883"/>
      <c r="K110" s="3887"/>
      <c r="L110" s="3599"/>
      <c r="M110" s="3600"/>
      <c r="N110" s="3878"/>
      <c r="O110" s="3879"/>
      <c r="P110" s="3881"/>
      <c r="Q110" s="3883"/>
      <c r="R110" s="3874"/>
      <c r="S110" s="3884"/>
      <c r="T110" s="3874"/>
      <c r="U110" s="3874"/>
      <c r="V110" s="3874"/>
      <c r="W110" s="3874"/>
      <c r="X110" s="3874"/>
      <c r="Y110" s="3874"/>
      <c r="Z110" s="1719"/>
      <c r="AA110" s="1686">
        <v>1</v>
      </c>
      <c r="AB110" s="1101" t="s">
        <v>1453</v>
      </c>
      <c r="AC110" s="1091">
        <v>3865.9</v>
      </c>
      <c r="AD110" s="1101" t="str">
        <f>AB110</f>
        <v xml:space="preserve">      Амортизационные отчисления с выделением результатов переоценки основных средств и нематериальных активов</v>
      </c>
      <c r="AE110" s="1091">
        <v>0</v>
      </c>
      <c r="AF110" s="3876"/>
      <c r="AG110" s="3877"/>
      <c r="AH110" s="3877"/>
      <c r="AI110" s="3876"/>
      <c r="AJ110" s="3877"/>
      <c r="AK110" s="3877"/>
      <c r="AL110" s="1874"/>
      <c r="AM110" s="1714"/>
      <c r="AN110" s="1714"/>
      <c r="AO110" s="1714"/>
      <c r="AP110" s="1714"/>
      <c r="AQ110" s="1714"/>
      <c r="AR110" s="1714"/>
      <c r="AS110" s="1714"/>
      <c r="AT110" s="1714"/>
      <c r="AU110" s="1714"/>
      <c r="AV110" s="1714"/>
      <c r="AW110" s="1714"/>
      <c r="AX110" s="1714"/>
      <c r="AY110" s="1714"/>
      <c r="AZ110" s="1714"/>
      <c r="BA110" s="1714"/>
      <c r="BB110" s="1714"/>
      <c r="BC110" s="1714"/>
      <c r="BD110" s="1714"/>
      <c r="BE110" s="1714"/>
      <c r="BF110" s="1714"/>
    </row>
    <row r="111" spans="1:58" ht="11.25" customHeight="1">
      <c r="A111" s="1088" t="s">
        <v>1334</v>
      </c>
      <c r="D111" s="1082"/>
      <c r="E111" s="1092"/>
      <c r="F111" s="3875"/>
      <c r="G111" s="3875"/>
      <c r="H111" s="3875"/>
      <c r="I111" s="3875"/>
      <c r="J111" s="3875"/>
      <c r="K111" s="3875"/>
      <c r="L111" s="3875"/>
      <c r="M111" s="3875"/>
      <c r="N111" s="3875"/>
      <c r="O111" s="3875"/>
      <c r="P111" s="3875"/>
      <c r="Q111" s="3875"/>
      <c r="R111" s="3875"/>
      <c r="S111" s="3875"/>
      <c r="T111" s="3875"/>
      <c r="U111" s="3875"/>
      <c r="V111" s="3875"/>
      <c r="W111" s="3875"/>
      <c r="X111" s="3875"/>
      <c r="Y111" s="3875"/>
      <c r="Z111" s="617" t="s">
        <v>90</v>
      </c>
      <c r="AA111" s="1706" t="s">
        <v>89</v>
      </c>
      <c r="AB111" s="1101" t="s">
        <v>1443</v>
      </c>
      <c r="AC111" s="1091">
        <v>2198.0300000000002</v>
      </c>
      <c r="AD111" s="1101" t="str">
        <f>AB111</f>
        <v xml:space="preserve">  Прибыль направляемая на инвестиции</v>
      </c>
      <c r="AE111" s="1091">
        <v>0</v>
      </c>
      <c r="AF111" s="3902"/>
      <c r="AG111" s="3903"/>
      <c r="AH111" s="3903"/>
      <c r="AI111" s="3902"/>
      <c r="AJ111" s="3903"/>
      <c r="AK111" s="3904"/>
      <c r="AL111" s="1874"/>
      <c r="AM111" s="1714"/>
      <c r="AN111" s="1714"/>
      <c r="AO111" s="1714"/>
      <c r="AP111" s="1714"/>
      <c r="AQ111" s="1714"/>
      <c r="AR111" s="1714"/>
      <c r="AS111" s="1714"/>
      <c r="AT111" s="1714"/>
      <c r="AU111" s="1714"/>
      <c r="AV111" s="1714"/>
      <c r="AW111" s="1714"/>
      <c r="AX111" s="1714"/>
      <c r="AY111" s="1714"/>
      <c r="AZ111" s="1714"/>
      <c r="BA111" s="1714"/>
      <c r="BB111" s="1714"/>
      <c r="BC111" s="1714"/>
      <c r="BD111" s="1714"/>
      <c r="BE111" s="1714"/>
      <c r="BF111" s="1714"/>
    </row>
    <row r="112" spans="1:58" ht="11.25" customHeight="1">
      <c r="A112" s="1088" t="s">
        <v>1334</v>
      </c>
      <c r="D112" s="1082"/>
      <c r="E112" s="1092"/>
      <c r="F112" s="3895"/>
      <c r="G112" s="3875"/>
      <c r="H112" s="3885" t="s">
        <v>421</v>
      </c>
      <c r="I112" s="3886"/>
      <c r="J112" s="3883"/>
      <c r="K112" s="3887"/>
      <c r="L112" s="3599"/>
      <c r="M112" s="3600"/>
      <c r="N112" s="3878"/>
      <c r="O112" s="3879"/>
      <c r="P112" s="3882"/>
      <c r="Q112" s="3883"/>
      <c r="R112" s="3874"/>
      <c r="S112" s="3884"/>
      <c r="T112" s="3874"/>
      <c r="U112" s="3874"/>
      <c r="V112" s="3874"/>
      <c r="W112" s="3874"/>
      <c r="X112" s="3874"/>
      <c r="Y112" s="3874"/>
      <c r="Z112" s="1097"/>
      <c r="AA112" s="1098"/>
      <c r="AB112" s="1163" t="s">
        <v>1444</v>
      </c>
      <c r="AC112" s="1102"/>
      <c r="AD112" s="1102"/>
      <c r="AE112" s="1104"/>
      <c r="AF112" s="3876"/>
      <c r="AG112" s="3877"/>
      <c r="AH112" s="3877"/>
      <c r="AI112" s="3876"/>
      <c r="AJ112" s="3877"/>
      <c r="AK112" s="3877"/>
      <c r="AL112" s="1874"/>
      <c r="AM112" s="1714"/>
      <c r="AN112" s="1714"/>
      <c r="AO112" s="1714"/>
      <c r="AP112" s="1714"/>
      <c r="AQ112" s="1714"/>
      <c r="AR112" s="1714"/>
      <c r="AS112" s="1714"/>
      <c r="AT112" s="1714"/>
      <c r="AU112" s="1714"/>
      <c r="AV112" s="1714"/>
      <c r="AW112" s="1714"/>
      <c r="AX112" s="1714"/>
      <c r="AY112" s="1714"/>
      <c r="AZ112" s="1714"/>
      <c r="BA112" s="1714"/>
      <c r="BB112" s="1714"/>
      <c r="BC112" s="1714"/>
      <c r="BD112" s="1714"/>
      <c r="BE112" s="1714"/>
      <c r="BF112" s="1714"/>
    </row>
    <row r="113" spans="1:58" ht="11.25" customHeight="1">
      <c r="A113" s="1088" t="s">
        <v>1334</v>
      </c>
      <c r="D113" s="1082"/>
      <c r="E113" s="1092"/>
      <c r="F113" s="3895"/>
      <c r="G113" s="3875"/>
      <c r="H113" s="3885" t="s">
        <v>421</v>
      </c>
      <c r="I113" s="3886"/>
      <c r="J113" s="3883"/>
      <c r="K113" s="3887"/>
      <c r="L113" s="3599"/>
      <c r="M113" s="3600"/>
      <c r="N113" s="1097"/>
      <c r="O113" s="1098"/>
      <c r="P113" s="1090" t="s">
        <v>1445</v>
      </c>
      <c r="Q113" s="1098"/>
      <c r="R113" s="1098"/>
      <c r="S113" s="1098"/>
      <c r="T113" s="1098"/>
      <c r="U113" s="1098"/>
      <c r="V113" s="1098"/>
      <c r="W113" s="1098"/>
      <c r="X113" s="1098"/>
      <c r="Y113" s="1098"/>
      <c r="Z113" s="1098"/>
      <c r="AA113" s="1098"/>
      <c r="AB113" s="1098"/>
      <c r="AC113" s="1098"/>
      <c r="AD113" s="1098"/>
      <c r="AE113" s="1105"/>
      <c r="AF113" s="3876"/>
      <c r="AG113" s="3877"/>
      <c r="AH113" s="3877"/>
      <c r="AI113" s="3876"/>
      <c r="AJ113" s="3877"/>
      <c r="AK113" s="3877"/>
      <c r="AL113" s="1874"/>
      <c r="AM113" s="1714"/>
      <c r="AN113" s="1714"/>
      <c r="AO113" s="1714"/>
      <c r="AP113" s="1714"/>
      <c r="AQ113" s="1714"/>
      <c r="AR113" s="1714"/>
      <c r="AS113" s="1714"/>
      <c r="AT113" s="1714"/>
      <c r="AU113" s="1714"/>
      <c r="AV113" s="1714"/>
      <c r="AW113" s="1714"/>
      <c r="AX113" s="1714"/>
      <c r="AY113" s="1714"/>
      <c r="AZ113" s="1714"/>
      <c r="BA113" s="1714"/>
      <c r="BB113" s="1714"/>
      <c r="BC113" s="1714"/>
      <c r="BD113" s="1714"/>
      <c r="BE113" s="1714"/>
      <c r="BF113" s="1714"/>
    </row>
    <row r="114" spans="1:58" ht="11.25" customHeight="1">
      <c r="A114" s="1088" t="s">
        <v>1334</v>
      </c>
      <c r="D114" s="1082"/>
      <c r="E114" s="1092"/>
      <c r="F114" s="3895"/>
      <c r="G114" s="3853" t="s">
        <v>90</v>
      </c>
      <c r="H114" s="3885" t="s">
        <v>89</v>
      </c>
      <c r="I114" s="3886"/>
      <c r="J114" s="3883"/>
      <c r="K114" s="3887" t="s">
        <v>1454</v>
      </c>
      <c r="L114" s="3599" t="s">
        <v>6</v>
      </c>
      <c r="M114" s="3600"/>
      <c r="N114" s="1872"/>
      <c r="O114" s="1099" t="s">
        <v>421</v>
      </c>
      <c r="P114" s="1100"/>
      <c r="Q114" s="1100"/>
      <c r="R114" s="1100"/>
      <c r="S114" s="1100"/>
      <c r="T114" s="1100"/>
      <c r="U114" s="1100"/>
      <c r="V114" s="1100"/>
      <c r="W114" s="1100"/>
      <c r="X114" s="1100"/>
      <c r="Y114" s="1100"/>
      <c r="Z114" s="1100"/>
      <c r="AA114" s="1100"/>
      <c r="AB114" s="1100"/>
      <c r="AC114" s="1100"/>
      <c r="AD114" s="1100"/>
      <c r="AE114" s="1100"/>
      <c r="AF114" s="3876">
        <v>2026</v>
      </c>
      <c r="AG114" s="3877" t="s">
        <v>1447</v>
      </c>
      <c r="AH114" s="3877" t="s">
        <v>1455</v>
      </c>
      <c r="AI114" s="3876">
        <v>2026</v>
      </c>
      <c r="AJ114" s="3877" t="s">
        <v>1447</v>
      </c>
      <c r="AK114" s="3877" t="s">
        <v>1455</v>
      </c>
      <c r="AL114" s="1874"/>
      <c r="AM114" s="1714"/>
      <c r="AN114" s="1714"/>
      <c r="AO114" s="1714"/>
      <c r="AP114" s="1714"/>
      <c r="AQ114" s="1714"/>
      <c r="AR114" s="1714"/>
      <c r="AS114" s="1714"/>
      <c r="AT114" s="1714"/>
      <c r="AU114" s="1714"/>
      <c r="AV114" s="1714"/>
      <c r="AW114" s="1714"/>
      <c r="AX114" s="1714"/>
      <c r="AY114" s="1714"/>
      <c r="AZ114" s="1714"/>
      <c r="BA114" s="1714"/>
      <c r="BB114" s="1714"/>
      <c r="BC114" s="1714"/>
      <c r="BD114" s="1714"/>
      <c r="BE114" s="1714"/>
      <c r="BF114" s="1714"/>
    </row>
    <row r="115" spans="1:58" ht="11.25" customHeight="1">
      <c r="A115" s="1088" t="s">
        <v>1334</v>
      </c>
      <c r="D115" s="1082"/>
      <c r="E115" s="1092"/>
      <c r="F115" s="3895"/>
      <c r="G115" s="3875"/>
      <c r="H115" s="3885" t="s">
        <v>164</v>
      </c>
      <c r="I115" s="3886"/>
      <c r="J115" s="3883"/>
      <c r="K115" s="3887"/>
      <c r="L115" s="3599"/>
      <c r="M115" s="3600"/>
      <c r="N115" s="3878"/>
      <c r="O115" s="3879">
        <v>1</v>
      </c>
      <c r="P115" s="3880" t="s">
        <v>50</v>
      </c>
      <c r="Q115" s="3883" t="s">
        <v>1456</v>
      </c>
      <c r="R115" s="3884" t="s">
        <v>1457</v>
      </c>
      <c r="S115" s="3884" t="s">
        <v>151</v>
      </c>
      <c r="T115" s="3884" t="s">
        <v>151</v>
      </c>
      <c r="U115" s="3884" t="s">
        <v>152</v>
      </c>
      <c r="V115" s="3884" t="s">
        <v>1439</v>
      </c>
      <c r="W115" s="3884" t="s">
        <v>1440</v>
      </c>
      <c r="X115" s="3884" t="s">
        <v>1458</v>
      </c>
      <c r="Y115" s="3884" t="s">
        <v>1442</v>
      </c>
      <c r="Z115" s="1097"/>
      <c r="AA115" s="1098"/>
      <c r="AB115" s="1098"/>
      <c r="AC115" s="1102"/>
      <c r="AD115" s="1102"/>
      <c r="AE115" s="1103"/>
      <c r="AF115" s="3876"/>
      <c r="AG115" s="3877"/>
      <c r="AH115" s="3877"/>
      <c r="AI115" s="3876"/>
      <c r="AJ115" s="3877"/>
      <c r="AK115" s="3877"/>
      <c r="AL115" s="1874"/>
      <c r="AM115" s="1714"/>
      <c r="AN115" s="1714"/>
      <c r="AO115" s="1714"/>
      <c r="AP115" s="1714"/>
      <c r="AQ115" s="1714"/>
      <c r="AR115" s="1714"/>
      <c r="AS115" s="1714"/>
      <c r="AT115" s="1714"/>
      <c r="AU115" s="1714"/>
      <c r="AV115" s="1714"/>
      <c r="AW115" s="1714"/>
      <c r="AX115" s="1714"/>
      <c r="AY115" s="1714"/>
      <c r="AZ115" s="1714"/>
      <c r="BA115" s="1714"/>
      <c r="BB115" s="1714"/>
      <c r="BC115" s="1714"/>
      <c r="BD115" s="1714"/>
      <c r="BE115" s="1714"/>
      <c r="BF115" s="1714"/>
    </row>
    <row r="116" spans="1:58" ht="11.25" customHeight="1">
      <c r="A116" s="1088" t="s">
        <v>1334</v>
      </c>
      <c r="D116" s="1082"/>
      <c r="E116" s="1092"/>
      <c r="F116" s="3895"/>
      <c r="G116" s="3875"/>
      <c r="H116" s="3885" t="s">
        <v>164</v>
      </c>
      <c r="I116" s="3886"/>
      <c r="J116" s="3883"/>
      <c r="K116" s="3887"/>
      <c r="L116" s="3599"/>
      <c r="M116" s="3600"/>
      <c r="N116" s="3878"/>
      <c r="O116" s="3879"/>
      <c r="P116" s="3881"/>
      <c r="Q116" s="3883"/>
      <c r="R116" s="3874"/>
      <c r="S116" s="3884"/>
      <c r="T116" s="3874"/>
      <c r="U116" s="3874"/>
      <c r="V116" s="3874"/>
      <c r="W116" s="3874"/>
      <c r="X116" s="3874"/>
      <c r="Y116" s="3874"/>
      <c r="Z116" s="1719"/>
      <c r="AA116" s="1686">
        <v>1</v>
      </c>
      <c r="AB116" s="1101" t="s">
        <v>1443</v>
      </c>
      <c r="AC116" s="1091">
        <v>7000</v>
      </c>
      <c r="AD116" s="1101" t="str">
        <f>AB116</f>
        <v xml:space="preserve">  Прибыль направляемая на инвестиции</v>
      </c>
      <c r="AE116" s="1091">
        <v>2124.748</v>
      </c>
      <c r="AF116" s="3876"/>
      <c r="AG116" s="3877"/>
      <c r="AH116" s="3877"/>
      <c r="AI116" s="3876"/>
      <c r="AJ116" s="3877"/>
      <c r="AK116" s="3877"/>
      <c r="AL116" s="1874"/>
      <c r="AM116" s="1714"/>
      <c r="AN116" s="1714"/>
      <c r="AO116" s="1714"/>
      <c r="AP116" s="1714"/>
      <c r="AQ116" s="1714"/>
      <c r="AR116" s="1714"/>
      <c r="AS116" s="1714"/>
      <c r="AT116" s="1714"/>
      <c r="AU116" s="1714"/>
      <c r="AV116" s="1714"/>
      <c r="AW116" s="1714"/>
      <c r="AX116" s="1714"/>
      <c r="AY116" s="1714"/>
      <c r="AZ116" s="1714"/>
      <c r="BA116" s="1714"/>
      <c r="BB116" s="1714"/>
      <c r="BC116" s="1714"/>
      <c r="BD116" s="1714"/>
      <c r="BE116" s="1714"/>
      <c r="BF116" s="1714"/>
    </row>
    <row r="117" spans="1:58" ht="11.25" customHeight="1">
      <c r="A117" s="1088" t="s">
        <v>1334</v>
      </c>
      <c r="D117" s="1082"/>
      <c r="E117" s="1092"/>
      <c r="F117" s="3895"/>
      <c r="G117" s="3875"/>
      <c r="H117" s="3885" t="s">
        <v>164</v>
      </c>
      <c r="I117" s="3886"/>
      <c r="J117" s="3883"/>
      <c r="K117" s="3887"/>
      <c r="L117" s="3599"/>
      <c r="M117" s="3600"/>
      <c r="N117" s="3878"/>
      <c r="O117" s="3879"/>
      <c r="P117" s="3882"/>
      <c r="Q117" s="3883"/>
      <c r="R117" s="3874"/>
      <c r="S117" s="3884"/>
      <c r="T117" s="3874"/>
      <c r="U117" s="3874"/>
      <c r="V117" s="3874"/>
      <c r="W117" s="3874"/>
      <c r="X117" s="3874"/>
      <c r="Y117" s="3874"/>
      <c r="Z117" s="1097"/>
      <c r="AA117" s="1098"/>
      <c r="AB117" s="1163" t="s">
        <v>1444</v>
      </c>
      <c r="AC117" s="1102"/>
      <c r="AD117" s="1102"/>
      <c r="AE117" s="1104"/>
      <c r="AF117" s="3876"/>
      <c r="AG117" s="3877"/>
      <c r="AH117" s="3877"/>
      <c r="AI117" s="3876"/>
      <c r="AJ117" s="3877"/>
      <c r="AK117" s="3877"/>
      <c r="AL117" s="1874"/>
      <c r="AM117" s="1714"/>
      <c r="AN117" s="1714"/>
      <c r="AO117" s="1714"/>
      <c r="AP117" s="1714"/>
      <c r="AQ117" s="1714"/>
      <c r="AR117" s="1714"/>
      <c r="AS117" s="1714"/>
      <c r="AT117" s="1714"/>
      <c r="AU117" s="1714"/>
      <c r="AV117" s="1714"/>
      <c r="AW117" s="1714"/>
      <c r="AX117" s="1714"/>
      <c r="AY117" s="1714"/>
      <c r="AZ117" s="1714"/>
      <c r="BA117" s="1714"/>
      <c r="BB117" s="1714"/>
      <c r="BC117" s="1714"/>
      <c r="BD117" s="1714"/>
      <c r="BE117" s="1714"/>
      <c r="BF117" s="1714"/>
    </row>
    <row r="118" spans="1:58" ht="11.25" customHeight="1">
      <c r="A118" s="1088" t="s">
        <v>1334</v>
      </c>
      <c r="D118" s="1082"/>
      <c r="E118" s="1092"/>
      <c r="F118" s="3895"/>
      <c r="G118" s="3875"/>
      <c r="H118" s="3885" t="s">
        <v>164</v>
      </c>
      <c r="I118" s="3886"/>
      <c r="J118" s="3883"/>
      <c r="K118" s="3887"/>
      <c r="L118" s="3599"/>
      <c r="M118" s="3600"/>
      <c r="N118" s="1097"/>
      <c r="O118" s="1098"/>
      <c r="P118" s="1090" t="s">
        <v>1445</v>
      </c>
      <c r="Q118" s="1098"/>
      <c r="R118" s="1098"/>
      <c r="S118" s="1098"/>
      <c r="T118" s="1098"/>
      <c r="U118" s="1098"/>
      <c r="V118" s="1098"/>
      <c r="W118" s="1098"/>
      <c r="X118" s="1098"/>
      <c r="Y118" s="1098"/>
      <c r="Z118" s="1098"/>
      <c r="AA118" s="1098"/>
      <c r="AB118" s="1098"/>
      <c r="AC118" s="1098"/>
      <c r="AD118" s="1098"/>
      <c r="AE118" s="1105"/>
      <c r="AF118" s="3876"/>
      <c r="AG118" s="3877"/>
      <c r="AH118" s="3877"/>
      <c r="AI118" s="3876"/>
      <c r="AJ118" s="3877"/>
      <c r="AK118" s="3877"/>
      <c r="AL118" s="1874"/>
      <c r="AM118" s="1714"/>
      <c r="AN118" s="1714"/>
      <c r="AO118" s="1714"/>
      <c r="AP118" s="1714"/>
      <c r="AQ118" s="1714"/>
      <c r="AR118" s="1714"/>
      <c r="AS118" s="1714"/>
      <c r="AT118" s="1714"/>
      <c r="AU118" s="1714"/>
      <c r="AV118" s="1714"/>
      <c r="AW118" s="1714"/>
      <c r="AX118" s="1714"/>
      <c r="AY118" s="1714"/>
      <c r="AZ118" s="1714"/>
      <c r="BA118" s="1714"/>
      <c r="BB118" s="1714"/>
      <c r="BC118" s="1714"/>
      <c r="BD118" s="1714"/>
      <c r="BE118" s="1714"/>
      <c r="BF118" s="1714"/>
    </row>
    <row r="119" spans="1:58" ht="12" customHeight="1">
      <c r="A119" s="1088" t="s">
        <v>1334</v>
      </c>
      <c r="D119" s="1082"/>
      <c r="E119" s="1092"/>
      <c r="F119" s="3896"/>
      <c r="G119" s="1112"/>
      <c r="H119" s="1112"/>
      <c r="I119" s="3893" t="s">
        <v>1451</v>
      </c>
      <c r="J119" s="3893"/>
      <c r="K119" s="3893"/>
      <c r="L119" s="1095"/>
      <c r="M119" s="1095"/>
      <c r="N119" s="1096"/>
      <c r="O119" s="1096"/>
      <c r="P119" s="1096"/>
      <c r="Q119" s="1096"/>
      <c r="R119" s="1096"/>
      <c r="S119" s="1096"/>
      <c r="T119" s="1096"/>
      <c r="U119" s="1096"/>
      <c r="V119" s="1096"/>
      <c r="W119" s="1096"/>
      <c r="X119" s="1096"/>
      <c r="Y119" s="1096"/>
      <c r="Z119" s="1096"/>
      <c r="AA119" s="1096"/>
      <c r="AB119" s="1096"/>
      <c r="AC119" s="1096"/>
      <c r="AD119" s="1096"/>
      <c r="AE119" s="1096"/>
      <c r="AF119" s="1096"/>
      <c r="AG119" s="1095"/>
      <c r="AH119" s="1095"/>
      <c r="AI119" s="1096"/>
      <c r="AJ119" s="1095"/>
      <c r="AK119" s="1096"/>
      <c r="AL119" s="1874"/>
      <c r="AM119" s="1714"/>
      <c r="AN119" s="1714"/>
      <c r="AO119" s="1714"/>
      <c r="AP119" s="1714"/>
      <c r="AQ119" s="1714"/>
      <c r="AR119" s="1714"/>
      <c r="AS119" s="1714"/>
      <c r="AT119" s="1714"/>
      <c r="AU119" s="1714"/>
      <c r="AV119" s="1714"/>
      <c r="AW119" s="1714"/>
      <c r="AX119" s="1714"/>
      <c r="AY119" s="1714"/>
      <c r="AZ119" s="1714"/>
      <c r="BA119" s="1714"/>
      <c r="BB119" s="1714"/>
      <c r="BC119" s="1714"/>
      <c r="BD119" s="1714"/>
      <c r="BE119" s="1714"/>
      <c r="BF119" s="1714"/>
    </row>
    <row r="120" spans="1:58" ht="0.75" customHeight="1">
      <c r="A120" s="1088" t="s">
        <v>1334</v>
      </c>
      <c r="D120" s="1082"/>
      <c r="E120" s="1092"/>
      <c r="F120" s="3894">
        <v>2026</v>
      </c>
      <c r="G120" s="3885"/>
      <c r="H120" s="3898" t="s">
        <v>421</v>
      </c>
      <c r="I120" s="3899"/>
      <c r="J120" s="3891"/>
      <c r="K120" s="3891"/>
      <c r="L120" s="3892"/>
      <c r="M120" s="3743"/>
      <c r="N120" s="1922"/>
      <c r="O120" s="1921"/>
      <c r="P120" s="1922"/>
      <c r="Q120" s="1922"/>
      <c r="R120" s="1922"/>
      <c r="S120" s="1922"/>
      <c r="T120" s="1922"/>
      <c r="U120" s="1922"/>
      <c r="V120" s="1922"/>
      <c r="W120" s="1922"/>
      <c r="X120" s="1922"/>
      <c r="Y120" s="1922"/>
      <c r="Z120" s="1922"/>
      <c r="AA120" s="1922"/>
      <c r="AB120" s="1922"/>
      <c r="AC120" s="1922"/>
      <c r="AD120" s="1922"/>
      <c r="AE120" s="1922"/>
      <c r="AF120" s="3897"/>
      <c r="AG120" s="3892"/>
      <c r="AH120" s="3892"/>
      <c r="AI120" s="3897"/>
      <c r="AJ120" s="3892"/>
      <c r="AK120" s="3892"/>
      <c r="AL120" s="1874"/>
      <c r="AM120" s="1714"/>
      <c r="AN120" s="1714"/>
      <c r="AO120" s="1714"/>
      <c r="AP120" s="1714"/>
      <c r="AQ120" s="1714"/>
      <c r="AR120" s="1714"/>
      <c r="AS120" s="1714"/>
      <c r="AT120" s="1714"/>
      <c r="AU120" s="1714"/>
      <c r="AV120" s="1714"/>
      <c r="AW120" s="1714"/>
      <c r="AX120" s="1714"/>
      <c r="AY120" s="1714"/>
      <c r="AZ120" s="1714"/>
      <c r="BA120" s="1714"/>
      <c r="BB120" s="1714"/>
      <c r="BC120" s="1714"/>
      <c r="BD120" s="1714"/>
      <c r="BE120" s="1714"/>
      <c r="BF120" s="1714"/>
    </row>
    <row r="121" spans="1:58" ht="0.75" customHeight="1">
      <c r="A121" s="1088" t="s">
        <v>1334</v>
      </c>
      <c r="D121" s="1082"/>
      <c r="E121" s="1092"/>
      <c r="F121" s="3894"/>
      <c r="G121" s="3885"/>
      <c r="H121" s="3898"/>
      <c r="I121" s="3899"/>
      <c r="J121" s="3891"/>
      <c r="K121" s="3891"/>
      <c r="L121" s="3892"/>
      <c r="M121" s="3743"/>
      <c r="N121" s="3900"/>
      <c r="O121" s="3901"/>
      <c r="P121" s="3888"/>
      <c r="Q121" s="3891"/>
      <c r="R121" s="3891"/>
      <c r="S121" s="3891"/>
      <c r="T121" s="3891"/>
      <c r="U121" s="3891"/>
      <c r="V121" s="3891"/>
      <c r="W121" s="3891"/>
      <c r="X121" s="3891"/>
      <c r="Y121" s="3891"/>
      <c r="Z121" s="1923"/>
      <c r="AA121" s="1924"/>
      <c r="AB121" s="1924"/>
      <c r="AC121" s="1925"/>
      <c r="AD121" s="1925"/>
      <c r="AE121" s="1926"/>
      <c r="AF121" s="3897"/>
      <c r="AG121" s="3892"/>
      <c r="AH121" s="3892"/>
      <c r="AI121" s="3897"/>
      <c r="AJ121" s="3892"/>
      <c r="AK121" s="3892"/>
      <c r="AL121" s="1874"/>
      <c r="AM121" s="1714"/>
      <c r="AN121" s="1714"/>
      <c r="AO121" s="1714"/>
      <c r="AP121" s="1714"/>
      <c r="AQ121" s="1714"/>
      <c r="AR121" s="1714"/>
      <c r="AS121" s="1714"/>
      <c r="AT121" s="1714"/>
      <c r="AU121" s="1714"/>
      <c r="AV121" s="1714"/>
      <c r="AW121" s="1714"/>
      <c r="AX121" s="1714"/>
      <c r="AY121" s="1714"/>
      <c r="AZ121" s="1714"/>
      <c r="BA121" s="1714"/>
      <c r="BB121" s="1714"/>
      <c r="BC121" s="1714"/>
      <c r="BD121" s="1714"/>
      <c r="BE121" s="1714"/>
      <c r="BF121" s="1714"/>
    </row>
    <row r="122" spans="1:58" ht="0.75" customHeight="1">
      <c r="A122" s="1088" t="s">
        <v>1334</v>
      </c>
      <c r="D122" s="1082"/>
      <c r="E122" s="1092"/>
      <c r="F122" s="3894"/>
      <c r="G122" s="3885"/>
      <c r="H122" s="3898"/>
      <c r="I122" s="3899"/>
      <c r="J122" s="3891"/>
      <c r="K122" s="3891"/>
      <c r="L122" s="3892"/>
      <c r="M122" s="3743"/>
      <c r="N122" s="3900"/>
      <c r="O122" s="3901"/>
      <c r="P122" s="3889"/>
      <c r="Q122" s="3891"/>
      <c r="R122" s="3891"/>
      <c r="S122" s="3891"/>
      <c r="T122" s="3891"/>
      <c r="U122" s="3891"/>
      <c r="V122" s="3891"/>
      <c r="W122" s="3891"/>
      <c r="X122" s="3891"/>
      <c r="Y122" s="3891"/>
      <c r="Z122" s="1927"/>
      <c r="AA122" s="1928"/>
      <c r="AB122" s="1929"/>
      <c r="AC122" s="1930"/>
      <c r="AD122" s="1929"/>
      <c r="AE122" s="1930"/>
      <c r="AF122" s="3897"/>
      <c r="AG122" s="3892"/>
      <c r="AH122" s="3892"/>
      <c r="AI122" s="3897"/>
      <c r="AJ122" s="3892"/>
      <c r="AK122" s="3892"/>
      <c r="AL122" s="1874"/>
      <c r="AM122" s="1714"/>
      <c r="AN122" s="1714"/>
      <c r="AO122" s="1714"/>
      <c r="AP122" s="1714"/>
      <c r="AQ122" s="1714"/>
      <c r="AR122" s="1714"/>
      <c r="AS122" s="1714"/>
      <c r="AT122" s="1714"/>
      <c r="AU122" s="1714"/>
      <c r="AV122" s="1714"/>
      <c r="AW122" s="1714"/>
      <c r="AX122" s="1714"/>
      <c r="AY122" s="1714"/>
      <c r="AZ122" s="1714"/>
      <c r="BA122" s="1714"/>
      <c r="BB122" s="1714"/>
      <c r="BC122" s="1714"/>
      <c r="BD122" s="1714"/>
      <c r="BE122" s="1714"/>
      <c r="BF122" s="1714"/>
    </row>
    <row r="123" spans="1:58" ht="0.75" customHeight="1">
      <c r="A123" s="1088" t="s">
        <v>1334</v>
      </c>
      <c r="D123" s="1082"/>
      <c r="E123" s="1092"/>
      <c r="F123" s="3894"/>
      <c r="G123" s="3885"/>
      <c r="H123" s="3898"/>
      <c r="I123" s="3899"/>
      <c r="J123" s="3891"/>
      <c r="K123" s="3891"/>
      <c r="L123" s="3892"/>
      <c r="M123" s="3743"/>
      <c r="N123" s="3900"/>
      <c r="O123" s="3901"/>
      <c r="P123" s="3890"/>
      <c r="Q123" s="3891"/>
      <c r="R123" s="3891"/>
      <c r="S123" s="3891"/>
      <c r="T123" s="3891"/>
      <c r="U123" s="3891"/>
      <c r="V123" s="3891"/>
      <c r="W123" s="3891"/>
      <c r="X123" s="3891"/>
      <c r="Y123" s="3891"/>
      <c r="Z123" s="1923"/>
      <c r="AA123" s="1924"/>
      <c r="AB123" s="1931"/>
      <c r="AC123" s="1925"/>
      <c r="AD123" s="1925"/>
      <c r="AE123" s="1932"/>
      <c r="AF123" s="3897"/>
      <c r="AG123" s="3892"/>
      <c r="AH123" s="3892"/>
      <c r="AI123" s="3897"/>
      <c r="AJ123" s="3892"/>
      <c r="AK123" s="3892"/>
      <c r="AL123" s="1874"/>
      <c r="AM123" s="1714"/>
      <c r="AN123" s="1714"/>
      <c r="AO123" s="1714"/>
      <c r="AP123" s="1714"/>
      <c r="AQ123" s="1714"/>
      <c r="AR123" s="1714"/>
      <c r="AS123" s="1714"/>
      <c r="AT123" s="1714"/>
      <c r="AU123" s="1714"/>
      <c r="AV123" s="1714"/>
      <c r="AW123" s="1714"/>
      <c r="AX123" s="1714"/>
      <c r="AY123" s="1714"/>
      <c r="AZ123" s="1714"/>
      <c r="BA123" s="1714"/>
      <c r="BB123" s="1714"/>
      <c r="BC123" s="1714"/>
      <c r="BD123" s="1714"/>
      <c r="BE123" s="1714"/>
      <c r="BF123" s="1714"/>
    </row>
    <row r="124" spans="1:58" ht="0.75" customHeight="1">
      <c r="A124" s="1088" t="s">
        <v>1334</v>
      </c>
      <c r="D124" s="1082"/>
      <c r="E124" s="1092"/>
      <c r="F124" s="3894"/>
      <c r="G124" s="3885"/>
      <c r="H124" s="3898"/>
      <c r="I124" s="3899"/>
      <c r="J124" s="3891"/>
      <c r="K124" s="3891"/>
      <c r="L124" s="3892"/>
      <c r="M124" s="3743"/>
      <c r="N124" s="1924"/>
      <c r="O124" s="1924"/>
      <c r="P124" s="1931"/>
      <c r="Q124" s="1924"/>
      <c r="R124" s="1924"/>
      <c r="S124" s="1924"/>
      <c r="T124" s="1924"/>
      <c r="U124" s="1924"/>
      <c r="V124" s="1924"/>
      <c r="W124" s="1924"/>
      <c r="X124" s="1924"/>
      <c r="Y124" s="1924"/>
      <c r="Z124" s="1924"/>
      <c r="AA124" s="1924"/>
      <c r="AB124" s="1924"/>
      <c r="AC124" s="1924"/>
      <c r="AD124" s="1924"/>
      <c r="AE124" s="1933"/>
      <c r="AF124" s="3897"/>
      <c r="AG124" s="3892"/>
      <c r="AH124" s="3892"/>
      <c r="AI124" s="3897"/>
      <c r="AJ124" s="3892"/>
      <c r="AK124" s="3892"/>
      <c r="AL124" s="1874"/>
      <c r="AM124" s="1714"/>
      <c r="AN124" s="1714"/>
      <c r="AO124" s="1714"/>
      <c r="AP124" s="1714"/>
      <c r="AQ124" s="1714"/>
      <c r="AR124" s="1714"/>
      <c r="AS124" s="1714"/>
      <c r="AT124" s="1714"/>
      <c r="AU124" s="1714"/>
      <c r="AV124" s="1714"/>
      <c r="AW124" s="1714"/>
      <c r="AX124" s="1714"/>
      <c r="AY124" s="1714"/>
      <c r="AZ124" s="1714"/>
      <c r="BA124" s="1714"/>
      <c r="BB124" s="1714"/>
      <c r="BC124" s="1714"/>
      <c r="BD124" s="1714"/>
      <c r="BE124" s="1714"/>
      <c r="BF124" s="1714"/>
    </row>
    <row r="125" spans="1:58" ht="11.25" customHeight="1">
      <c r="A125" s="1088" t="s">
        <v>1334</v>
      </c>
      <c r="D125" s="1082"/>
      <c r="E125" s="1092"/>
      <c r="F125" s="3895"/>
      <c r="G125" s="3853" t="s">
        <v>90</v>
      </c>
      <c r="H125" s="3885" t="s">
        <v>164</v>
      </c>
      <c r="I125" s="3886"/>
      <c r="J125" s="3883"/>
      <c r="K125" s="3887" t="s">
        <v>1454</v>
      </c>
      <c r="L125" s="3599" t="s">
        <v>6</v>
      </c>
      <c r="M125" s="3600"/>
      <c r="N125" s="1872"/>
      <c r="O125" s="1099" t="s">
        <v>421</v>
      </c>
      <c r="P125" s="1100"/>
      <c r="Q125" s="1100"/>
      <c r="R125" s="1100"/>
      <c r="S125" s="1100"/>
      <c r="T125" s="1100"/>
      <c r="U125" s="1100"/>
      <c r="V125" s="1100"/>
      <c r="W125" s="1100"/>
      <c r="X125" s="1100"/>
      <c r="Y125" s="1100"/>
      <c r="Z125" s="1100"/>
      <c r="AA125" s="1100"/>
      <c r="AB125" s="1100"/>
      <c r="AC125" s="1100"/>
      <c r="AD125" s="1100"/>
      <c r="AE125" s="1100"/>
      <c r="AF125" s="3876">
        <v>2026</v>
      </c>
      <c r="AG125" s="3877" t="s">
        <v>1447</v>
      </c>
      <c r="AH125" s="3877" t="s">
        <v>1455</v>
      </c>
      <c r="AI125" s="3876">
        <v>2026</v>
      </c>
      <c r="AJ125" s="3877" t="s">
        <v>1447</v>
      </c>
      <c r="AK125" s="3877" t="s">
        <v>1455</v>
      </c>
      <c r="AL125" s="1874"/>
      <c r="AM125" s="1714"/>
      <c r="AN125" s="1714"/>
      <c r="AO125" s="1714"/>
      <c r="AP125" s="1714"/>
      <c r="AQ125" s="1714"/>
      <c r="AR125" s="1714"/>
      <c r="AS125" s="1714"/>
      <c r="AT125" s="1714"/>
      <c r="AU125" s="1714"/>
      <c r="AV125" s="1714"/>
      <c r="AW125" s="1714"/>
      <c r="AX125" s="1714"/>
      <c r="AY125" s="1714"/>
      <c r="AZ125" s="1714"/>
      <c r="BA125" s="1714"/>
      <c r="BB125" s="1714"/>
      <c r="BC125" s="1714"/>
      <c r="BD125" s="1714"/>
      <c r="BE125" s="1714"/>
      <c r="BF125" s="1714"/>
    </row>
    <row r="126" spans="1:58" ht="11.25" customHeight="1">
      <c r="A126" s="1088" t="s">
        <v>1334</v>
      </c>
      <c r="D126" s="1082"/>
      <c r="E126" s="1092"/>
      <c r="F126" s="3895"/>
      <c r="G126" s="3875"/>
      <c r="H126" s="3885" t="s">
        <v>421</v>
      </c>
      <c r="I126" s="3886"/>
      <c r="J126" s="3883"/>
      <c r="K126" s="3887"/>
      <c r="L126" s="3599"/>
      <c r="M126" s="3600"/>
      <c r="N126" s="3878"/>
      <c r="O126" s="3879">
        <v>1</v>
      </c>
      <c r="P126" s="3880" t="s">
        <v>50</v>
      </c>
      <c r="Q126" s="3883" t="s">
        <v>1456</v>
      </c>
      <c r="R126" s="3884" t="s">
        <v>1457</v>
      </c>
      <c r="S126" s="3884" t="s">
        <v>151</v>
      </c>
      <c r="T126" s="3884" t="s">
        <v>151</v>
      </c>
      <c r="U126" s="3884" t="s">
        <v>152</v>
      </c>
      <c r="V126" s="3884" t="s">
        <v>1439</v>
      </c>
      <c r="W126" s="3884" t="s">
        <v>1440</v>
      </c>
      <c r="X126" s="3884" t="s">
        <v>1458</v>
      </c>
      <c r="Y126" s="3884" t="s">
        <v>1442</v>
      </c>
      <c r="Z126" s="1097"/>
      <c r="AA126" s="1098"/>
      <c r="AB126" s="1098"/>
      <c r="AC126" s="1102"/>
      <c r="AD126" s="1102"/>
      <c r="AE126" s="1103"/>
      <c r="AF126" s="3876"/>
      <c r="AG126" s="3877"/>
      <c r="AH126" s="3877"/>
      <c r="AI126" s="3876"/>
      <c r="AJ126" s="3877"/>
      <c r="AK126" s="3877"/>
      <c r="AL126" s="1874"/>
      <c r="AM126" s="1714"/>
      <c r="AN126" s="1714"/>
      <c r="AO126" s="1714"/>
      <c r="AP126" s="1714"/>
      <c r="AQ126" s="1714"/>
      <c r="AR126" s="1714"/>
      <c r="AS126" s="1714"/>
      <c r="AT126" s="1714"/>
      <c r="AU126" s="1714"/>
      <c r="AV126" s="1714"/>
      <c r="AW126" s="1714"/>
      <c r="AX126" s="1714"/>
      <c r="AY126" s="1714"/>
      <c r="AZ126" s="1714"/>
      <c r="BA126" s="1714"/>
      <c r="BB126" s="1714"/>
      <c r="BC126" s="1714"/>
      <c r="BD126" s="1714"/>
      <c r="BE126" s="1714"/>
      <c r="BF126" s="1714"/>
    </row>
    <row r="127" spans="1:58" ht="11.25" customHeight="1">
      <c r="A127" s="1088" t="s">
        <v>1334</v>
      </c>
      <c r="D127" s="1082"/>
      <c r="E127" s="1092"/>
      <c r="F127" s="3895"/>
      <c r="G127" s="3875"/>
      <c r="H127" s="3885" t="s">
        <v>421</v>
      </c>
      <c r="I127" s="3886"/>
      <c r="J127" s="3883"/>
      <c r="K127" s="3887"/>
      <c r="L127" s="3599"/>
      <c r="M127" s="3600"/>
      <c r="N127" s="3878"/>
      <c r="O127" s="3879"/>
      <c r="P127" s="3881"/>
      <c r="Q127" s="3883"/>
      <c r="R127" s="3874"/>
      <c r="S127" s="3884"/>
      <c r="T127" s="3874"/>
      <c r="U127" s="3874"/>
      <c r="V127" s="3874"/>
      <c r="W127" s="3874"/>
      <c r="X127" s="3874"/>
      <c r="Y127" s="3874"/>
      <c r="Z127" s="1719"/>
      <c r="AA127" s="1686">
        <v>1</v>
      </c>
      <c r="AB127" s="1101" t="s">
        <v>1453</v>
      </c>
      <c r="AC127" s="1091">
        <v>5720.95</v>
      </c>
      <c r="AD127" s="1101" t="str">
        <f>AB127</f>
        <v xml:space="preserve">      Амортизационные отчисления с выделением результатов переоценки основных средств и нематериальных активов</v>
      </c>
      <c r="AE127" s="1091">
        <v>0</v>
      </c>
      <c r="AF127" s="3876"/>
      <c r="AG127" s="3877"/>
      <c r="AH127" s="3877"/>
      <c r="AI127" s="3876"/>
      <c r="AJ127" s="3877"/>
      <c r="AK127" s="3877"/>
      <c r="AL127" s="1874"/>
      <c r="AM127" s="1714"/>
      <c r="AN127" s="1714"/>
      <c r="AO127" s="1714"/>
      <c r="AP127" s="1714"/>
      <c r="AQ127" s="1714"/>
      <c r="AR127" s="1714"/>
      <c r="AS127" s="1714"/>
      <c r="AT127" s="1714"/>
      <c r="AU127" s="1714"/>
      <c r="AV127" s="1714"/>
      <c r="AW127" s="1714"/>
      <c r="AX127" s="1714"/>
      <c r="AY127" s="1714"/>
      <c r="AZ127" s="1714"/>
      <c r="BA127" s="1714"/>
      <c r="BB127" s="1714"/>
      <c r="BC127" s="1714"/>
      <c r="BD127" s="1714"/>
      <c r="BE127" s="1714"/>
      <c r="BF127" s="1714"/>
    </row>
    <row r="128" spans="1:58" ht="11.25" customHeight="1">
      <c r="A128" s="1088" t="s">
        <v>1334</v>
      </c>
      <c r="D128" s="1082"/>
      <c r="E128" s="1092"/>
      <c r="F128" s="3875"/>
      <c r="G128" s="3875"/>
      <c r="H128" s="3875"/>
      <c r="I128" s="3875"/>
      <c r="J128" s="3875"/>
      <c r="K128" s="3875"/>
      <c r="L128" s="3875"/>
      <c r="M128" s="3875"/>
      <c r="N128" s="3875"/>
      <c r="O128" s="3875"/>
      <c r="P128" s="3875"/>
      <c r="Q128" s="3875"/>
      <c r="R128" s="3875"/>
      <c r="S128" s="3875"/>
      <c r="T128" s="3875"/>
      <c r="U128" s="3875"/>
      <c r="V128" s="3875"/>
      <c r="W128" s="3875"/>
      <c r="X128" s="3875"/>
      <c r="Y128" s="3875"/>
      <c r="Z128" s="617" t="s">
        <v>90</v>
      </c>
      <c r="AA128" s="1706" t="s">
        <v>89</v>
      </c>
      <c r="AB128" s="1101" t="s">
        <v>1443</v>
      </c>
      <c r="AC128" s="1091">
        <v>5829.51</v>
      </c>
      <c r="AD128" s="1101" t="str">
        <f>AB128</f>
        <v xml:space="preserve">  Прибыль направляемая на инвестиции</v>
      </c>
      <c r="AE128" s="1091">
        <v>0</v>
      </c>
      <c r="AF128" s="3902"/>
      <c r="AG128" s="3903"/>
      <c r="AH128" s="3903"/>
      <c r="AI128" s="3902"/>
      <c r="AJ128" s="3903"/>
      <c r="AK128" s="3904"/>
      <c r="AL128" s="1874"/>
      <c r="AM128" s="1714"/>
      <c r="AN128" s="1714"/>
      <c r="AO128" s="1714"/>
      <c r="AP128" s="1714"/>
      <c r="AQ128" s="1714"/>
      <c r="AR128" s="1714"/>
      <c r="AS128" s="1714"/>
      <c r="AT128" s="1714"/>
      <c r="AU128" s="1714"/>
      <c r="AV128" s="1714"/>
      <c r="AW128" s="1714"/>
      <c r="AX128" s="1714"/>
      <c r="AY128" s="1714"/>
      <c r="AZ128" s="1714"/>
      <c r="BA128" s="1714"/>
      <c r="BB128" s="1714"/>
      <c r="BC128" s="1714"/>
      <c r="BD128" s="1714"/>
      <c r="BE128" s="1714"/>
      <c r="BF128" s="1714"/>
    </row>
    <row r="129" spans="1:58" ht="11.25" customHeight="1">
      <c r="A129" s="1088" t="s">
        <v>1334</v>
      </c>
      <c r="D129" s="1082"/>
      <c r="E129" s="1092"/>
      <c r="F129" s="3895"/>
      <c r="G129" s="3875"/>
      <c r="H129" s="3885" t="s">
        <v>421</v>
      </c>
      <c r="I129" s="3886"/>
      <c r="J129" s="3883"/>
      <c r="K129" s="3887"/>
      <c r="L129" s="3599"/>
      <c r="M129" s="3600"/>
      <c r="N129" s="3878"/>
      <c r="O129" s="3879"/>
      <c r="P129" s="3882"/>
      <c r="Q129" s="3883"/>
      <c r="R129" s="3874"/>
      <c r="S129" s="3884"/>
      <c r="T129" s="3874"/>
      <c r="U129" s="3874"/>
      <c r="V129" s="3874"/>
      <c r="W129" s="3874"/>
      <c r="X129" s="3874"/>
      <c r="Y129" s="3874"/>
      <c r="Z129" s="1097"/>
      <c r="AA129" s="1098"/>
      <c r="AB129" s="1163" t="s">
        <v>1444</v>
      </c>
      <c r="AC129" s="1102"/>
      <c r="AD129" s="1102"/>
      <c r="AE129" s="1104"/>
      <c r="AF129" s="3876"/>
      <c r="AG129" s="3877"/>
      <c r="AH129" s="3877"/>
      <c r="AI129" s="3876"/>
      <c r="AJ129" s="3877"/>
      <c r="AK129" s="3877"/>
      <c r="AL129" s="1874"/>
      <c r="AM129" s="1714"/>
      <c r="AN129" s="1714"/>
      <c r="AO129" s="1714"/>
      <c r="AP129" s="1714"/>
      <c r="AQ129" s="1714"/>
      <c r="AR129" s="1714"/>
      <c r="AS129" s="1714"/>
      <c r="AT129" s="1714"/>
      <c r="AU129" s="1714"/>
      <c r="AV129" s="1714"/>
      <c r="AW129" s="1714"/>
      <c r="AX129" s="1714"/>
      <c r="AY129" s="1714"/>
      <c r="AZ129" s="1714"/>
      <c r="BA129" s="1714"/>
      <c r="BB129" s="1714"/>
      <c r="BC129" s="1714"/>
      <c r="BD129" s="1714"/>
      <c r="BE129" s="1714"/>
      <c r="BF129" s="1714"/>
    </row>
    <row r="130" spans="1:58" ht="11.25" customHeight="1">
      <c r="A130" s="1088" t="s">
        <v>1334</v>
      </c>
      <c r="D130" s="1082"/>
      <c r="E130" s="1092"/>
      <c r="F130" s="3895"/>
      <c r="G130" s="3875"/>
      <c r="H130" s="3885" t="s">
        <v>421</v>
      </c>
      <c r="I130" s="3886"/>
      <c r="J130" s="3883"/>
      <c r="K130" s="3887"/>
      <c r="L130" s="3599"/>
      <c r="M130" s="3600"/>
      <c r="N130" s="1097"/>
      <c r="O130" s="1098"/>
      <c r="P130" s="1090" t="s">
        <v>1445</v>
      </c>
      <c r="Q130" s="1098"/>
      <c r="R130" s="1098"/>
      <c r="S130" s="1098"/>
      <c r="T130" s="1098"/>
      <c r="U130" s="1098"/>
      <c r="V130" s="1098"/>
      <c r="W130" s="1098"/>
      <c r="X130" s="1098"/>
      <c r="Y130" s="1098"/>
      <c r="Z130" s="1098"/>
      <c r="AA130" s="1098"/>
      <c r="AB130" s="1098"/>
      <c r="AC130" s="1098"/>
      <c r="AD130" s="1098"/>
      <c r="AE130" s="1105"/>
      <c r="AF130" s="3876"/>
      <c r="AG130" s="3877"/>
      <c r="AH130" s="3877"/>
      <c r="AI130" s="3876"/>
      <c r="AJ130" s="3877"/>
      <c r="AK130" s="3877"/>
      <c r="AL130" s="1874"/>
      <c r="AM130" s="1714"/>
      <c r="AN130" s="1714"/>
      <c r="AO130" s="1714"/>
      <c r="AP130" s="1714"/>
      <c r="AQ130" s="1714"/>
      <c r="AR130" s="1714"/>
      <c r="AS130" s="1714"/>
      <c r="AT130" s="1714"/>
      <c r="AU130" s="1714"/>
      <c r="AV130" s="1714"/>
      <c r="AW130" s="1714"/>
      <c r="AX130" s="1714"/>
      <c r="AY130" s="1714"/>
      <c r="AZ130" s="1714"/>
      <c r="BA130" s="1714"/>
      <c r="BB130" s="1714"/>
      <c r="BC130" s="1714"/>
      <c r="BD130" s="1714"/>
      <c r="BE130" s="1714"/>
      <c r="BF130" s="1714"/>
    </row>
    <row r="131" spans="1:58" ht="12" customHeight="1">
      <c r="A131" s="1088" t="s">
        <v>1334</v>
      </c>
      <c r="D131" s="1082"/>
      <c r="E131" s="1092"/>
      <c r="F131" s="3896"/>
      <c r="G131" s="1112"/>
      <c r="H131" s="1112"/>
      <c r="I131" s="3893" t="s">
        <v>1451</v>
      </c>
      <c r="J131" s="3893"/>
      <c r="K131" s="3893"/>
      <c r="L131" s="1095"/>
      <c r="M131" s="1095"/>
      <c r="N131" s="1096"/>
      <c r="O131" s="1096"/>
      <c r="P131" s="1096"/>
      <c r="Q131" s="1096"/>
      <c r="R131" s="1096"/>
      <c r="S131" s="1096"/>
      <c r="T131" s="1096"/>
      <c r="U131" s="1096"/>
      <c r="V131" s="1096"/>
      <c r="W131" s="1096"/>
      <c r="X131" s="1096"/>
      <c r="Y131" s="1096"/>
      <c r="Z131" s="1096"/>
      <c r="AA131" s="1096"/>
      <c r="AB131" s="1096"/>
      <c r="AC131" s="1096"/>
      <c r="AD131" s="1096"/>
      <c r="AE131" s="1096"/>
      <c r="AF131" s="1096"/>
      <c r="AG131" s="1095"/>
      <c r="AH131" s="1095"/>
      <c r="AI131" s="1096"/>
      <c r="AJ131" s="1095"/>
      <c r="AK131" s="1096"/>
      <c r="AL131" s="1874"/>
      <c r="AM131" s="1714"/>
      <c r="AN131" s="1714"/>
      <c r="AO131" s="1714"/>
      <c r="AP131" s="1714"/>
      <c r="AQ131" s="1714"/>
      <c r="AR131" s="1714"/>
      <c r="AS131" s="1714"/>
      <c r="AT131" s="1714"/>
      <c r="AU131" s="1714"/>
      <c r="AV131" s="1714"/>
      <c r="AW131" s="1714"/>
      <c r="AX131" s="1714"/>
      <c r="AY131" s="1714"/>
      <c r="AZ131" s="1714"/>
      <c r="BA131" s="1714"/>
      <c r="BB131" s="1714"/>
      <c r="BC131" s="1714"/>
      <c r="BD131" s="1714"/>
      <c r="BE131" s="1714"/>
      <c r="BF131" s="1714"/>
    </row>
    <row r="132" spans="1:58" ht="21" customHeight="1">
      <c r="A132" s="1089" t="s">
        <v>1345</v>
      </c>
      <c r="D132" s="1082"/>
      <c r="E132" s="1092" t="s">
        <v>9</v>
      </c>
      <c r="F132" s="1045" t="str">
        <f>INDEX(IP_MAIN_LIST_NAME_IP,MATCH(A132,IP_MAIN_LIST_IP_ID,0))&amp;" ("&amp;INDEX(IP_MAIN_START_DATE,MATCH(A132,IP_MAIN_LIST_IP_ID,0))&amp;"-"&amp;INDEX(IP_MAIN_END_DATE,MATCH(A132,IP_MAIN_LIST_IP_ID,0))&amp;")"</f>
        <v>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округа Гагаринский на 2016-2027 годы (01.01.2016-31.12.2027)</v>
      </c>
      <c r="G132" s="1046"/>
      <c r="H132" s="1046"/>
      <c r="I132" s="1107"/>
      <c r="J132" s="1107"/>
      <c r="K132" s="1108"/>
      <c r="L132" s="1108"/>
      <c r="M132" s="1108"/>
      <c r="N132" s="1109"/>
      <c r="O132" s="1109"/>
      <c r="P132" s="1109"/>
      <c r="Q132" s="1109"/>
      <c r="R132" s="1109"/>
      <c r="S132" s="1109"/>
      <c r="T132" s="1109"/>
      <c r="U132" s="1109"/>
      <c r="V132" s="1109"/>
      <c r="W132" s="1109"/>
      <c r="X132" s="1109"/>
      <c r="Y132" s="1109"/>
      <c r="Z132" s="1109"/>
      <c r="AA132" s="1109"/>
      <c r="AB132" s="1109"/>
      <c r="AC132" s="1109"/>
      <c r="AD132" s="1109"/>
      <c r="AE132" s="1110"/>
      <c r="AF132" s="1108"/>
      <c r="AG132" s="1108"/>
      <c r="AH132" s="1108"/>
      <c r="AI132" s="1108"/>
      <c r="AJ132" s="1108"/>
      <c r="AK132" s="1108"/>
      <c r="AL132" s="1874"/>
      <c r="AM132" s="1714"/>
      <c r="AN132" s="1714"/>
      <c r="AO132" s="1714"/>
      <c r="AP132" s="1714"/>
      <c r="AQ132" s="1714"/>
      <c r="AR132" s="1714"/>
      <c r="AS132" s="1714"/>
      <c r="AT132" s="1714"/>
      <c r="AU132" s="1714"/>
      <c r="AV132" s="1714"/>
      <c r="AW132" s="1714"/>
      <c r="AX132" s="1714"/>
      <c r="AY132" s="1714"/>
      <c r="AZ132" s="1714"/>
      <c r="BA132" s="1714"/>
      <c r="BB132" s="1714"/>
      <c r="BC132" s="1714"/>
      <c r="BD132" s="1714"/>
      <c r="BE132" s="1714"/>
      <c r="BF132" s="1714"/>
    </row>
    <row r="133" spans="1:58" ht="0.75" customHeight="1">
      <c r="A133" s="1088" t="s">
        <v>1345</v>
      </c>
      <c r="D133" s="1082"/>
      <c r="E133" s="1092"/>
      <c r="F133" s="3894">
        <v>2016</v>
      </c>
      <c r="G133" s="3885"/>
      <c r="H133" s="3898" t="s">
        <v>421</v>
      </c>
      <c r="I133" s="3899"/>
      <c r="J133" s="3891"/>
      <c r="K133" s="3891"/>
      <c r="L133" s="3892"/>
      <c r="M133" s="3743"/>
      <c r="N133" s="1922"/>
      <c r="O133" s="1921"/>
      <c r="P133" s="1922"/>
      <c r="Q133" s="1922"/>
      <c r="R133" s="1922"/>
      <c r="S133" s="1922"/>
      <c r="T133" s="1922"/>
      <c r="U133" s="1922"/>
      <c r="V133" s="1922"/>
      <c r="W133" s="1922"/>
      <c r="X133" s="1922"/>
      <c r="Y133" s="1922"/>
      <c r="Z133" s="1922"/>
      <c r="AA133" s="1922"/>
      <c r="AB133" s="1922"/>
      <c r="AC133" s="1922"/>
      <c r="AD133" s="1922"/>
      <c r="AE133" s="1922"/>
      <c r="AF133" s="3897"/>
      <c r="AG133" s="3892"/>
      <c r="AH133" s="3892"/>
      <c r="AI133" s="3897"/>
      <c r="AJ133" s="3892"/>
      <c r="AK133" s="3892"/>
      <c r="AL133" s="1874"/>
      <c r="AM133" s="1714"/>
      <c r="AN133" s="1714"/>
      <c r="AO133" s="1714"/>
      <c r="AP133" s="1714"/>
      <c r="AQ133" s="1714"/>
      <c r="AR133" s="1714"/>
      <c r="AS133" s="1714"/>
      <c r="AT133" s="1714"/>
      <c r="AU133" s="1714"/>
      <c r="AV133" s="1714"/>
      <c r="AW133" s="1714"/>
      <c r="AX133" s="1714"/>
      <c r="AY133" s="1714"/>
      <c r="AZ133" s="1714"/>
      <c r="BA133" s="1714"/>
      <c r="BB133" s="1714"/>
      <c r="BC133" s="1714"/>
      <c r="BD133" s="1714"/>
      <c r="BE133" s="1714"/>
      <c r="BF133" s="1714"/>
    </row>
    <row r="134" spans="1:58" ht="0.75" customHeight="1">
      <c r="A134" s="1088" t="s">
        <v>1345</v>
      </c>
      <c r="D134" s="1082"/>
      <c r="E134" s="1092"/>
      <c r="F134" s="3894"/>
      <c r="G134" s="3885"/>
      <c r="H134" s="3898"/>
      <c r="I134" s="3899"/>
      <c r="J134" s="3891"/>
      <c r="K134" s="3891"/>
      <c r="L134" s="3892"/>
      <c r="M134" s="3743"/>
      <c r="N134" s="3900"/>
      <c r="O134" s="3901"/>
      <c r="P134" s="3888"/>
      <c r="Q134" s="3891"/>
      <c r="R134" s="3891"/>
      <c r="S134" s="3891"/>
      <c r="T134" s="3891"/>
      <c r="U134" s="3891"/>
      <c r="V134" s="3891"/>
      <c r="W134" s="3891"/>
      <c r="X134" s="3891"/>
      <c r="Y134" s="3891"/>
      <c r="Z134" s="1923"/>
      <c r="AA134" s="1924"/>
      <c r="AB134" s="1924"/>
      <c r="AC134" s="1925"/>
      <c r="AD134" s="1925"/>
      <c r="AE134" s="1926"/>
      <c r="AF134" s="3897"/>
      <c r="AG134" s="3892"/>
      <c r="AH134" s="3892"/>
      <c r="AI134" s="3897"/>
      <c r="AJ134" s="3892"/>
      <c r="AK134" s="3892"/>
      <c r="AL134" s="1874"/>
      <c r="AM134" s="1714"/>
      <c r="AN134" s="1714"/>
      <c r="AO134" s="1714"/>
      <c r="AP134" s="1714"/>
      <c r="AQ134" s="1714"/>
      <c r="AR134" s="1714"/>
      <c r="AS134" s="1714"/>
      <c r="AT134" s="1714"/>
      <c r="AU134" s="1714"/>
      <c r="AV134" s="1714"/>
      <c r="AW134" s="1714"/>
      <c r="AX134" s="1714"/>
      <c r="AY134" s="1714"/>
      <c r="AZ134" s="1714"/>
      <c r="BA134" s="1714"/>
      <c r="BB134" s="1714"/>
      <c r="BC134" s="1714"/>
      <c r="BD134" s="1714"/>
      <c r="BE134" s="1714"/>
      <c r="BF134" s="1714"/>
    </row>
    <row r="135" spans="1:58" ht="0.75" customHeight="1">
      <c r="A135" s="1088" t="s">
        <v>1345</v>
      </c>
      <c r="D135" s="1082"/>
      <c r="E135" s="1092"/>
      <c r="F135" s="3894"/>
      <c r="G135" s="3885"/>
      <c r="H135" s="3898"/>
      <c r="I135" s="3899"/>
      <c r="J135" s="3891"/>
      <c r="K135" s="3891"/>
      <c r="L135" s="3892"/>
      <c r="M135" s="3743"/>
      <c r="N135" s="3900"/>
      <c r="O135" s="3901"/>
      <c r="P135" s="3889"/>
      <c r="Q135" s="3891"/>
      <c r="R135" s="3891"/>
      <c r="S135" s="3891"/>
      <c r="T135" s="3891"/>
      <c r="U135" s="3891"/>
      <c r="V135" s="3891"/>
      <c r="W135" s="3891"/>
      <c r="X135" s="3891"/>
      <c r="Y135" s="3891"/>
      <c r="Z135" s="1927"/>
      <c r="AA135" s="1928"/>
      <c r="AB135" s="1929"/>
      <c r="AC135" s="1930"/>
      <c r="AD135" s="1929"/>
      <c r="AE135" s="1930"/>
      <c r="AF135" s="3897"/>
      <c r="AG135" s="3892"/>
      <c r="AH135" s="3892"/>
      <c r="AI135" s="3897"/>
      <c r="AJ135" s="3892"/>
      <c r="AK135" s="3892"/>
      <c r="AL135" s="1874"/>
      <c r="AM135" s="1714"/>
      <c r="AN135" s="1714"/>
      <c r="AO135" s="1714"/>
      <c r="AP135" s="1714"/>
      <c r="AQ135" s="1714"/>
      <c r="AR135" s="1714"/>
      <c r="AS135" s="1714"/>
      <c r="AT135" s="1714"/>
      <c r="AU135" s="1714"/>
      <c r="AV135" s="1714"/>
      <c r="AW135" s="1714"/>
      <c r="AX135" s="1714"/>
      <c r="AY135" s="1714"/>
      <c r="AZ135" s="1714"/>
      <c r="BA135" s="1714"/>
      <c r="BB135" s="1714"/>
      <c r="BC135" s="1714"/>
      <c r="BD135" s="1714"/>
      <c r="BE135" s="1714"/>
      <c r="BF135" s="1714"/>
    </row>
    <row r="136" spans="1:58" ht="0.75" customHeight="1">
      <c r="A136" s="1088" t="s">
        <v>1345</v>
      </c>
      <c r="D136" s="1082"/>
      <c r="E136" s="1092"/>
      <c r="F136" s="3894"/>
      <c r="G136" s="3885"/>
      <c r="H136" s="3898"/>
      <c r="I136" s="3899"/>
      <c r="J136" s="3891"/>
      <c r="K136" s="3891"/>
      <c r="L136" s="3892"/>
      <c r="M136" s="3743"/>
      <c r="N136" s="3900"/>
      <c r="O136" s="3901"/>
      <c r="P136" s="3890"/>
      <c r="Q136" s="3891"/>
      <c r="R136" s="3891"/>
      <c r="S136" s="3891"/>
      <c r="T136" s="3891"/>
      <c r="U136" s="3891"/>
      <c r="V136" s="3891"/>
      <c r="W136" s="3891"/>
      <c r="X136" s="3891"/>
      <c r="Y136" s="3891"/>
      <c r="Z136" s="1923"/>
      <c r="AA136" s="1924"/>
      <c r="AB136" s="1931"/>
      <c r="AC136" s="1925"/>
      <c r="AD136" s="1925"/>
      <c r="AE136" s="1932"/>
      <c r="AF136" s="3897"/>
      <c r="AG136" s="3892"/>
      <c r="AH136" s="3892"/>
      <c r="AI136" s="3897"/>
      <c r="AJ136" s="3892"/>
      <c r="AK136" s="3892"/>
      <c r="AL136" s="1874"/>
      <c r="AM136" s="1714"/>
      <c r="AN136" s="1714"/>
      <c r="AO136" s="1714"/>
      <c r="AP136" s="1714"/>
      <c r="AQ136" s="1714"/>
      <c r="AR136" s="1714"/>
      <c r="AS136" s="1714"/>
      <c r="AT136" s="1714"/>
      <c r="AU136" s="1714"/>
      <c r="AV136" s="1714"/>
      <c r="AW136" s="1714"/>
      <c r="AX136" s="1714"/>
      <c r="AY136" s="1714"/>
      <c r="AZ136" s="1714"/>
      <c r="BA136" s="1714"/>
      <c r="BB136" s="1714"/>
      <c r="BC136" s="1714"/>
      <c r="BD136" s="1714"/>
      <c r="BE136" s="1714"/>
      <c r="BF136" s="1714"/>
    </row>
    <row r="137" spans="1:58" ht="0.75" customHeight="1">
      <c r="A137" s="1088" t="s">
        <v>1345</v>
      </c>
      <c r="D137" s="1082"/>
      <c r="E137" s="1092"/>
      <c r="F137" s="3894"/>
      <c r="G137" s="3885"/>
      <c r="H137" s="3898"/>
      <c r="I137" s="3899"/>
      <c r="J137" s="3891"/>
      <c r="K137" s="3891"/>
      <c r="L137" s="3892"/>
      <c r="M137" s="3743"/>
      <c r="N137" s="1924"/>
      <c r="O137" s="1924"/>
      <c r="P137" s="1931"/>
      <c r="Q137" s="1924"/>
      <c r="R137" s="1924"/>
      <c r="S137" s="1924"/>
      <c r="T137" s="1924"/>
      <c r="U137" s="1924"/>
      <c r="V137" s="1924"/>
      <c r="W137" s="1924"/>
      <c r="X137" s="1924"/>
      <c r="Y137" s="1924"/>
      <c r="Z137" s="1924"/>
      <c r="AA137" s="1924"/>
      <c r="AB137" s="1924"/>
      <c r="AC137" s="1924"/>
      <c r="AD137" s="1924"/>
      <c r="AE137" s="1933"/>
      <c r="AF137" s="3897"/>
      <c r="AG137" s="3892"/>
      <c r="AH137" s="3892"/>
      <c r="AI137" s="3897"/>
      <c r="AJ137" s="3892"/>
      <c r="AK137" s="3892"/>
      <c r="AL137" s="1874"/>
      <c r="AM137" s="1714"/>
      <c r="AN137" s="1714"/>
      <c r="AO137" s="1714"/>
      <c r="AP137" s="1714"/>
      <c r="AQ137" s="1714"/>
      <c r="AR137" s="1714"/>
      <c r="AS137" s="1714"/>
      <c r="AT137" s="1714"/>
      <c r="AU137" s="1714"/>
      <c r="AV137" s="1714"/>
      <c r="AW137" s="1714"/>
      <c r="AX137" s="1714"/>
      <c r="AY137" s="1714"/>
      <c r="AZ137" s="1714"/>
      <c r="BA137" s="1714"/>
      <c r="BB137" s="1714"/>
      <c r="BC137" s="1714"/>
      <c r="BD137" s="1714"/>
      <c r="BE137" s="1714"/>
      <c r="BF137" s="1714"/>
    </row>
    <row r="138" spans="1:58" ht="11.25" customHeight="1">
      <c r="A138" s="1088" t="s">
        <v>1345</v>
      </c>
      <c r="D138" s="1082"/>
      <c r="E138" s="1092"/>
      <c r="F138" s="3895"/>
      <c r="G138" s="3853" t="s">
        <v>90</v>
      </c>
      <c r="H138" s="3885" t="s">
        <v>164</v>
      </c>
      <c r="I138" s="3886"/>
      <c r="J138" s="3883"/>
      <c r="K138" s="3887" t="s">
        <v>1459</v>
      </c>
      <c r="L138" s="3599" t="s">
        <v>6</v>
      </c>
      <c r="M138" s="3600"/>
      <c r="N138" s="1872"/>
      <c r="O138" s="1099" t="s">
        <v>421</v>
      </c>
      <c r="P138" s="1100"/>
      <c r="Q138" s="1100"/>
      <c r="R138" s="1100"/>
      <c r="S138" s="1100"/>
      <c r="T138" s="1100"/>
      <c r="U138" s="1100"/>
      <c r="V138" s="1100"/>
      <c r="W138" s="1100"/>
      <c r="X138" s="1100"/>
      <c r="Y138" s="1100"/>
      <c r="Z138" s="1100"/>
      <c r="AA138" s="1100"/>
      <c r="AB138" s="1100"/>
      <c r="AC138" s="1100"/>
      <c r="AD138" s="1100"/>
      <c r="AE138" s="1100"/>
      <c r="AF138" s="3876">
        <v>2019</v>
      </c>
      <c r="AG138" s="3877" t="s">
        <v>1447</v>
      </c>
      <c r="AH138" s="3877" t="s">
        <v>1460</v>
      </c>
      <c r="AI138" s="3876">
        <v>2019</v>
      </c>
      <c r="AJ138" s="3877" t="s">
        <v>1447</v>
      </c>
      <c r="AK138" s="3877" t="s">
        <v>1460</v>
      </c>
      <c r="AL138" s="1874"/>
      <c r="AM138" s="1714"/>
      <c r="AN138" s="1714"/>
      <c r="AO138" s="1714"/>
      <c r="AP138" s="1714"/>
      <c r="AQ138" s="1714"/>
      <c r="AR138" s="1714"/>
      <c r="AS138" s="1714"/>
      <c r="AT138" s="1714"/>
      <c r="AU138" s="1714"/>
      <c r="AV138" s="1714"/>
      <c r="AW138" s="1714"/>
      <c r="AX138" s="1714"/>
      <c r="AY138" s="1714"/>
      <c r="AZ138" s="1714"/>
      <c r="BA138" s="1714"/>
      <c r="BB138" s="1714"/>
      <c r="BC138" s="1714"/>
      <c r="BD138" s="1714"/>
      <c r="BE138" s="1714"/>
      <c r="BF138" s="1714"/>
    </row>
    <row r="139" spans="1:58" ht="11.25" customHeight="1">
      <c r="A139" s="1088" t="s">
        <v>1345</v>
      </c>
      <c r="D139" s="1082"/>
      <c r="E139" s="1092"/>
      <c r="F139" s="3895"/>
      <c r="G139" s="3875"/>
      <c r="H139" s="3885" t="s">
        <v>421</v>
      </c>
      <c r="I139" s="3886"/>
      <c r="J139" s="3883"/>
      <c r="K139" s="3887"/>
      <c r="L139" s="3599"/>
      <c r="M139" s="3600"/>
      <c r="N139" s="3878"/>
      <c r="O139" s="3879">
        <v>1</v>
      </c>
      <c r="P139" s="3880" t="s">
        <v>50</v>
      </c>
      <c r="Q139" s="3883" t="s">
        <v>1461</v>
      </c>
      <c r="R139" s="3884" t="s">
        <v>1438</v>
      </c>
      <c r="S139" s="3884" t="s">
        <v>92</v>
      </c>
      <c r="T139" s="3884" t="s">
        <v>92</v>
      </c>
      <c r="U139" s="3884" t="s">
        <v>93</v>
      </c>
      <c r="V139" s="3884" t="s">
        <v>1462</v>
      </c>
      <c r="W139" s="3884" t="s">
        <v>1463</v>
      </c>
      <c r="X139" s="3884" t="s">
        <v>1464</v>
      </c>
      <c r="Y139" s="3884" t="s">
        <v>1465</v>
      </c>
      <c r="Z139" s="1097"/>
      <c r="AA139" s="1098"/>
      <c r="AB139" s="1098"/>
      <c r="AC139" s="1102"/>
      <c r="AD139" s="1102"/>
      <c r="AE139" s="1103"/>
      <c r="AF139" s="3876"/>
      <c r="AG139" s="3877"/>
      <c r="AH139" s="3877"/>
      <c r="AI139" s="3876"/>
      <c r="AJ139" s="3877"/>
      <c r="AK139" s="3877"/>
      <c r="AL139" s="1874"/>
      <c r="AM139" s="1714"/>
      <c r="AN139" s="1714"/>
      <c r="AO139" s="1714"/>
      <c r="AP139" s="1714"/>
      <c r="AQ139" s="1714"/>
      <c r="AR139" s="1714"/>
      <c r="AS139" s="1714"/>
      <c r="AT139" s="1714"/>
      <c r="AU139" s="1714"/>
      <c r="AV139" s="1714"/>
      <c r="AW139" s="1714"/>
      <c r="AX139" s="1714"/>
      <c r="AY139" s="1714"/>
      <c r="AZ139" s="1714"/>
      <c r="BA139" s="1714"/>
      <c r="BB139" s="1714"/>
      <c r="BC139" s="1714"/>
      <c r="BD139" s="1714"/>
      <c r="BE139" s="1714"/>
      <c r="BF139" s="1714"/>
    </row>
    <row r="140" spans="1:58" ht="11.25" customHeight="1">
      <c r="A140" s="1088" t="s">
        <v>1345</v>
      </c>
      <c r="D140" s="1082"/>
      <c r="E140" s="1092"/>
      <c r="F140" s="3895"/>
      <c r="G140" s="3875"/>
      <c r="H140" s="3885" t="s">
        <v>421</v>
      </c>
      <c r="I140" s="3886"/>
      <c r="J140" s="3883"/>
      <c r="K140" s="3887"/>
      <c r="L140" s="3599"/>
      <c r="M140" s="3600"/>
      <c r="N140" s="3878"/>
      <c r="O140" s="3879"/>
      <c r="P140" s="3881"/>
      <c r="Q140" s="3883"/>
      <c r="R140" s="3874"/>
      <c r="S140" s="3884"/>
      <c r="T140" s="3874"/>
      <c r="U140" s="3874"/>
      <c r="V140" s="3874"/>
      <c r="W140" s="3874"/>
      <c r="X140" s="3874"/>
      <c r="Y140" s="3874"/>
      <c r="Z140" s="1719"/>
      <c r="AA140" s="1686">
        <v>1</v>
      </c>
      <c r="AB140" s="1101" t="s">
        <v>1443</v>
      </c>
      <c r="AC140" s="1091">
        <v>0</v>
      </c>
      <c r="AD140" s="1101" t="str">
        <f>AB140</f>
        <v xml:space="preserve">  Прибыль направляемая на инвестиции</v>
      </c>
      <c r="AE140" s="1091">
        <v>8.0500000000000007</v>
      </c>
      <c r="AF140" s="3876"/>
      <c r="AG140" s="3877"/>
      <c r="AH140" s="3877"/>
      <c r="AI140" s="3876"/>
      <c r="AJ140" s="3877"/>
      <c r="AK140" s="3877"/>
      <c r="AL140" s="1874"/>
      <c r="AM140" s="1714"/>
      <c r="AN140" s="1714"/>
      <c r="AO140" s="1714"/>
      <c r="AP140" s="1714"/>
      <c r="AQ140" s="1714"/>
      <c r="AR140" s="1714"/>
      <c r="AS140" s="1714"/>
      <c r="AT140" s="1714"/>
      <c r="AU140" s="1714"/>
      <c r="AV140" s="1714"/>
      <c r="AW140" s="1714"/>
      <c r="AX140" s="1714"/>
      <c r="AY140" s="1714"/>
      <c r="AZ140" s="1714"/>
      <c r="BA140" s="1714"/>
      <c r="BB140" s="1714"/>
      <c r="BC140" s="1714"/>
      <c r="BD140" s="1714"/>
      <c r="BE140" s="1714"/>
      <c r="BF140" s="1714"/>
    </row>
    <row r="141" spans="1:58" ht="11.25" customHeight="1">
      <c r="A141" s="1088" t="s">
        <v>1345</v>
      </c>
      <c r="D141" s="1082"/>
      <c r="E141" s="1092"/>
      <c r="F141" s="3895"/>
      <c r="G141" s="3875"/>
      <c r="H141" s="3885" t="s">
        <v>421</v>
      </c>
      <c r="I141" s="3886"/>
      <c r="J141" s="3883"/>
      <c r="K141" s="3887"/>
      <c r="L141" s="3599"/>
      <c r="M141" s="3600"/>
      <c r="N141" s="3878"/>
      <c r="O141" s="3879"/>
      <c r="P141" s="3882"/>
      <c r="Q141" s="3883"/>
      <c r="R141" s="3874"/>
      <c r="S141" s="3884"/>
      <c r="T141" s="3874"/>
      <c r="U141" s="3874"/>
      <c r="V141" s="3874"/>
      <c r="W141" s="3874"/>
      <c r="X141" s="3874"/>
      <c r="Y141" s="3874"/>
      <c r="Z141" s="1097"/>
      <c r="AA141" s="1098"/>
      <c r="AB141" s="1163" t="s">
        <v>1444</v>
      </c>
      <c r="AC141" s="1102"/>
      <c r="AD141" s="1102"/>
      <c r="AE141" s="1104"/>
      <c r="AF141" s="3876"/>
      <c r="AG141" s="3877"/>
      <c r="AH141" s="3877"/>
      <c r="AI141" s="3876"/>
      <c r="AJ141" s="3877"/>
      <c r="AK141" s="3877"/>
      <c r="AL141" s="1874"/>
      <c r="AM141" s="1714"/>
      <c r="AN141" s="1714"/>
      <c r="AO141" s="1714"/>
      <c r="AP141" s="1714"/>
      <c r="AQ141" s="1714"/>
      <c r="AR141" s="1714"/>
      <c r="AS141" s="1714"/>
      <c r="AT141" s="1714"/>
      <c r="AU141" s="1714"/>
      <c r="AV141" s="1714"/>
      <c r="AW141" s="1714"/>
      <c r="AX141" s="1714"/>
      <c r="AY141" s="1714"/>
      <c r="AZ141" s="1714"/>
      <c r="BA141" s="1714"/>
      <c r="BB141" s="1714"/>
      <c r="BC141" s="1714"/>
      <c r="BD141" s="1714"/>
      <c r="BE141" s="1714"/>
      <c r="BF141" s="1714"/>
    </row>
    <row r="142" spans="1:58" ht="11.25" customHeight="1">
      <c r="A142" s="1088" t="s">
        <v>1345</v>
      </c>
      <c r="D142" s="1082"/>
      <c r="E142" s="1092"/>
      <c r="F142" s="3895"/>
      <c r="G142" s="3875"/>
      <c r="H142" s="3885" t="s">
        <v>421</v>
      </c>
      <c r="I142" s="3886"/>
      <c r="J142" s="3883"/>
      <c r="K142" s="3887"/>
      <c r="L142" s="3599"/>
      <c r="M142" s="3600"/>
      <c r="N142" s="1097"/>
      <c r="O142" s="1098"/>
      <c r="P142" s="1090" t="s">
        <v>1445</v>
      </c>
      <c r="Q142" s="1098"/>
      <c r="R142" s="1098"/>
      <c r="S142" s="1098"/>
      <c r="T142" s="1098"/>
      <c r="U142" s="1098"/>
      <c r="V142" s="1098"/>
      <c r="W142" s="1098"/>
      <c r="X142" s="1098"/>
      <c r="Y142" s="1098"/>
      <c r="Z142" s="1098"/>
      <c r="AA142" s="1098"/>
      <c r="AB142" s="1098"/>
      <c r="AC142" s="1098"/>
      <c r="AD142" s="1098"/>
      <c r="AE142" s="1105"/>
      <c r="AF142" s="3876"/>
      <c r="AG142" s="3877"/>
      <c r="AH142" s="3877"/>
      <c r="AI142" s="3876"/>
      <c r="AJ142" s="3877"/>
      <c r="AK142" s="3877"/>
      <c r="AL142" s="1874"/>
      <c r="AM142" s="1714"/>
      <c r="AN142" s="1714"/>
      <c r="AO142" s="1714"/>
      <c r="AP142" s="1714"/>
      <c r="AQ142" s="1714"/>
      <c r="AR142" s="1714"/>
      <c r="AS142" s="1714"/>
      <c r="AT142" s="1714"/>
      <c r="AU142" s="1714"/>
      <c r="AV142" s="1714"/>
      <c r="AW142" s="1714"/>
      <c r="AX142" s="1714"/>
      <c r="AY142" s="1714"/>
      <c r="AZ142" s="1714"/>
      <c r="BA142" s="1714"/>
      <c r="BB142" s="1714"/>
      <c r="BC142" s="1714"/>
      <c r="BD142" s="1714"/>
      <c r="BE142" s="1714"/>
      <c r="BF142" s="1714"/>
    </row>
    <row r="143" spans="1:58" ht="11.25" customHeight="1">
      <c r="A143" s="1088" t="s">
        <v>1345</v>
      </c>
      <c r="D143" s="1082"/>
      <c r="E143" s="1092"/>
      <c r="F143" s="3895"/>
      <c r="G143" s="3853" t="s">
        <v>90</v>
      </c>
      <c r="H143" s="3885" t="s">
        <v>89</v>
      </c>
      <c r="I143" s="3886"/>
      <c r="J143" s="3883"/>
      <c r="K143" s="3887" t="s">
        <v>1466</v>
      </c>
      <c r="L143" s="3599" t="s">
        <v>6</v>
      </c>
      <c r="M143" s="3600"/>
      <c r="N143" s="1872"/>
      <c r="O143" s="1099" t="s">
        <v>421</v>
      </c>
      <c r="P143" s="1100"/>
      <c r="Q143" s="1100"/>
      <c r="R143" s="1100"/>
      <c r="S143" s="1100"/>
      <c r="T143" s="1100"/>
      <c r="U143" s="1100"/>
      <c r="V143" s="1100"/>
      <c r="W143" s="1100"/>
      <c r="X143" s="1100"/>
      <c r="Y143" s="1100"/>
      <c r="Z143" s="1100"/>
      <c r="AA143" s="1100"/>
      <c r="AB143" s="1100"/>
      <c r="AC143" s="1100"/>
      <c r="AD143" s="1100"/>
      <c r="AE143" s="1100"/>
      <c r="AF143" s="3876">
        <v>2019</v>
      </c>
      <c r="AG143" s="3877" t="s">
        <v>1447</v>
      </c>
      <c r="AH143" s="3877" t="s">
        <v>1460</v>
      </c>
      <c r="AI143" s="3876">
        <v>2019</v>
      </c>
      <c r="AJ143" s="3877" t="s">
        <v>1447</v>
      </c>
      <c r="AK143" s="3877" t="s">
        <v>1460</v>
      </c>
      <c r="AL143" s="1874"/>
      <c r="AM143" s="1714"/>
      <c r="AN143" s="1714"/>
      <c r="AO143" s="1714"/>
      <c r="AP143" s="1714"/>
      <c r="AQ143" s="1714"/>
      <c r="AR143" s="1714"/>
      <c r="AS143" s="1714"/>
      <c r="AT143" s="1714"/>
      <c r="AU143" s="1714"/>
      <c r="AV143" s="1714"/>
      <c r="AW143" s="1714"/>
      <c r="AX143" s="1714"/>
      <c r="AY143" s="1714"/>
      <c r="AZ143" s="1714"/>
      <c r="BA143" s="1714"/>
      <c r="BB143" s="1714"/>
      <c r="BC143" s="1714"/>
      <c r="BD143" s="1714"/>
      <c r="BE143" s="1714"/>
      <c r="BF143" s="1714"/>
    </row>
    <row r="144" spans="1:58" ht="11.25" customHeight="1">
      <c r="A144" s="1088" t="s">
        <v>1345</v>
      </c>
      <c r="D144" s="1082"/>
      <c r="E144" s="1092"/>
      <c r="F144" s="3895"/>
      <c r="G144" s="3875"/>
      <c r="H144" s="3885" t="s">
        <v>164</v>
      </c>
      <c r="I144" s="3886"/>
      <c r="J144" s="3883"/>
      <c r="K144" s="3887"/>
      <c r="L144" s="3599"/>
      <c r="M144" s="3600"/>
      <c r="N144" s="3878"/>
      <c r="O144" s="3879">
        <v>1</v>
      </c>
      <c r="P144" s="3880" t="s">
        <v>50</v>
      </c>
      <c r="Q144" s="3883" t="s">
        <v>1467</v>
      </c>
      <c r="R144" s="3884" t="s">
        <v>1438</v>
      </c>
      <c r="S144" s="3884" t="s">
        <v>92</v>
      </c>
      <c r="T144" s="3884" t="s">
        <v>92</v>
      </c>
      <c r="U144" s="3884" t="s">
        <v>93</v>
      </c>
      <c r="V144" s="3884" t="s">
        <v>1462</v>
      </c>
      <c r="W144" s="3884" t="s">
        <v>1463</v>
      </c>
      <c r="X144" s="3884" t="s">
        <v>1468</v>
      </c>
      <c r="Y144" s="3884" t="s">
        <v>1469</v>
      </c>
      <c r="Z144" s="1097"/>
      <c r="AA144" s="1098"/>
      <c r="AB144" s="1098"/>
      <c r="AC144" s="1102"/>
      <c r="AD144" s="1102"/>
      <c r="AE144" s="1103"/>
      <c r="AF144" s="3876"/>
      <c r="AG144" s="3877"/>
      <c r="AH144" s="3877"/>
      <c r="AI144" s="3876"/>
      <c r="AJ144" s="3877"/>
      <c r="AK144" s="3877"/>
      <c r="AL144" s="1874"/>
      <c r="AM144" s="1714"/>
      <c r="AN144" s="1714"/>
      <c r="AO144" s="1714"/>
      <c r="AP144" s="1714"/>
      <c r="AQ144" s="1714"/>
      <c r="AR144" s="1714"/>
      <c r="AS144" s="1714"/>
      <c r="AT144" s="1714"/>
      <c r="AU144" s="1714"/>
      <c r="AV144" s="1714"/>
      <c r="AW144" s="1714"/>
      <c r="AX144" s="1714"/>
      <c r="AY144" s="1714"/>
      <c r="AZ144" s="1714"/>
      <c r="BA144" s="1714"/>
      <c r="BB144" s="1714"/>
      <c r="BC144" s="1714"/>
      <c r="BD144" s="1714"/>
      <c r="BE144" s="1714"/>
      <c r="BF144" s="1714"/>
    </row>
    <row r="145" spans="1:58" ht="11.25" customHeight="1">
      <c r="A145" s="1088" t="s">
        <v>1345</v>
      </c>
      <c r="D145" s="1082"/>
      <c r="E145" s="1092"/>
      <c r="F145" s="3895"/>
      <c r="G145" s="3875"/>
      <c r="H145" s="3885" t="s">
        <v>164</v>
      </c>
      <c r="I145" s="3886"/>
      <c r="J145" s="3883"/>
      <c r="K145" s="3887"/>
      <c r="L145" s="3599"/>
      <c r="M145" s="3600"/>
      <c r="N145" s="3878"/>
      <c r="O145" s="3879"/>
      <c r="P145" s="3881"/>
      <c r="Q145" s="3883"/>
      <c r="R145" s="3874"/>
      <c r="S145" s="3884"/>
      <c r="T145" s="3874"/>
      <c r="U145" s="3874"/>
      <c r="V145" s="3874"/>
      <c r="W145" s="3874"/>
      <c r="X145" s="3874"/>
      <c r="Y145" s="3874"/>
      <c r="Z145" s="1719"/>
      <c r="AA145" s="1686">
        <v>1</v>
      </c>
      <c r="AB145" s="1101" t="s">
        <v>1443</v>
      </c>
      <c r="AC145" s="1091">
        <v>0</v>
      </c>
      <c r="AD145" s="1101" t="str">
        <f>AB145</f>
        <v xml:space="preserve">  Прибыль направляемая на инвестиции</v>
      </c>
      <c r="AE145" s="1091">
        <v>32.86</v>
      </c>
      <c r="AF145" s="3876"/>
      <c r="AG145" s="3877"/>
      <c r="AH145" s="3877"/>
      <c r="AI145" s="3876"/>
      <c r="AJ145" s="3877"/>
      <c r="AK145" s="3877"/>
      <c r="AL145" s="1874"/>
      <c r="AM145" s="1714"/>
      <c r="AN145" s="1714"/>
      <c r="AO145" s="1714"/>
      <c r="AP145" s="1714"/>
      <c r="AQ145" s="1714"/>
      <c r="AR145" s="1714"/>
      <c r="AS145" s="1714"/>
      <c r="AT145" s="1714"/>
      <c r="AU145" s="1714"/>
      <c r="AV145" s="1714"/>
      <c r="AW145" s="1714"/>
      <c r="AX145" s="1714"/>
      <c r="AY145" s="1714"/>
      <c r="AZ145" s="1714"/>
      <c r="BA145" s="1714"/>
      <c r="BB145" s="1714"/>
      <c r="BC145" s="1714"/>
      <c r="BD145" s="1714"/>
      <c r="BE145" s="1714"/>
      <c r="BF145" s="1714"/>
    </row>
    <row r="146" spans="1:58" ht="11.25" customHeight="1">
      <c r="A146" s="1088" t="s">
        <v>1345</v>
      </c>
      <c r="D146" s="1082"/>
      <c r="E146" s="1092"/>
      <c r="F146" s="3895"/>
      <c r="G146" s="3875"/>
      <c r="H146" s="3885" t="s">
        <v>164</v>
      </c>
      <c r="I146" s="3886"/>
      <c r="J146" s="3883"/>
      <c r="K146" s="3887"/>
      <c r="L146" s="3599"/>
      <c r="M146" s="3600"/>
      <c r="N146" s="3878"/>
      <c r="O146" s="3879"/>
      <c r="P146" s="3882"/>
      <c r="Q146" s="3883"/>
      <c r="R146" s="3874"/>
      <c r="S146" s="3884"/>
      <c r="T146" s="3874"/>
      <c r="U146" s="3874"/>
      <c r="V146" s="3874"/>
      <c r="W146" s="3874"/>
      <c r="X146" s="3874"/>
      <c r="Y146" s="3874"/>
      <c r="Z146" s="1097"/>
      <c r="AA146" s="1098"/>
      <c r="AB146" s="1163" t="s">
        <v>1444</v>
      </c>
      <c r="AC146" s="1102"/>
      <c r="AD146" s="1102"/>
      <c r="AE146" s="1104"/>
      <c r="AF146" s="3876"/>
      <c r="AG146" s="3877"/>
      <c r="AH146" s="3877"/>
      <c r="AI146" s="3876"/>
      <c r="AJ146" s="3877"/>
      <c r="AK146" s="3877"/>
      <c r="AL146" s="1874"/>
      <c r="AM146" s="1714"/>
      <c r="AN146" s="1714"/>
      <c r="AO146" s="1714"/>
      <c r="AP146" s="1714"/>
      <c r="AQ146" s="1714"/>
      <c r="AR146" s="1714"/>
      <c r="AS146" s="1714"/>
      <c r="AT146" s="1714"/>
      <c r="AU146" s="1714"/>
      <c r="AV146" s="1714"/>
      <c r="AW146" s="1714"/>
      <c r="AX146" s="1714"/>
      <c r="AY146" s="1714"/>
      <c r="AZ146" s="1714"/>
      <c r="BA146" s="1714"/>
      <c r="BB146" s="1714"/>
      <c r="BC146" s="1714"/>
      <c r="BD146" s="1714"/>
      <c r="BE146" s="1714"/>
      <c r="BF146" s="1714"/>
    </row>
    <row r="147" spans="1:58" ht="11.25" customHeight="1">
      <c r="A147" s="1088" t="s">
        <v>1345</v>
      </c>
      <c r="D147" s="1082"/>
      <c r="E147" s="1092"/>
      <c r="F147" s="3895"/>
      <c r="G147" s="3875"/>
      <c r="H147" s="3885" t="s">
        <v>164</v>
      </c>
      <c r="I147" s="3886"/>
      <c r="J147" s="3883"/>
      <c r="K147" s="3887"/>
      <c r="L147" s="3599"/>
      <c r="M147" s="3600"/>
      <c r="N147" s="1097"/>
      <c r="O147" s="1098"/>
      <c r="P147" s="1090" t="s">
        <v>1445</v>
      </c>
      <c r="Q147" s="1098"/>
      <c r="R147" s="1098"/>
      <c r="S147" s="1098"/>
      <c r="T147" s="1098"/>
      <c r="U147" s="1098"/>
      <c r="V147" s="1098"/>
      <c r="W147" s="1098"/>
      <c r="X147" s="1098"/>
      <c r="Y147" s="1098"/>
      <c r="Z147" s="1098"/>
      <c r="AA147" s="1098"/>
      <c r="AB147" s="1098"/>
      <c r="AC147" s="1098"/>
      <c r="AD147" s="1098"/>
      <c r="AE147" s="1105"/>
      <c r="AF147" s="3876"/>
      <c r="AG147" s="3877"/>
      <c r="AH147" s="3877"/>
      <c r="AI147" s="3876"/>
      <c r="AJ147" s="3877"/>
      <c r="AK147" s="3877"/>
      <c r="AL147" s="1874"/>
      <c r="AM147" s="1714"/>
      <c r="AN147" s="1714"/>
      <c r="AO147" s="1714"/>
      <c r="AP147" s="1714"/>
      <c r="AQ147" s="1714"/>
      <c r="AR147" s="1714"/>
      <c r="AS147" s="1714"/>
      <c r="AT147" s="1714"/>
      <c r="AU147" s="1714"/>
      <c r="AV147" s="1714"/>
      <c r="AW147" s="1714"/>
      <c r="AX147" s="1714"/>
      <c r="AY147" s="1714"/>
      <c r="AZ147" s="1714"/>
      <c r="BA147" s="1714"/>
      <c r="BB147" s="1714"/>
      <c r="BC147" s="1714"/>
      <c r="BD147" s="1714"/>
      <c r="BE147" s="1714"/>
      <c r="BF147" s="1714"/>
    </row>
    <row r="148" spans="1:58" ht="11.25" customHeight="1">
      <c r="A148" s="1088" t="s">
        <v>1345</v>
      </c>
      <c r="D148" s="1082"/>
      <c r="E148" s="1092"/>
      <c r="F148" s="3895"/>
      <c r="G148" s="3853" t="s">
        <v>90</v>
      </c>
      <c r="H148" s="3885" t="s">
        <v>78</v>
      </c>
      <c r="I148" s="3886"/>
      <c r="J148" s="3883"/>
      <c r="K148" s="3887" t="s">
        <v>1470</v>
      </c>
      <c r="L148" s="3599" t="s">
        <v>6</v>
      </c>
      <c r="M148" s="3600"/>
      <c r="N148" s="1872"/>
      <c r="O148" s="1099" t="s">
        <v>421</v>
      </c>
      <c r="P148" s="1100"/>
      <c r="Q148" s="1100"/>
      <c r="R148" s="1100"/>
      <c r="S148" s="1100"/>
      <c r="T148" s="1100"/>
      <c r="U148" s="1100"/>
      <c r="V148" s="1100"/>
      <c r="W148" s="1100"/>
      <c r="X148" s="1100"/>
      <c r="Y148" s="1100"/>
      <c r="Z148" s="1100"/>
      <c r="AA148" s="1100"/>
      <c r="AB148" s="1100"/>
      <c r="AC148" s="1100"/>
      <c r="AD148" s="1100"/>
      <c r="AE148" s="1100"/>
      <c r="AF148" s="3876">
        <v>2019</v>
      </c>
      <c r="AG148" s="3877" t="s">
        <v>1447</v>
      </c>
      <c r="AH148" s="3877" t="s">
        <v>1460</v>
      </c>
      <c r="AI148" s="3876">
        <v>2019</v>
      </c>
      <c r="AJ148" s="3877" t="s">
        <v>1435</v>
      </c>
      <c r="AK148" s="3877" t="s">
        <v>1460</v>
      </c>
      <c r="AL148" s="1874"/>
      <c r="AM148" s="1714"/>
      <c r="AN148" s="1714"/>
      <c r="AO148" s="1714"/>
      <c r="AP148" s="1714"/>
      <c r="AQ148" s="1714"/>
      <c r="AR148" s="1714"/>
      <c r="AS148" s="1714"/>
      <c r="AT148" s="1714"/>
      <c r="AU148" s="1714"/>
      <c r="AV148" s="1714"/>
      <c r="AW148" s="1714"/>
      <c r="AX148" s="1714"/>
      <c r="AY148" s="1714"/>
      <c r="AZ148" s="1714"/>
      <c r="BA148" s="1714"/>
      <c r="BB148" s="1714"/>
      <c r="BC148" s="1714"/>
      <c r="BD148" s="1714"/>
      <c r="BE148" s="1714"/>
      <c r="BF148" s="1714"/>
    </row>
    <row r="149" spans="1:58" ht="11.25" customHeight="1">
      <c r="A149" s="1088" t="s">
        <v>1345</v>
      </c>
      <c r="D149" s="1082"/>
      <c r="E149" s="1092"/>
      <c r="F149" s="3895"/>
      <c r="G149" s="3875"/>
      <c r="H149" s="3885" t="s">
        <v>89</v>
      </c>
      <c r="I149" s="3886"/>
      <c r="J149" s="3883"/>
      <c r="K149" s="3887"/>
      <c r="L149" s="3599"/>
      <c r="M149" s="3600"/>
      <c r="N149" s="3878"/>
      <c r="O149" s="3879">
        <v>1</v>
      </c>
      <c r="P149" s="3880" t="s">
        <v>50</v>
      </c>
      <c r="Q149" s="3883" t="s">
        <v>1471</v>
      </c>
      <c r="R149" s="3884" t="s">
        <v>1438</v>
      </c>
      <c r="S149" s="3884" t="s">
        <v>92</v>
      </c>
      <c r="T149" s="3884" t="s">
        <v>92</v>
      </c>
      <c r="U149" s="3884" t="s">
        <v>93</v>
      </c>
      <c r="V149" s="3884" t="s">
        <v>1462</v>
      </c>
      <c r="W149" s="3884" t="s">
        <v>1463</v>
      </c>
      <c r="X149" s="3884" t="s">
        <v>1472</v>
      </c>
      <c r="Y149" s="3884" t="s">
        <v>1442</v>
      </c>
      <c r="Z149" s="1097"/>
      <c r="AA149" s="1098"/>
      <c r="AB149" s="1098"/>
      <c r="AC149" s="1102"/>
      <c r="AD149" s="1102"/>
      <c r="AE149" s="1103"/>
      <c r="AF149" s="3876"/>
      <c r="AG149" s="3877"/>
      <c r="AH149" s="3877"/>
      <c r="AI149" s="3876"/>
      <c r="AJ149" s="3877"/>
      <c r="AK149" s="3877"/>
      <c r="AL149" s="1874"/>
      <c r="AM149" s="1714"/>
      <c r="AN149" s="1714"/>
      <c r="AO149" s="1714"/>
      <c r="AP149" s="1714"/>
      <c r="AQ149" s="1714"/>
      <c r="AR149" s="1714"/>
      <c r="AS149" s="1714"/>
      <c r="AT149" s="1714"/>
      <c r="AU149" s="1714"/>
      <c r="AV149" s="1714"/>
      <c r="AW149" s="1714"/>
      <c r="AX149" s="1714"/>
      <c r="AY149" s="1714"/>
      <c r="AZ149" s="1714"/>
      <c r="BA149" s="1714"/>
      <c r="BB149" s="1714"/>
      <c r="BC149" s="1714"/>
      <c r="BD149" s="1714"/>
      <c r="BE149" s="1714"/>
      <c r="BF149" s="1714"/>
    </row>
    <row r="150" spans="1:58" ht="11.25" customHeight="1">
      <c r="A150" s="1088" t="s">
        <v>1345</v>
      </c>
      <c r="D150" s="1082"/>
      <c r="E150" s="1092"/>
      <c r="F150" s="3895"/>
      <c r="G150" s="3875"/>
      <c r="H150" s="3885" t="s">
        <v>89</v>
      </c>
      <c r="I150" s="3886"/>
      <c r="J150" s="3883"/>
      <c r="K150" s="3887"/>
      <c r="L150" s="3599"/>
      <c r="M150" s="3600"/>
      <c r="N150" s="3878"/>
      <c r="O150" s="3879"/>
      <c r="P150" s="3881"/>
      <c r="Q150" s="3883"/>
      <c r="R150" s="3874"/>
      <c r="S150" s="3884"/>
      <c r="T150" s="3874"/>
      <c r="U150" s="3874"/>
      <c r="V150" s="3874"/>
      <c r="W150" s="3874"/>
      <c r="X150" s="3874"/>
      <c r="Y150" s="3874"/>
      <c r="Z150" s="1719"/>
      <c r="AA150" s="1686">
        <v>1</v>
      </c>
      <c r="AB150" s="1101" t="s">
        <v>1443</v>
      </c>
      <c r="AC150" s="1091">
        <v>0</v>
      </c>
      <c r="AD150" s="1101" t="str">
        <f>AB150</f>
        <v xml:space="preserve">  Прибыль направляемая на инвестиции</v>
      </c>
      <c r="AE150" s="1091">
        <v>8.42</v>
      </c>
      <c r="AF150" s="3876"/>
      <c r="AG150" s="3877"/>
      <c r="AH150" s="3877"/>
      <c r="AI150" s="3876"/>
      <c r="AJ150" s="3877"/>
      <c r="AK150" s="3877"/>
      <c r="AL150" s="1874"/>
      <c r="AM150" s="1714"/>
      <c r="AN150" s="1714"/>
      <c r="AO150" s="1714"/>
      <c r="AP150" s="1714"/>
      <c r="AQ150" s="1714"/>
      <c r="AR150" s="1714"/>
      <c r="AS150" s="1714"/>
      <c r="AT150" s="1714"/>
      <c r="AU150" s="1714"/>
      <c r="AV150" s="1714"/>
      <c r="AW150" s="1714"/>
      <c r="AX150" s="1714"/>
      <c r="AY150" s="1714"/>
      <c r="AZ150" s="1714"/>
      <c r="BA150" s="1714"/>
      <c r="BB150" s="1714"/>
      <c r="BC150" s="1714"/>
      <c r="BD150" s="1714"/>
      <c r="BE150" s="1714"/>
      <c r="BF150" s="1714"/>
    </row>
    <row r="151" spans="1:58" ht="11.25" customHeight="1">
      <c r="A151" s="1088" t="s">
        <v>1345</v>
      </c>
      <c r="D151" s="1082"/>
      <c r="E151" s="1092"/>
      <c r="F151" s="3895"/>
      <c r="G151" s="3875"/>
      <c r="H151" s="3885" t="s">
        <v>89</v>
      </c>
      <c r="I151" s="3886"/>
      <c r="J151" s="3883"/>
      <c r="K151" s="3887"/>
      <c r="L151" s="3599"/>
      <c r="M151" s="3600"/>
      <c r="N151" s="3878"/>
      <c r="O151" s="3879"/>
      <c r="P151" s="3882"/>
      <c r="Q151" s="3883"/>
      <c r="R151" s="3874"/>
      <c r="S151" s="3884"/>
      <c r="T151" s="3874"/>
      <c r="U151" s="3874"/>
      <c r="V151" s="3874"/>
      <c r="W151" s="3874"/>
      <c r="X151" s="3874"/>
      <c r="Y151" s="3874"/>
      <c r="Z151" s="1097"/>
      <c r="AA151" s="1098"/>
      <c r="AB151" s="1163" t="s">
        <v>1444</v>
      </c>
      <c r="AC151" s="1102"/>
      <c r="AD151" s="1102"/>
      <c r="AE151" s="1104"/>
      <c r="AF151" s="3876"/>
      <c r="AG151" s="3877"/>
      <c r="AH151" s="3877"/>
      <c r="AI151" s="3876"/>
      <c r="AJ151" s="3877"/>
      <c r="AK151" s="3877"/>
      <c r="AL151" s="1874"/>
      <c r="AM151" s="1714"/>
      <c r="AN151" s="1714"/>
      <c r="AO151" s="1714"/>
      <c r="AP151" s="1714"/>
      <c r="AQ151" s="1714"/>
      <c r="AR151" s="1714"/>
      <c r="AS151" s="1714"/>
      <c r="AT151" s="1714"/>
      <c r="AU151" s="1714"/>
      <c r="AV151" s="1714"/>
      <c r="AW151" s="1714"/>
      <c r="AX151" s="1714"/>
      <c r="AY151" s="1714"/>
      <c r="AZ151" s="1714"/>
      <c r="BA151" s="1714"/>
      <c r="BB151" s="1714"/>
      <c r="BC151" s="1714"/>
      <c r="BD151" s="1714"/>
      <c r="BE151" s="1714"/>
      <c r="BF151" s="1714"/>
    </row>
    <row r="152" spans="1:58" ht="11.25" customHeight="1">
      <c r="A152" s="1088" t="s">
        <v>1345</v>
      </c>
      <c r="D152" s="1082"/>
      <c r="E152" s="1092"/>
      <c r="F152" s="3895"/>
      <c r="G152" s="3875"/>
      <c r="H152" s="3885" t="s">
        <v>89</v>
      </c>
      <c r="I152" s="3886"/>
      <c r="J152" s="3883"/>
      <c r="K152" s="3887"/>
      <c r="L152" s="3599"/>
      <c r="M152" s="3600"/>
      <c r="N152" s="1097"/>
      <c r="O152" s="1098"/>
      <c r="P152" s="1090" t="s">
        <v>1445</v>
      </c>
      <c r="Q152" s="1098"/>
      <c r="R152" s="1098"/>
      <c r="S152" s="1098"/>
      <c r="T152" s="1098"/>
      <c r="U152" s="1098"/>
      <c r="V152" s="1098"/>
      <c r="W152" s="1098"/>
      <c r="X152" s="1098"/>
      <c r="Y152" s="1098"/>
      <c r="Z152" s="1098"/>
      <c r="AA152" s="1098"/>
      <c r="AB152" s="1098"/>
      <c r="AC152" s="1098"/>
      <c r="AD152" s="1098"/>
      <c r="AE152" s="1105"/>
      <c r="AF152" s="3876"/>
      <c r="AG152" s="3877"/>
      <c r="AH152" s="3877"/>
      <c r="AI152" s="3876"/>
      <c r="AJ152" s="3877"/>
      <c r="AK152" s="3877"/>
      <c r="AL152" s="1874"/>
      <c r="AM152" s="1714"/>
      <c r="AN152" s="1714"/>
      <c r="AO152" s="1714"/>
      <c r="AP152" s="1714"/>
      <c r="AQ152" s="1714"/>
      <c r="AR152" s="1714"/>
      <c r="AS152" s="1714"/>
      <c r="AT152" s="1714"/>
      <c r="AU152" s="1714"/>
      <c r="AV152" s="1714"/>
      <c r="AW152" s="1714"/>
      <c r="AX152" s="1714"/>
      <c r="AY152" s="1714"/>
      <c r="AZ152" s="1714"/>
      <c r="BA152" s="1714"/>
      <c r="BB152" s="1714"/>
      <c r="BC152" s="1714"/>
      <c r="BD152" s="1714"/>
      <c r="BE152" s="1714"/>
      <c r="BF152" s="1714"/>
    </row>
    <row r="153" spans="1:58" ht="12" customHeight="1">
      <c r="A153" s="1088" t="s">
        <v>1345</v>
      </c>
      <c r="D153" s="1082"/>
      <c r="E153" s="1092"/>
      <c r="F153" s="3896"/>
      <c r="G153" s="1112"/>
      <c r="H153" s="1112"/>
      <c r="I153" s="3893" t="s">
        <v>1451</v>
      </c>
      <c r="J153" s="3893"/>
      <c r="K153" s="3893"/>
      <c r="L153" s="1095"/>
      <c r="M153" s="1095"/>
      <c r="N153" s="1096"/>
      <c r="O153" s="1096"/>
      <c r="P153" s="1096"/>
      <c r="Q153" s="1096"/>
      <c r="R153" s="1096"/>
      <c r="S153" s="1096"/>
      <c r="T153" s="1096"/>
      <c r="U153" s="1096"/>
      <c r="V153" s="1096"/>
      <c r="W153" s="1096"/>
      <c r="X153" s="1096"/>
      <c r="Y153" s="1096"/>
      <c r="Z153" s="1096"/>
      <c r="AA153" s="1096"/>
      <c r="AB153" s="1096"/>
      <c r="AC153" s="1096"/>
      <c r="AD153" s="1096"/>
      <c r="AE153" s="1096"/>
      <c r="AF153" s="1096"/>
      <c r="AG153" s="1095"/>
      <c r="AH153" s="1095"/>
      <c r="AI153" s="1096"/>
      <c r="AJ153" s="1095"/>
      <c r="AK153" s="1096"/>
      <c r="AL153" s="1874"/>
      <c r="AM153" s="1714"/>
      <c r="AN153" s="1714"/>
      <c r="AO153" s="1714"/>
      <c r="AP153" s="1714"/>
      <c r="AQ153" s="1714"/>
      <c r="AR153" s="1714"/>
      <c r="AS153" s="1714"/>
      <c r="AT153" s="1714"/>
      <c r="AU153" s="1714"/>
      <c r="AV153" s="1714"/>
      <c r="AW153" s="1714"/>
      <c r="AX153" s="1714"/>
      <c r="AY153" s="1714"/>
      <c r="AZ153" s="1714"/>
      <c r="BA153" s="1714"/>
      <c r="BB153" s="1714"/>
      <c r="BC153" s="1714"/>
      <c r="BD153" s="1714"/>
      <c r="BE153" s="1714"/>
      <c r="BF153" s="1714"/>
    </row>
    <row r="154" spans="1:58" ht="0.75" customHeight="1">
      <c r="A154" s="1088" t="s">
        <v>1345</v>
      </c>
      <c r="D154" s="1082"/>
      <c r="E154" s="1092"/>
      <c r="F154" s="3894">
        <v>2017</v>
      </c>
      <c r="G154" s="3885"/>
      <c r="H154" s="3898" t="s">
        <v>421</v>
      </c>
      <c r="I154" s="3899"/>
      <c r="J154" s="3891"/>
      <c r="K154" s="3891"/>
      <c r="L154" s="3892"/>
      <c r="M154" s="3743"/>
      <c r="N154" s="1922"/>
      <c r="O154" s="1921"/>
      <c r="P154" s="1922"/>
      <c r="Q154" s="1922"/>
      <c r="R154" s="1922"/>
      <c r="S154" s="1922"/>
      <c r="T154" s="1922"/>
      <c r="U154" s="1922"/>
      <c r="V154" s="1922"/>
      <c r="W154" s="1922"/>
      <c r="X154" s="1922"/>
      <c r="Y154" s="1922"/>
      <c r="Z154" s="1922"/>
      <c r="AA154" s="1922"/>
      <c r="AB154" s="1922"/>
      <c r="AC154" s="1922"/>
      <c r="AD154" s="1922"/>
      <c r="AE154" s="1922"/>
      <c r="AF154" s="3897"/>
      <c r="AG154" s="3892"/>
      <c r="AH154" s="3892"/>
      <c r="AI154" s="3897"/>
      <c r="AJ154" s="3892"/>
      <c r="AK154" s="3892"/>
      <c r="AL154" s="1874"/>
      <c r="AM154" s="1714"/>
      <c r="AN154" s="1714"/>
      <c r="AO154" s="1714"/>
      <c r="AP154" s="1714"/>
      <c r="AQ154" s="1714"/>
      <c r="AR154" s="1714"/>
      <c r="AS154" s="1714"/>
      <c r="AT154" s="1714"/>
      <c r="AU154" s="1714"/>
      <c r="AV154" s="1714"/>
      <c r="AW154" s="1714"/>
      <c r="AX154" s="1714"/>
      <c r="AY154" s="1714"/>
      <c r="AZ154" s="1714"/>
      <c r="BA154" s="1714"/>
      <c r="BB154" s="1714"/>
      <c r="BC154" s="1714"/>
      <c r="BD154" s="1714"/>
      <c r="BE154" s="1714"/>
      <c r="BF154" s="1714"/>
    </row>
    <row r="155" spans="1:58" ht="0.75" customHeight="1">
      <c r="A155" s="1088" t="s">
        <v>1345</v>
      </c>
      <c r="D155" s="1082"/>
      <c r="E155" s="1092"/>
      <c r="F155" s="3894"/>
      <c r="G155" s="3885"/>
      <c r="H155" s="3898"/>
      <c r="I155" s="3899"/>
      <c r="J155" s="3891"/>
      <c r="K155" s="3891"/>
      <c r="L155" s="3892"/>
      <c r="M155" s="3743"/>
      <c r="N155" s="3900"/>
      <c r="O155" s="3901"/>
      <c r="P155" s="3888"/>
      <c r="Q155" s="3891"/>
      <c r="R155" s="3891"/>
      <c r="S155" s="3891"/>
      <c r="T155" s="3891"/>
      <c r="U155" s="3891"/>
      <c r="V155" s="3891"/>
      <c r="W155" s="3891"/>
      <c r="X155" s="3891"/>
      <c r="Y155" s="3891"/>
      <c r="Z155" s="1923"/>
      <c r="AA155" s="1924"/>
      <c r="AB155" s="1924"/>
      <c r="AC155" s="1925"/>
      <c r="AD155" s="1925"/>
      <c r="AE155" s="1926"/>
      <c r="AF155" s="3897"/>
      <c r="AG155" s="3892"/>
      <c r="AH155" s="3892"/>
      <c r="AI155" s="3897"/>
      <c r="AJ155" s="3892"/>
      <c r="AK155" s="3892"/>
      <c r="AL155" s="1874"/>
      <c r="AM155" s="1714"/>
      <c r="AN155" s="1714"/>
      <c r="AO155" s="1714"/>
      <c r="AP155" s="1714"/>
      <c r="AQ155" s="1714"/>
      <c r="AR155" s="1714"/>
      <c r="AS155" s="1714"/>
      <c r="AT155" s="1714"/>
      <c r="AU155" s="1714"/>
      <c r="AV155" s="1714"/>
      <c r="AW155" s="1714"/>
      <c r="AX155" s="1714"/>
      <c r="AY155" s="1714"/>
      <c r="AZ155" s="1714"/>
      <c r="BA155" s="1714"/>
      <c r="BB155" s="1714"/>
      <c r="BC155" s="1714"/>
      <c r="BD155" s="1714"/>
      <c r="BE155" s="1714"/>
      <c r="BF155" s="1714"/>
    </row>
    <row r="156" spans="1:58" ht="0.75" customHeight="1">
      <c r="A156" s="1088" t="s">
        <v>1345</v>
      </c>
      <c r="D156" s="1082"/>
      <c r="E156" s="1092"/>
      <c r="F156" s="3894"/>
      <c r="G156" s="3885"/>
      <c r="H156" s="3898"/>
      <c r="I156" s="3899"/>
      <c r="J156" s="3891"/>
      <c r="K156" s="3891"/>
      <c r="L156" s="3892"/>
      <c r="M156" s="3743"/>
      <c r="N156" s="3900"/>
      <c r="O156" s="3901"/>
      <c r="P156" s="3889"/>
      <c r="Q156" s="3891"/>
      <c r="R156" s="3891"/>
      <c r="S156" s="3891"/>
      <c r="T156" s="3891"/>
      <c r="U156" s="3891"/>
      <c r="V156" s="3891"/>
      <c r="W156" s="3891"/>
      <c r="X156" s="3891"/>
      <c r="Y156" s="3891"/>
      <c r="Z156" s="1927"/>
      <c r="AA156" s="1928"/>
      <c r="AB156" s="1929"/>
      <c r="AC156" s="1930"/>
      <c r="AD156" s="1929"/>
      <c r="AE156" s="1930"/>
      <c r="AF156" s="3897"/>
      <c r="AG156" s="3892"/>
      <c r="AH156" s="3892"/>
      <c r="AI156" s="3897"/>
      <c r="AJ156" s="3892"/>
      <c r="AK156" s="3892"/>
      <c r="AL156" s="1874"/>
      <c r="AM156" s="1714"/>
      <c r="AN156" s="1714"/>
      <c r="AO156" s="1714"/>
      <c r="AP156" s="1714"/>
      <c r="AQ156" s="1714"/>
      <c r="AR156" s="1714"/>
      <c r="AS156" s="1714"/>
      <c r="AT156" s="1714"/>
      <c r="AU156" s="1714"/>
      <c r="AV156" s="1714"/>
      <c r="AW156" s="1714"/>
      <c r="AX156" s="1714"/>
      <c r="AY156" s="1714"/>
      <c r="AZ156" s="1714"/>
      <c r="BA156" s="1714"/>
      <c r="BB156" s="1714"/>
      <c r="BC156" s="1714"/>
      <c r="BD156" s="1714"/>
      <c r="BE156" s="1714"/>
      <c r="BF156" s="1714"/>
    </row>
    <row r="157" spans="1:58" ht="0.75" customHeight="1">
      <c r="A157" s="1088" t="s">
        <v>1345</v>
      </c>
      <c r="D157" s="1082"/>
      <c r="E157" s="1092"/>
      <c r="F157" s="3894"/>
      <c r="G157" s="3885"/>
      <c r="H157" s="3898"/>
      <c r="I157" s="3899"/>
      <c r="J157" s="3891"/>
      <c r="K157" s="3891"/>
      <c r="L157" s="3892"/>
      <c r="M157" s="3743"/>
      <c r="N157" s="3900"/>
      <c r="O157" s="3901"/>
      <c r="P157" s="3890"/>
      <c r="Q157" s="3891"/>
      <c r="R157" s="3891"/>
      <c r="S157" s="3891"/>
      <c r="T157" s="3891"/>
      <c r="U157" s="3891"/>
      <c r="V157" s="3891"/>
      <c r="W157" s="3891"/>
      <c r="X157" s="3891"/>
      <c r="Y157" s="3891"/>
      <c r="Z157" s="1923"/>
      <c r="AA157" s="1924"/>
      <c r="AB157" s="1931"/>
      <c r="AC157" s="1925"/>
      <c r="AD157" s="1925"/>
      <c r="AE157" s="1932"/>
      <c r="AF157" s="3897"/>
      <c r="AG157" s="3892"/>
      <c r="AH157" s="3892"/>
      <c r="AI157" s="3897"/>
      <c r="AJ157" s="3892"/>
      <c r="AK157" s="3892"/>
      <c r="AL157" s="1874"/>
      <c r="AM157" s="1714"/>
      <c r="AN157" s="1714"/>
      <c r="AO157" s="1714"/>
      <c r="AP157" s="1714"/>
      <c r="AQ157" s="1714"/>
      <c r="AR157" s="1714"/>
      <c r="AS157" s="1714"/>
      <c r="AT157" s="1714"/>
      <c r="AU157" s="1714"/>
      <c r="AV157" s="1714"/>
      <c r="AW157" s="1714"/>
      <c r="AX157" s="1714"/>
      <c r="AY157" s="1714"/>
      <c r="AZ157" s="1714"/>
      <c r="BA157" s="1714"/>
      <c r="BB157" s="1714"/>
      <c r="BC157" s="1714"/>
      <c r="BD157" s="1714"/>
      <c r="BE157" s="1714"/>
      <c r="BF157" s="1714"/>
    </row>
    <row r="158" spans="1:58" ht="0.75" customHeight="1">
      <c r="A158" s="1088" t="s">
        <v>1345</v>
      </c>
      <c r="D158" s="1082"/>
      <c r="E158" s="1092"/>
      <c r="F158" s="3894"/>
      <c r="G158" s="3885"/>
      <c r="H158" s="3898"/>
      <c r="I158" s="3899"/>
      <c r="J158" s="3891"/>
      <c r="K158" s="3891"/>
      <c r="L158" s="3892"/>
      <c r="M158" s="3743"/>
      <c r="N158" s="1924"/>
      <c r="O158" s="1924"/>
      <c r="P158" s="1931"/>
      <c r="Q158" s="1924"/>
      <c r="R158" s="1924"/>
      <c r="S158" s="1924"/>
      <c r="T158" s="1924"/>
      <c r="U158" s="1924"/>
      <c r="V158" s="1924"/>
      <c r="W158" s="1924"/>
      <c r="X158" s="1924"/>
      <c r="Y158" s="1924"/>
      <c r="Z158" s="1924"/>
      <c r="AA158" s="1924"/>
      <c r="AB158" s="1924"/>
      <c r="AC158" s="1924"/>
      <c r="AD158" s="1924"/>
      <c r="AE158" s="1933"/>
      <c r="AF158" s="3897"/>
      <c r="AG158" s="3892"/>
      <c r="AH158" s="3892"/>
      <c r="AI158" s="3897"/>
      <c r="AJ158" s="3892"/>
      <c r="AK158" s="3892"/>
      <c r="AL158" s="1874"/>
      <c r="AM158" s="1714"/>
      <c r="AN158" s="1714"/>
      <c r="AO158" s="1714"/>
      <c r="AP158" s="1714"/>
      <c r="AQ158" s="1714"/>
      <c r="AR158" s="1714"/>
      <c r="AS158" s="1714"/>
      <c r="AT158" s="1714"/>
      <c r="AU158" s="1714"/>
      <c r="AV158" s="1714"/>
      <c r="AW158" s="1714"/>
      <c r="AX158" s="1714"/>
      <c r="AY158" s="1714"/>
      <c r="AZ158" s="1714"/>
      <c r="BA158" s="1714"/>
      <c r="BB158" s="1714"/>
      <c r="BC158" s="1714"/>
      <c r="BD158" s="1714"/>
      <c r="BE158" s="1714"/>
      <c r="BF158" s="1714"/>
    </row>
    <row r="159" spans="1:58" ht="11.25" customHeight="1">
      <c r="A159" s="1088" t="s">
        <v>1345</v>
      </c>
      <c r="D159" s="1082"/>
      <c r="E159" s="1092"/>
      <c r="F159" s="3895"/>
      <c r="G159" s="3853" t="s">
        <v>90</v>
      </c>
      <c r="H159" s="3885" t="s">
        <v>164</v>
      </c>
      <c r="I159" s="3886"/>
      <c r="J159" s="3883"/>
      <c r="K159" s="3887" t="s">
        <v>1459</v>
      </c>
      <c r="L159" s="3599" t="s">
        <v>6</v>
      </c>
      <c r="M159" s="3600"/>
      <c r="N159" s="1872"/>
      <c r="O159" s="1099" t="s">
        <v>421</v>
      </c>
      <c r="P159" s="1100"/>
      <c r="Q159" s="1100"/>
      <c r="R159" s="1100"/>
      <c r="S159" s="1100"/>
      <c r="T159" s="1100"/>
      <c r="U159" s="1100"/>
      <c r="V159" s="1100"/>
      <c r="W159" s="1100"/>
      <c r="X159" s="1100"/>
      <c r="Y159" s="1100"/>
      <c r="Z159" s="1100"/>
      <c r="AA159" s="1100"/>
      <c r="AB159" s="1100"/>
      <c r="AC159" s="1100"/>
      <c r="AD159" s="1100"/>
      <c r="AE159" s="1100"/>
      <c r="AF159" s="3876">
        <v>2019</v>
      </c>
      <c r="AG159" s="3877" t="s">
        <v>1447</v>
      </c>
      <c r="AH159" s="3877" t="s">
        <v>1460</v>
      </c>
      <c r="AI159" s="3876">
        <v>2019</v>
      </c>
      <c r="AJ159" s="3877" t="s">
        <v>1447</v>
      </c>
      <c r="AK159" s="3877" t="s">
        <v>1460</v>
      </c>
      <c r="AL159" s="1874"/>
      <c r="AM159" s="1714"/>
      <c r="AN159" s="1714"/>
      <c r="AO159" s="1714"/>
      <c r="AP159" s="1714"/>
      <c r="AQ159" s="1714"/>
      <c r="AR159" s="1714"/>
      <c r="AS159" s="1714"/>
      <c r="AT159" s="1714"/>
      <c r="AU159" s="1714"/>
      <c r="AV159" s="1714"/>
      <c r="AW159" s="1714"/>
      <c r="AX159" s="1714"/>
      <c r="AY159" s="1714"/>
      <c r="AZ159" s="1714"/>
      <c r="BA159" s="1714"/>
      <c r="BB159" s="1714"/>
      <c r="BC159" s="1714"/>
      <c r="BD159" s="1714"/>
      <c r="BE159" s="1714"/>
      <c r="BF159" s="1714"/>
    </row>
    <row r="160" spans="1:58" ht="11.25" customHeight="1">
      <c r="A160" s="1088" t="s">
        <v>1345</v>
      </c>
      <c r="D160" s="1082"/>
      <c r="E160" s="1092"/>
      <c r="F160" s="3895"/>
      <c r="G160" s="3875"/>
      <c r="H160" s="3885" t="s">
        <v>421</v>
      </c>
      <c r="I160" s="3886"/>
      <c r="J160" s="3883"/>
      <c r="K160" s="3887"/>
      <c r="L160" s="3599"/>
      <c r="M160" s="3600"/>
      <c r="N160" s="3878"/>
      <c r="O160" s="3879">
        <v>1</v>
      </c>
      <c r="P160" s="3880" t="s">
        <v>50</v>
      </c>
      <c r="Q160" s="3883" t="s">
        <v>1461</v>
      </c>
      <c r="R160" s="3884" t="s">
        <v>1438</v>
      </c>
      <c r="S160" s="3884" t="s">
        <v>92</v>
      </c>
      <c r="T160" s="3884" t="s">
        <v>92</v>
      </c>
      <c r="U160" s="3884" t="s">
        <v>93</v>
      </c>
      <c r="V160" s="3884" t="s">
        <v>1462</v>
      </c>
      <c r="W160" s="3884" t="s">
        <v>1463</v>
      </c>
      <c r="X160" s="3884" t="s">
        <v>1464</v>
      </c>
      <c r="Y160" s="3884" t="s">
        <v>1465</v>
      </c>
      <c r="Z160" s="1097"/>
      <c r="AA160" s="1098"/>
      <c r="AB160" s="1098"/>
      <c r="AC160" s="1102"/>
      <c r="AD160" s="1102"/>
      <c r="AE160" s="1103"/>
      <c r="AF160" s="3876"/>
      <c r="AG160" s="3877"/>
      <c r="AH160" s="3877"/>
      <c r="AI160" s="3876"/>
      <c r="AJ160" s="3877"/>
      <c r="AK160" s="3877"/>
      <c r="AL160" s="1874"/>
      <c r="AM160" s="1714"/>
      <c r="AN160" s="1714"/>
      <c r="AO160" s="1714"/>
      <c r="AP160" s="1714"/>
      <c r="AQ160" s="1714"/>
      <c r="AR160" s="1714"/>
      <c r="AS160" s="1714"/>
      <c r="AT160" s="1714"/>
      <c r="AU160" s="1714"/>
      <c r="AV160" s="1714"/>
      <c r="AW160" s="1714"/>
      <c r="AX160" s="1714"/>
      <c r="AY160" s="1714"/>
      <c r="AZ160" s="1714"/>
      <c r="BA160" s="1714"/>
      <c r="BB160" s="1714"/>
      <c r="BC160" s="1714"/>
      <c r="BD160" s="1714"/>
      <c r="BE160" s="1714"/>
      <c r="BF160" s="1714"/>
    </row>
    <row r="161" spans="1:58" ht="11.25" customHeight="1">
      <c r="A161" s="1088" t="s">
        <v>1345</v>
      </c>
      <c r="D161" s="1082"/>
      <c r="E161" s="1092"/>
      <c r="F161" s="3895"/>
      <c r="G161" s="3875"/>
      <c r="H161" s="3885" t="s">
        <v>421</v>
      </c>
      <c r="I161" s="3886"/>
      <c r="J161" s="3883"/>
      <c r="K161" s="3887"/>
      <c r="L161" s="3599"/>
      <c r="M161" s="3600"/>
      <c r="N161" s="3878"/>
      <c r="O161" s="3879"/>
      <c r="P161" s="3881"/>
      <c r="Q161" s="3883"/>
      <c r="R161" s="3874"/>
      <c r="S161" s="3884"/>
      <c r="T161" s="3874"/>
      <c r="U161" s="3874"/>
      <c r="V161" s="3874"/>
      <c r="W161" s="3874"/>
      <c r="X161" s="3874"/>
      <c r="Y161" s="3874"/>
      <c r="Z161" s="1719"/>
      <c r="AA161" s="1686">
        <v>1</v>
      </c>
      <c r="AB161" s="1101" t="s">
        <v>1453</v>
      </c>
      <c r="AC161" s="1091">
        <v>3083.24</v>
      </c>
      <c r="AD161" s="1101" t="str">
        <f>AB161</f>
        <v xml:space="preserve">      Амортизационные отчисления с выделением результатов переоценки основных средств и нематериальных активов</v>
      </c>
      <c r="AE161" s="1091">
        <v>694.23</v>
      </c>
      <c r="AF161" s="3876"/>
      <c r="AG161" s="3877"/>
      <c r="AH161" s="3877"/>
      <c r="AI161" s="3876"/>
      <c r="AJ161" s="3877"/>
      <c r="AK161" s="3877"/>
      <c r="AL161" s="1874"/>
      <c r="AM161" s="1714"/>
      <c r="AN161" s="1714"/>
      <c r="AO161" s="1714"/>
      <c r="AP161" s="1714"/>
      <c r="AQ161" s="1714"/>
      <c r="AR161" s="1714"/>
      <c r="AS161" s="1714"/>
      <c r="AT161" s="1714"/>
      <c r="AU161" s="1714"/>
      <c r="AV161" s="1714"/>
      <c r="AW161" s="1714"/>
      <c r="AX161" s="1714"/>
      <c r="AY161" s="1714"/>
      <c r="AZ161" s="1714"/>
      <c r="BA161" s="1714"/>
      <c r="BB161" s="1714"/>
      <c r="BC161" s="1714"/>
      <c r="BD161" s="1714"/>
      <c r="BE161" s="1714"/>
      <c r="BF161" s="1714"/>
    </row>
    <row r="162" spans="1:58" ht="11.25" customHeight="1">
      <c r="A162" s="1088" t="s">
        <v>1345</v>
      </c>
      <c r="D162" s="1082"/>
      <c r="E162" s="1092"/>
      <c r="F162" s="3875"/>
      <c r="G162" s="3875"/>
      <c r="H162" s="3875"/>
      <c r="I162" s="3875"/>
      <c r="J162" s="3875"/>
      <c r="K162" s="3875"/>
      <c r="L162" s="3875"/>
      <c r="M162" s="3875"/>
      <c r="N162" s="3875"/>
      <c r="O162" s="3875"/>
      <c r="P162" s="3875"/>
      <c r="Q162" s="3875"/>
      <c r="R162" s="3875"/>
      <c r="S162" s="3875"/>
      <c r="T162" s="3875"/>
      <c r="U162" s="3875"/>
      <c r="V162" s="3875"/>
      <c r="W162" s="3875"/>
      <c r="X162" s="3875"/>
      <c r="Y162" s="3875"/>
      <c r="Z162" s="617" t="s">
        <v>90</v>
      </c>
      <c r="AA162" s="1706" t="s">
        <v>89</v>
      </c>
      <c r="AB162" s="1101" t="s">
        <v>1443</v>
      </c>
      <c r="AC162" s="1091">
        <v>9732.2900000000009</v>
      </c>
      <c r="AD162" s="1101" t="str">
        <f>AB162</f>
        <v xml:space="preserve">  Прибыль направляемая на инвестиции</v>
      </c>
      <c r="AE162" s="1091">
        <v>0</v>
      </c>
      <c r="AF162" s="3902"/>
      <c r="AG162" s="3903"/>
      <c r="AH162" s="3903"/>
      <c r="AI162" s="3902"/>
      <c r="AJ162" s="3903"/>
      <c r="AK162" s="3904"/>
      <c r="AL162" s="1874"/>
      <c r="AM162" s="1714"/>
      <c r="AN162" s="1714"/>
      <c r="AO162" s="1714"/>
      <c r="AP162" s="1714"/>
      <c r="AQ162" s="1714"/>
      <c r="AR162" s="1714"/>
      <c r="AS162" s="1714"/>
      <c r="AT162" s="1714"/>
      <c r="AU162" s="1714"/>
      <c r="AV162" s="1714"/>
      <c r="AW162" s="1714"/>
      <c r="AX162" s="1714"/>
      <c r="AY162" s="1714"/>
      <c r="AZ162" s="1714"/>
      <c r="BA162" s="1714"/>
      <c r="BB162" s="1714"/>
      <c r="BC162" s="1714"/>
      <c r="BD162" s="1714"/>
      <c r="BE162" s="1714"/>
      <c r="BF162" s="1714"/>
    </row>
    <row r="163" spans="1:58" ht="11.25" customHeight="1">
      <c r="A163" s="1088" t="s">
        <v>1345</v>
      </c>
      <c r="D163" s="1082"/>
      <c r="E163" s="1092"/>
      <c r="F163" s="3875"/>
      <c r="G163" s="3875"/>
      <c r="H163" s="3875"/>
      <c r="I163" s="3875"/>
      <c r="J163" s="3875"/>
      <c r="K163" s="3875"/>
      <c r="L163" s="3875"/>
      <c r="M163" s="3875"/>
      <c r="N163" s="3875"/>
      <c r="O163" s="3875"/>
      <c r="P163" s="3875"/>
      <c r="Q163" s="3875"/>
      <c r="R163" s="3875"/>
      <c r="S163" s="3875"/>
      <c r="T163" s="3875"/>
      <c r="U163" s="3875"/>
      <c r="V163" s="3875"/>
      <c r="W163" s="3875"/>
      <c r="X163" s="3875"/>
      <c r="Y163" s="3875"/>
      <c r="Z163" s="617" t="s">
        <v>90</v>
      </c>
      <c r="AA163" s="1706" t="s">
        <v>78</v>
      </c>
      <c r="AB163" s="1101" t="s">
        <v>1473</v>
      </c>
      <c r="AC163" s="1091">
        <v>8123.86</v>
      </c>
      <c r="AD163" s="1101" t="str">
        <f>AB163</f>
        <v xml:space="preserve">  Кредиты</v>
      </c>
      <c r="AE163" s="1091">
        <v>0</v>
      </c>
      <c r="AF163" s="3902"/>
      <c r="AG163" s="3903"/>
      <c r="AH163" s="3903"/>
      <c r="AI163" s="3902"/>
      <c r="AJ163" s="3903"/>
      <c r="AK163" s="3904"/>
      <c r="AL163" s="1874"/>
      <c r="AM163" s="1714"/>
      <c r="AN163" s="1714"/>
      <c r="AO163" s="1714"/>
      <c r="AP163" s="1714"/>
      <c r="AQ163" s="1714"/>
      <c r="AR163" s="1714"/>
      <c r="AS163" s="1714"/>
      <c r="AT163" s="1714"/>
      <c r="AU163" s="1714"/>
      <c r="AV163" s="1714"/>
      <c r="AW163" s="1714"/>
      <c r="AX163" s="1714"/>
      <c r="AY163" s="1714"/>
      <c r="AZ163" s="1714"/>
      <c r="BA163" s="1714"/>
      <c r="BB163" s="1714"/>
      <c r="BC163" s="1714"/>
      <c r="BD163" s="1714"/>
      <c r="BE163" s="1714"/>
      <c r="BF163" s="1714"/>
    </row>
    <row r="164" spans="1:58" ht="11.25" customHeight="1">
      <c r="A164" s="1088" t="s">
        <v>1345</v>
      </c>
      <c r="D164" s="1082"/>
      <c r="E164" s="1092"/>
      <c r="F164" s="3895"/>
      <c r="G164" s="3875"/>
      <c r="H164" s="3885" t="s">
        <v>421</v>
      </c>
      <c r="I164" s="3886"/>
      <c r="J164" s="3883"/>
      <c r="K164" s="3887"/>
      <c r="L164" s="3599"/>
      <c r="M164" s="3600"/>
      <c r="N164" s="3878"/>
      <c r="O164" s="3879"/>
      <c r="P164" s="3882"/>
      <c r="Q164" s="3883"/>
      <c r="R164" s="3874"/>
      <c r="S164" s="3884"/>
      <c r="T164" s="3874"/>
      <c r="U164" s="3874"/>
      <c r="V164" s="3874"/>
      <c r="W164" s="3874"/>
      <c r="X164" s="3874"/>
      <c r="Y164" s="3874"/>
      <c r="Z164" s="1097"/>
      <c r="AA164" s="1098"/>
      <c r="AB164" s="1163" t="s">
        <v>1444</v>
      </c>
      <c r="AC164" s="1102"/>
      <c r="AD164" s="1102"/>
      <c r="AE164" s="1104"/>
      <c r="AF164" s="3876"/>
      <c r="AG164" s="3877"/>
      <c r="AH164" s="3877"/>
      <c r="AI164" s="3876"/>
      <c r="AJ164" s="3877"/>
      <c r="AK164" s="3877"/>
      <c r="AL164" s="1874"/>
      <c r="AM164" s="1714"/>
      <c r="AN164" s="1714"/>
      <c r="AO164" s="1714"/>
      <c r="AP164" s="1714"/>
      <c r="AQ164" s="1714"/>
      <c r="AR164" s="1714"/>
      <c r="AS164" s="1714"/>
      <c r="AT164" s="1714"/>
      <c r="AU164" s="1714"/>
      <c r="AV164" s="1714"/>
      <c r="AW164" s="1714"/>
      <c r="AX164" s="1714"/>
      <c r="AY164" s="1714"/>
      <c r="AZ164" s="1714"/>
      <c r="BA164" s="1714"/>
      <c r="BB164" s="1714"/>
      <c r="BC164" s="1714"/>
      <c r="BD164" s="1714"/>
      <c r="BE164" s="1714"/>
      <c r="BF164" s="1714"/>
    </row>
    <row r="165" spans="1:58" ht="11.25" customHeight="1">
      <c r="A165" s="1088" t="s">
        <v>1345</v>
      </c>
      <c r="D165" s="1082"/>
      <c r="E165" s="1092"/>
      <c r="F165" s="3895"/>
      <c r="G165" s="3875"/>
      <c r="H165" s="3885" t="s">
        <v>421</v>
      </c>
      <c r="I165" s="3886"/>
      <c r="J165" s="3883"/>
      <c r="K165" s="3887"/>
      <c r="L165" s="3599"/>
      <c r="M165" s="3600"/>
      <c r="N165" s="1097"/>
      <c r="O165" s="1098"/>
      <c r="P165" s="1090" t="s">
        <v>1445</v>
      </c>
      <c r="Q165" s="1098"/>
      <c r="R165" s="1098"/>
      <c r="S165" s="1098"/>
      <c r="T165" s="1098"/>
      <c r="U165" s="1098"/>
      <c r="V165" s="1098"/>
      <c r="W165" s="1098"/>
      <c r="X165" s="1098"/>
      <c r="Y165" s="1098"/>
      <c r="Z165" s="1098"/>
      <c r="AA165" s="1098"/>
      <c r="AB165" s="1098"/>
      <c r="AC165" s="1098"/>
      <c r="AD165" s="1098"/>
      <c r="AE165" s="1105"/>
      <c r="AF165" s="3876"/>
      <c r="AG165" s="3877"/>
      <c r="AH165" s="3877"/>
      <c r="AI165" s="3876"/>
      <c r="AJ165" s="3877"/>
      <c r="AK165" s="3877"/>
      <c r="AL165" s="1874"/>
      <c r="AM165" s="1714"/>
      <c r="AN165" s="1714"/>
      <c r="AO165" s="1714"/>
      <c r="AP165" s="1714"/>
      <c r="AQ165" s="1714"/>
      <c r="AR165" s="1714"/>
      <c r="AS165" s="1714"/>
      <c r="AT165" s="1714"/>
      <c r="AU165" s="1714"/>
      <c r="AV165" s="1714"/>
      <c r="AW165" s="1714"/>
      <c r="AX165" s="1714"/>
      <c r="AY165" s="1714"/>
      <c r="AZ165" s="1714"/>
      <c r="BA165" s="1714"/>
      <c r="BB165" s="1714"/>
      <c r="BC165" s="1714"/>
      <c r="BD165" s="1714"/>
      <c r="BE165" s="1714"/>
      <c r="BF165" s="1714"/>
    </row>
    <row r="166" spans="1:58" ht="11.25" customHeight="1">
      <c r="A166" s="1088" t="s">
        <v>1345</v>
      </c>
      <c r="D166" s="1082"/>
      <c r="E166" s="1092"/>
      <c r="F166" s="3895"/>
      <c r="G166" s="3853" t="s">
        <v>90</v>
      </c>
      <c r="H166" s="3885" t="s">
        <v>89</v>
      </c>
      <c r="I166" s="3886"/>
      <c r="J166" s="3883"/>
      <c r="K166" s="3887" t="s">
        <v>1466</v>
      </c>
      <c r="L166" s="3599" t="s">
        <v>6</v>
      </c>
      <c r="M166" s="3600"/>
      <c r="N166" s="1872"/>
      <c r="O166" s="1099" t="s">
        <v>421</v>
      </c>
      <c r="P166" s="1100"/>
      <c r="Q166" s="1100"/>
      <c r="R166" s="1100"/>
      <c r="S166" s="1100"/>
      <c r="T166" s="1100"/>
      <c r="U166" s="1100"/>
      <c r="V166" s="1100"/>
      <c r="W166" s="1100"/>
      <c r="X166" s="1100"/>
      <c r="Y166" s="1100"/>
      <c r="Z166" s="1100"/>
      <c r="AA166" s="1100"/>
      <c r="AB166" s="1100"/>
      <c r="AC166" s="1100"/>
      <c r="AD166" s="1100"/>
      <c r="AE166" s="1100"/>
      <c r="AF166" s="3876">
        <v>2019</v>
      </c>
      <c r="AG166" s="3877" t="s">
        <v>1447</v>
      </c>
      <c r="AH166" s="3877" t="s">
        <v>1460</v>
      </c>
      <c r="AI166" s="3876">
        <v>2019</v>
      </c>
      <c r="AJ166" s="3877" t="s">
        <v>1447</v>
      </c>
      <c r="AK166" s="3877" t="s">
        <v>1460</v>
      </c>
      <c r="AL166" s="1874"/>
      <c r="AM166" s="1714"/>
      <c r="AN166" s="1714"/>
      <c r="AO166" s="1714"/>
      <c r="AP166" s="1714"/>
      <c r="AQ166" s="1714"/>
      <c r="AR166" s="1714"/>
      <c r="AS166" s="1714"/>
      <c r="AT166" s="1714"/>
      <c r="AU166" s="1714"/>
      <c r="AV166" s="1714"/>
      <c r="AW166" s="1714"/>
      <c r="AX166" s="1714"/>
      <c r="AY166" s="1714"/>
      <c r="AZ166" s="1714"/>
      <c r="BA166" s="1714"/>
      <c r="BB166" s="1714"/>
      <c r="BC166" s="1714"/>
      <c r="BD166" s="1714"/>
      <c r="BE166" s="1714"/>
      <c r="BF166" s="1714"/>
    </row>
    <row r="167" spans="1:58" ht="11.25" customHeight="1">
      <c r="A167" s="1088" t="s">
        <v>1345</v>
      </c>
      <c r="D167" s="1082"/>
      <c r="E167" s="1092"/>
      <c r="F167" s="3895"/>
      <c r="G167" s="3875"/>
      <c r="H167" s="3885" t="s">
        <v>164</v>
      </c>
      <c r="I167" s="3886"/>
      <c r="J167" s="3883"/>
      <c r="K167" s="3887"/>
      <c r="L167" s="3599"/>
      <c r="M167" s="3600"/>
      <c r="N167" s="3878"/>
      <c r="O167" s="3879">
        <v>1</v>
      </c>
      <c r="P167" s="3880" t="s">
        <v>50</v>
      </c>
      <c r="Q167" s="3883" t="s">
        <v>1467</v>
      </c>
      <c r="R167" s="3884" t="s">
        <v>1438</v>
      </c>
      <c r="S167" s="3884" t="s">
        <v>92</v>
      </c>
      <c r="T167" s="3884" t="s">
        <v>92</v>
      </c>
      <c r="U167" s="3884" t="s">
        <v>93</v>
      </c>
      <c r="V167" s="3884" t="s">
        <v>1462</v>
      </c>
      <c r="W167" s="3884" t="s">
        <v>1463</v>
      </c>
      <c r="X167" s="3884" t="s">
        <v>1468</v>
      </c>
      <c r="Y167" s="3884" t="s">
        <v>1469</v>
      </c>
      <c r="Z167" s="1097"/>
      <c r="AA167" s="1098"/>
      <c r="AB167" s="1098"/>
      <c r="AC167" s="1102"/>
      <c r="AD167" s="1102"/>
      <c r="AE167" s="1103"/>
      <c r="AF167" s="3876"/>
      <c r="AG167" s="3877"/>
      <c r="AH167" s="3877"/>
      <c r="AI167" s="3876"/>
      <c r="AJ167" s="3877"/>
      <c r="AK167" s="3877"/>
      <c r="AL167" s="1874"/>
      <c r="AM167" s="1714"/>
      <c r="AN167" s="1714"/>
      <c r="AO167" s="1714"/>
      <c r="AP167" s="1714"/>
      <c r="AQ167" s="1714"/>
      <c r="AR167" s="1714"/>
      <c r="AS167" s="1714"/>
      <c r="AT167" s="1714"/>
      <c r="AU167" s="1714"/>
      <c r="AV167" s="1714"/>
      <c r="AW167" s="1714"/>
      <c r="AX167" s="1714"/>
      <c r="AY167" s="1714"/>
      <c r="AZ167" s="1714"/>
      <c r="BA167" s="1714"/>
      <c r="BB167" s="1714"/>
      <c r="BC167" s="1714"/>
      <c r="BD167" s="1714"/>
      <c r="BE167" s="1714"/>
      <c r="BF167" s="1714"/>
    </row>
    <row r="168" spans="1:58" ht="11.25" customHeight="1">
      <c r="A168" s="1088" t="s">
        <v>1345</v>
      </c>
      <c r="D168" s="1082"/>
      <c r="E168" s="1092"/>
      <c r="F168" s="3895"/>
      <c r="G168" s="3875"/>
      <c r="H168" s="3885" t="s">
        <v>164</v>
      </c>
      <c r="I168" s="3886"/>
      <c r="J168" s="3883"/>
      <c r="K168" s="3887"/>
      <c r="L168" s="3599"/>
      <c r="M168" s="3600"/>
      <c r="N168" s="3878"/>
      <c r="O168" s="3879"/>
      <c r="P168" s="3881"/>
      <c r="Q168" s="3883"/>
      <c r="R168" s="3874"/>
      <c r="S168" s="3884"/>
      <c r="T168" s="3874"/>
      <c r="U168" s="3874"/>
      <c r="V168" s="3874"/>
      <c r="W168" s="3874"/>
      <c r="X168" s="3874"/>
      <c r="Y168" s="3874"/>
      <c r="Z168" s="1719"/>
      <c r="AA168" s="1686">
        <v>1</v>
      </c>
      <c r="AB168" s="1101" t="s">
        <v>1453</v>
      </c>
      <c r="AC168" s="1091">
        <v>0</v>
      </c>
      <c r="AD168" s="1101" t="str">
        <f>AB168</f>
        <v xml:space="preserve">      Амортизационные отчисления с выделением результатов переоценки основных средств и нематериальных активов</v>
      </c>
      <c r="AE168" s="1091">
        <v>598.61</v>
      </c>
      <c r="AF168" s="3876"/>
      <c r="AG168" s="3877"/>
      <c r="AH168" s="3877"/>
      <c r="AI168" s="3876"/>
      <c r="AJ168" s="3877"/>
      <c r="AK168" s="3877"/>
      <c r="AL168" s="1874"/>
      <c r="AM168" s="1714"/>
      <c r="AN168" s="1714"/>
      <c r="AO168" s="1714"/>
      <c r="AP168" s="1714"/>
      <c r="AQ168" s="1714"/>
      <c r="AR168" s="1714"/>
      <c r="AS168" s="1714"/>
      <c r="AT168" s="1714"/>
      <c r="AU168" s="1714"/>
      <c r="AV168" s="1714"/>
      <c r="AW168" s="1714"/>
      <c r="AX168" s="1714"/>
      <c r="AY168" s="1714"/>
      <c r="AZ168" s="1714"/>
      <c r="BA168" s="1714"/>
      <c r="BB168" s="1714"/>
      <c r="BC168" s="1714"/>
      <c r="BD168" s="1714"/>
      <c r="BE168" s="1714"/>
      <c r="BF168" s="1714"/>
    </row>
    <row r="169" spans="1:58" ht="11.25" customHeight="1">
      <c r="A169" s="1088" t="s">
        <v>1345</v>
      </c>
      <c r="D169" s="1082"/>
      <c r="E169" s="1092"/>
      <c r="F169" s="3895"/>
      <c r="G169" s="3875"/>
      <c r="H169" s="3885" t="s">
        <v>164</v>
      </c>
      <c r="I169" s="3886"/>
      <c r="J169" s="3883"/>
      <c r="K169" s="3887"/>
      <c r="L169" s="3599"/>
      <c r="M169" s="3600"/>
      <c r="N169" s="3878"/>
      <c r="O169" s="3879"/>
      <c r="P169" s="3882"/>
      <c r="Q169" s="3883"/>
      <c r="R169" s="3874"/>
      <c r="S169" s="3884"/>
      <c r="T169" s="3874"/>
      <c r="U169" s="3874"/>
      <c r="V169" s="3874"/>
      <c r="W169" s="3874"/>
      <c r="X169" s="3874"/>
      <c r="Y169" s="3874"/>
      <c r="Z169" s="1097"/>
      <c r="AA169" s="1098"/>
      <c r="AB169" s="1163" t="s">
        <v>1444</v>
      </c>
      <c r="AC169" s="1102"/>
      <c r="AD169" s="1102"/>
      <c r="AE169" s="1104"/>
      <c r="AF169" s="3876"/>
      <c r="AG169" s="3877"/>
      <c r="AH169" s="3877"/>
      <c r="AI169" s="3876"/>
      <c r="AJ169" s="3877"/>
      <c r="AK169" s="3877"/>
      <c r="AL169" s="1874"/>
      <c r="AM169" s="1714"/>
      <c r="AN169" s="1714"/>
      <c r="AO169" s="1714"/>
      <c r="AP169" s="1714"/>
      <c r="AQ169" s="1714"/>
      <c r="AR169" s="1714"/>
      <c r="AS169" s="1714"/>
      <c r="AT169" s="1714"/>
      <c r="AU169" s="1714"/>
      <c r="AV169" s="1714"/>
      <c r="AW169" s="1714"/>
      <c r="AX169" s="1714"/>
      <c r="AY169" s="1714"/>
      <c r="AZ169" s="1714"/>
      <c r="BA169" s="1714"/>
      <c r="BB169" s="1714"/>
      <c r="BC169" s="1714"/>
      <c r="BD169" s="1714"/>
      <c r="BE169" s="1714"/>
      <c r="BF169" s="1714"/>
    </row>
    <row r="170" spans="1:58" ht="11.25" customHeight="1">
      <c r="A170" s="1088" t="s">
        <v>1345</v>
      </c>
      <c r="D170" s="1082"/>
      <c r="E170" s="1092"/>
      <c r="F170" s="3895"/>
      <c r="G170" s="3875"/>
      <c r="H170" s="3885" t="s">
        <v>164</v>
      </c>
      <c r="I170" s="3886"/>
      <c r="J170" s="3883"/>
      <c r="K170" s="3887"/>
      <c r="L170" s="3599"/>
      <c r="M170" s="3600"/>
      <c r="N170" s="1097"/>
      <c r="O170" s="1098"/>
      <c r="P170" s="1090" t="s">
        <v>1445</v>
      </c>
      <c r="Q170" s="1098"/>
      <c r="R170" s="1098"/>
      <c r="S170" s="1098"/>
      <c r="T170" s="1098"/>
      <c r="U170" s="1098"/>
      <c r="V170" s="1098"/>
      <c r="W170" s="1098"/>
      <c r="X170" s="1098"/>
      <c r="Y170" s="1098"/>
      <c r="Z170" s="1098"/>
      <c r="AA170" s="1098"/>
      <c r="AB170" s="1098"/>
      <c r="AC170" s="1098"/>
      <c r="AD170" s="1098"/>
      <c r="AE170" s="1105"/>
      <c r="AF170" s="3876"/>
      <c r="AG170" s="3877"/>
      <c r="AH170" s="3877"/>
      <c r="AI170" s="3876"/>
      <c r="AJ170" s="3877"/>
      <c r="AK170" s="3877"/>
      <c r="AL170" s="1874"/>
      <c r="AM170" s="1714"/>
      <c r="AN170" s="1714"/>
      <c r="AO170" s="1714"/>
      <c r="AP170" s="1714"/>
      <c r="AQ170" s="1714"/>
      <c r="AR170" s="1714"/>
      <c r="AS170" s="1714"/>
      <c r="AT170" s="1714"/>
      <c r="AU170" s="1714"/>
      <c r="AV170" s="1714"/>
      <c r="AW170" s="1714"/>
      <c r="AX170" s="1714"/>
      <c r="AY170" s="1714"/>
      <c r="AZ170" s="1714"/>
      <c r="BA170" s="1714"/>
      <c r="BB170" s="1714"/>
      <c r="BC170" s="1714"/>
      <c r="BD170" s="1714"/>
      <c r="BE170" s="1714"/>
      <c r="BF170" s="1714"/>
    </row>
    <row r="171" spans="1:58" ht="11.25" customHeight="1">
      <c r="A171" s="1088" t="s">
        <v>1345</v>
      </c>
      <c r="D171" s="1082"/>
      <c r="E171" s="1092"/>
      <c r="F171" s="3895"/>
      <c r="G171" s="3853" t="s">
        <v>90</v>
      </c>
      <c r="H171" s="3885" t="s">
        <v>78</v>
      </c>
      <c r="I171" s="3886"/>
      <c r="J171" s="3883"/>
      <c r="K171" s="3887" t="s">
        <v>1470</v>
      </c>
      <c r="L171" s="3599" t="s">
        <v>6</v>
      </c>
      <c r="M171" s="3600"/>
      <c r="N171" s="1872"/>
      <c r="O171" s="1099" t="s">
        <v>421</v>
      </c>
      <c r="P171" s="1100"/>
      <c r="Q171" s="1100"/>
      <c r="R171" s="1100"/>
      <c r="S171" s="1100"/>
      <c r="T171" s="1100"/>
      <c r="U171" s="1100"/>
      <c r="V171" s="1100"/>
      <c r="W171" s="1100"/>
      <c r="X171" s="1100"/>
      <c r="Y171" s="1100"/>
      <c r="Z171" s="1100"/>
      <c r="AA171" s="1100"/>
      <c r="AB171" s="1100"/>
      <c r="AC171" s="1100"/>
      <c r="AD171" s="1100"/>
      <c r="AE171" s="1100"/>
      <c r="AF171" s="3876">
        <v>2019</v>
      </c>
      <c r="AG171" s="3877" t="s">
        <v>1447</v>
      </c>
      <c r="AH171" s="3877" t="s">
        <v>1460</v>
      </c>
      <c r="AI171" s="3876">
        <v>2019</v>
      </c>
      <c r="AJ171" s="3877" t="s">
        <v>1435</v>
      </c>
      <c r="AK171" s="3877" t="s">
        <v>1460</v>
      </c>
      <c r="AL171" s="1874"/>
      <c r="AM171" s="1714"/>
      <c r="AN171" s="1714"/>
      <c r="AO171" s="1714"/>
      <c r="AP171" s="1714"/>
      <c r="AQ171" s="1714"/>
      <c r="AR171" s="1714"/>
      <c r="AS171" s="1714"/>
      <c r="AT171" s="1714"/>
      <c r="AU171" s="1714"/>
      <c r="AV171" s="1714"/>
      <c r="AW171" s="1714"/>
      <c r="AX171" s="1714"/>
      <c r="AY171" s="1714"/>
      <c r="AZ171" s="1714"/>
      <c r="BA171" s="1714"/>
      <c r="BB171" s="1714"/>
      <c r="BC171" s="1714"/>
      <c r="BD171" s="1714"/>
      <c r="BE171" s="1714"/>
      <c r="BF171" s="1714"/>
    </row>
    <row r="172" spans="1:58" ht="11.25" customHeight="1">
      <c r="A172" s="1088" t="s">
        <v>1345</v>
      </c>
      <c r="D172" s="1082"/>
      <c r="E172" s="1092"/>
      <c r="F172" s="3895"/>
      <c r="G172" s="3875"/>
      <c r="H172" s="3885" t="s">
        <v>89</v>
      </c>
      <c r="I172" s="3886"/>
      <c r="J172" s="3883"/>
      <c r="K172" s="3887"/>
      <c r="L172" s="3599"/>
      <c r="M172" s="3600"/>
      <c r="N172" s="3878"/>
      <c r="O172" s="3879">
        <v>1</v>
      </c>
      <c r="P172" s="3880" t="s">
        <v>50</v>
      </c>
      <c r="Q172" s="3883" t="s">
        <v>1471</v>
      </c>
      <c r="R172" s="3884" t="s">
        <v>1438</v>
      </c>
      <c r="S172" s="3884" t="s">
        <v>92</v>
      </c>
      <c r="T172" s="3884" t="s">
        <v>92</v>
      </c>
      <c r="U172" s="3884" t="s">
        <v>93</v>
      </c>
      <c r="V172" s="3884" t="s">
        <v>1462</v>
      </c>
      <c r="W172" s="3884" t="s">
        <v>1463</v>
      </c>
      <c r="X172" s="3884" t="s">
        <v>1472</v>
      </c>
      <c r="Y172" s="3884" t="s">
        <v>1442</v>
      </c>
      <c r="Z172" s="1097"/>
      <c r="AA172" s="1098"/>
      <c r="AB172" s="1098"/>
      <c r="AC172" s="1102"/>
      <c r="AD172" s="1102"/>
      <c r="AE172" s="1103"/>
      <c r="AF172" s="3876"/>
      <c r="AG172" s="3877"/>
      <c r="AH172" s="3877"/>
      <c r="AI172" s="3876"/>
      <c r="AJ172" s="3877"/>
      <c r="AK172" s="3877"/>
      <c r="AL172" s="1874"/>
      <c r="AM172" s="1714"/>
      <c r="AN172" s="1714"/>
      <c r="AO172" s="1714"/>
      <c r="AP172" s="1714"/>
      <c r="AQ172" s="1714"/>
      <c r="AR172" s="1714"/>
      <c r="AS172" s="1714"/>
      <c r="AT172" s="1714"/>
      <c r="AU172" s="1714"/>
      <c r="AV172" s="1714"/>
      <c r="AW172" s="1714"/>
      <c r="AX172" s="1714"/>
      <c r="AY172" s="1714"/>
      <c r="AZ172" s="1714"/>
      <c r="BA172" s="1714"/>
      <c r="BB172" s="1714"/>
      <c r="BC172" s="1714"/>
      <c r="BD172" s="1714"/>
      <c r="BE172" s="1714"/>
      <c r="BF172" s="1714"/>
    </row>
    <row r="173" spans="1:58" ht="11.25" customHeight="1">
      <c r="A173" s="1088" t="s">
        <v>1345</v>
      </c>
      <c r="D173" s="1082"/>
      <c r="E173" s="1092"/>
      <c r="F173" s="3895"/>
      <c r="G173" s="3875"/>
      <c r="H173" s="3885" t="s">
        <v>89</v>
      </c>
      <c r="I173" s="3886"/>
      <c r="J173" s="3883"/>
      <c r="K173" s="3887"/>
      <c r="L173" s="3599"/>
      <c r="M173" s="3600"/>
      <c r="N173" s="3878"/>
      <c r="O173" s="3879"/>
      <c r="P173" s="3881"/>
      <c r="Q173" s="3883"/>
      <c r="R173" s="3874"/>
      <c r="S173" s="3884"/>
      <c r="T173" s="3874"/>
      <c r="U173" s="3874"/>
      <c r="V173" s="3874"/>
      <c r="W173" s="3874"/>
      <c r="X173" s="3874"/>
      <c r="Y173" s="3874"/>
      <c r="Z173" s="1719"/>
      <c r="AA173" s="1686">
        <v>1</v>
      </c>
      <c r="AB173" s="1101" t="s">
        <v>1473</v>
      </c>
      <c r="AC173" s="1091">
        <v>0</v>
      </c>
      <c r="AD173" s="1101" t="str">
        <f>AB173</f>
        <v xml:space="preserve">  Кредиты</v>
      </c>
      <c r="AE173" s="1091">
        <v>540.89</v>
      </c>
      <c r="AF173" s="3876"/>
      <c r="AG173" s="3877"/>
      <c r="AH173" s="3877"/>
      <c r="AI173" s="3876"/>
      <c r="AJ173" s="3877"/>
      <c r="AK173" s="3877"/>
      <c r="AL173" s="1874"/>
      <c r="AM173" s="1714"/>
      <c r="AN173" s="1714"/>
      <c r="AO173" s="1714"/>
      <c r="AP173" s="1714"/>
      <c r="AQ173" s="1714"/>
      <c r="AR173" s="1714"/>
      <c r="AS173" s="1714"/>
      <c r="AT173" s="1714"/>
      <c r="AU173" s="1714"/>
      <c r="AV173" s="1714"/>
      <c r="AW173" s="1714"/>
      <c r="AX173" s="1714"/>
      <c r="AY173" s="1714"/>
      <c r="AZ173" s="1714"/>
      <c r="BA173" s="1714"/>
      <c r="BB173" s="1714"/>
      <c r="BC173" s="1714"/>
      <c r="BD173" s="1714"/>
      <c r="BE173" s="1714"/>
      <c r="BF173" s="1714"/>
    </row>
    <row r="174" spans="1:58" ht="11.25" customHeight="1">
      <c r="A174" s="1088" t="s">
        <v>1345</v>
      </c>
      <c r="D174" s="1082"/>
      <c r="E174" s="1092"/>
      <c r="F174" s="3895"/>
      <c r="G174" s="3875"/>
      <c r="H174" s="3885" t="s">
        <v>89</v>
      </c>
      <c r="I174" s="3886"/>
      <c r="J174" s="3883"/>
      <c r="K174" s="3887"/>
      <c r="L174" s="3599"/>
      <c r="M174" s="3600"/>
      <c r="N174" s="3878"/>
      <c r="O174" s="3879"/>
      <c r="P174" s="3882"/>
      <c r="Q174" s="3883"/>
      <c r="R174" s="3874"/>
      <c r="S174" s="3884"/>
      <c r="T174" s="3874"/>
      <c r="U174" s="3874"/>
      <c r="V174" s="3874"/>
      <c r="W174" s="3874"/>
      <c r="X174" s="3874"/>
      <c r="Y174" s="3874"/>
      <c r="Z174" s="1097"/>
      <c r="AA174" s="1098"/>
      <c r="AB174" s="1163" t="s">
        <v>1444</v>
      </c>
      <c r="AC174" s="1102"/>
      <c r="AD174" s="1102"/>
      <c r="AE174" s="1104"/>
      <c r="AF174" s="3876"/>
      <c r="AG174" s="3877"/>
      <c r="AH174" s="3877"/>
      <c r="AI174" s="3876"/>
      <c r="AJ174" s="3877"/>
      <c r="AK174" s="3877"/>
      <c r="AL174" s="1874"/>
      <c r="AM174" s="1714"/>
      <c r="AN174" s="1714"/>
      <c r="AO174" s="1714"/>
      <c r="AP174" s="1714"/>
      <c r="AQ174" s="1714"/>
      <c r="AR174" s="1714"/>
      <c r="AS174" s="1714"/>
      <c r="AT174" s="1714"/>
      <c r="AU174" s="1714"/>
      <c r="AV174" s="1714"/>
      <c r="AW174" s="1714"/>
      <c r="AX174" s="1714"/>
      <c r="AY174" s="1714"/>
      <c r="AZ174" s="1714"/>
      <c r="BA174" s="1714"/>
      <c r="BB174" s="1714"/>
      <c r="BC174" s="1714"/>
      <c r="BD174" s="1714"/>
      <c r="BE174" s="1714"/>
      <c r="BF174" s="1714"/>
    </row>
    <row r="175" spans="1:58" ht="11.25" customHeight="1">
      <c r="A175" s="1088" t="s">
        <v>1345</v>
      </c>
      <c r="D175" s="1082"/>
      <c r="E175" s="1092"/>
      <c r="F175" s="3895"/>
      <c r="G175" s="3875"/>
      <c r="H175" s="3885" t="s">
        <v>89</v>
      </c>
      <c r="I175" s="3886"/>
      <c r="J175" s="3883"/>
      <c r="K175" s="3887"/>
      <c r="L175" s="3599"/>
      <c r="M175" s="3600"/>
      <c r="N175" s="1097"/>
      <c r="O175" s="1098"/>
      <c r="P175" s="1090" t="s">
        <v>1445</v>
      </c>
      <c r="Q175" s="1098"/>
      <c r="R175" s="1098"/>
      <c r="S175" s="1098"/>
      <c r="T175" s="1098"/>
      <c r="U175" s="1098"/>
      <c r="V175" s="1098"/>
      <c r="W175" s="1098"/>
      <c r="X175" s="1098"/>
      <c r="Y175" s="1098"/>
      <c r="Z175" s="1098"/>
      <c r="AA175" s="1098"/>
      <c r="AB175" s="1098"/>
      <c r="AC175" s="1098"/>
      <c r="AD175" s="1098"/>
      <c r="AE175" s="1105"/>
      <c r="AF175" s="3876"/>
      <c r="AG175" s="3877"/>
      <c r="AH175" s="3877"/>
      <c r="AI175" s="3876"/>
      <c r="AJ175" s="3877"/>
      <c r="AK175" s="3877"/>
      <c r="AL175" s="1874"/>
      <c r="AM175" s="1714"/>
      <c r="AN175" s="1714"/>
      <c r="AO175" s="1714"/>
      <c r="AP175" s="1714"/>
      <c r="AQ175" s="1714"/>
      <c r="AR175" s="1714"/>
      <c r="AS175" s="1714"/>
      <c r="AT175" s="1714"/>
      <c r="AU175" s="1714"/>
      <c r="AV175" s="1714"/>
      <c r="AW175" s="1714"/>
      <c r="AX175" s="1714"/>
      <c r="AY175" s="1714"/>
      <c r="AZ175" s="1714"/>
      <c r="BA175" s="1714"/>
      <c r="BB175" s="1714"/>
      <c r="BC175" s="1714"/>
      <c r="BD175" s="1714"/>
      <c r="BE175" s="1714"/>
      <c r="BF175" s="1714"/>
    </row>
    <row r="176" spans="1:58" ht="11.25" customHeight="1">
      <c r="A176" s="1088" t="s">
        <v>1345</v>
      </c>
      <c r="D176" s="1082"/>
      <c r="E176" s="1092"/>
      <c r="F176" s="3895"/>
      <c r="G176" s="3853" t="s">
        <v>90</v>
      </c>
      <c r="H176" s="3885" t="s">
        <v>79</v>
      </c>
      <c r="I176" s="3886"/>
      <c r="J176" s="3883"/>
      <c r="K176" s="3887" t="s">
        <v>1474</v>
      </c>
      <c r="L176" s="3599" t="s">
        <v>6</v>
      </c>
      <c r="M176" s="3600"/>
      <c r="N176" s="1872"/>
      <c r="O176" s="1099" t="s">
        <v>421</v>
      </c>
      <c r="P176" s="1100"/>
      <c r="Q176" s="1100"/>
      <c r="R176" s="1100"/>
      <c r="S176" s="1100"/>
      <c r="T176" s="1100"/>
      <c r="U176" s="1100"/>
      <c r="V176" s="1100"/>
      <c r="W176" s="1100"/>
      <c r="X176" s="1100"/>
      <c r="Y176" s="1100"/>
      <c r="Z176" s="1100"/>
      <c r="AA176" s="1100"/>
      <c r="AB176" s="1100"/>
      <c r="AC176" s="1100"/>
      <c r="AD176" s="1100"/>
      <c r="AE176" s="1100"/>
      <c r="AF176" s="3876">
        <v>2017</v>
      </c>
      <c r="AG176" s="3877" t="s">
        <v>1447</v>
      </c>
      <c r="AH176" s="3877" t="s">
        <v>1475</v>
      </c>
      <c r="AI176" s="3876">
        <v>2017</v>
      </c>
      <c r="AJ176" s="3877" t="s">
        <v>1435</v>
      </c>
      <c r="AK176" s="3877" t="s">
        <v>1475</v>
      </c>
      <c r="AL176" s="1874"/>
      <c r="AM176" s="1714"/>
      <c r="AN176" s="1714"/>
      <c r="AO176" s="1714"/>
      <c r="AP176" s="1714"/>
      <c r="AQ176" s="1714"/>
      <c r="AR176" s="1714"/>
      <c r="AS176" s="1714"/>
      <c r="AT176" s="1714"/>
      <c r="AU176" s="1714"/>
      <c r="AV176" s="1714"/>
      <c r="AW176" s="1714"/>
      <c r="AX176" s="1714"/>
      <c r="AY176" s="1714"/>
      <c r="AZ176" s="1714"/>
      <c r="BA176" s="1714"/>
      <c r="BB176" s="1714"/>
      <c r="BC176" s="1714"/>
      <c r="BD176" s="1714"/>
      <c r="BE176" s="1714"/>
      <c r="BF176" s="1714"/>
    </row>
    <row r="177" spans="1:58" ht="11.25" customHeight="1">
      <c r="A177" s="1088" t="s">
        <v>1345</v>
      </c>
      <c r="D177" s="1082"/>
      <c r="E177" s="1092"/>
      <c r="F177" s="3895"/>
      <c r="G177" s="3875"/>
      <c r="H177" s="3885" t="s">
        <v>78</v>
      </c>
      <c r="I177" s="3886"/>
      <c r="J177" s="3883"/>
      <c r="K177" s="3887"/>
      <c r="L177" s="3599"/>
      <c r="M177" s="3600"/>
      <c r="N177" s="3878"/>
      <c r="O177" s="3879">
        <v>1</v>
      </c>
      <c r="P177" s="3880" t="s">
        <v>50</v>
      </c>
      <c r="Q177" s="3883" t="s">
        <v>1476</v>
      </c>
      <c r="R177" s="3884" t="s">
        <v>1438</v>
      </c>
      <c r="S177" s="3884" t="s">
        <v>92</v>
      </c>
      <c r="T177" s="3884" t="s">
        <v>92</v>
      </c>
      <c r="U177" s="3884" t="s">
        <v>93</v>
      </c>
      <c r="V177" s="3884" t="s">
        <v>1462</v>
      </c>
      <c r="W177" s="3884" t="s">
        <v>1463</v>
      </c>
      <c r="X177" s="3884" t="s">
        <v>1477</v>
      </c>
      <c r="Y177" s="3884" t="s">
        <v>1478</v>
      </c>
      <c r="Z177" s="1097"/>
      <c r="AA177" s="1098"/>
      <c r="AB177" s="1098"/>
      <c r="AC177" s="1102"/>
      <c r="AD177" s="1102"/>
      <c r="AE177" s="1103"/>
      <c r="AF177" s="3876"/>
      <c r="AG177" s="3877"/>
      <c r="AH177" s="3877"/>
      <c r="AI177" s="3876"/>
      <c r="AJ177" s="3877"/>
      <c r="AK177" s="3877"/>
      <c r="AL177" s="1874"/>
      <c r="AM177" s="1714"/>
      <c r="AN177" s="1714"/>
      <c r="AO177" s="1714"/>
      <c r="AP177" s="1714"/>
      <c r="AQ177" s="1714"/>
      <c r="AR177" s="1714"/>
      <c r="AS177" s="1714"/>
      <c r="AT177" s="1714"/>
      <c r="AU177" s="1714"/>
      <c r="AV177" s="1714"/>
      <c r="AW177" s="1714"/>
      <c r="AX177" s="1714"/>
      <c r="AY177" s="1714"/>
      <c r="AZ177" s="1714"/>
      <c r="BA177" s="1714"/>
      <c r="BB177" s="1714"/>
      <c r="BC177" s="1714"/>
      <c r="BD177" s="1714"/>
      <c r="BE177" s="1714"/>
      <c r="BF177" s="1714"/>
    </row>
    <row r="178" spans="1:58" ht="11.25" customHeight="1">
      <c r="A178" s="1088" t="s">
        <v>1345</v>
      </c>
      <c r="D178" s="1082"/>
      <c r="E178" s="1092"/>
      <c r="F178" s="3895"/>
      <c r="G178" s="3875"/>
      <c r="H178" s="3885" t="s">
        <v>78</v>
      </c>
      <c r="I178" s="3886"/>
      <c r="J178" s="3883"/>
      <c r="K178" s="3887"/>
      <c r="L178" s="3599"/>
      <c r="M178" s="3600"/>
      <c r="N178" s="3878"/>
      <c r="O178" s="3879"/>
      <c r="P178" s="3881"/>
      <c r="Q178" s="3883"/>
      <c r="R178" s="3874"/>
      <c r="S178" s="3884"/>
      <c r="T178" s="3874"/>
      <c r="U178" s="3874"/>
      <c r="V178" s="3874"/>
      <c r="W178" s="3874"/>
      <c r="X178" s="3874"/>
      <c r="Y178" s="3874"/>
      <c r="Z178" s="1719"/>
      <c r="AA178" s="1686">
        <v>1</v>
      </c>
      <c r="AB178" s="1101" t="s">
        <v>1473</v>
      </c>
      <c r="AC178" s="1091">
        <v>0</v>
      </c>
      <c r="AD178" s="1101" t="str">
        <f>AB178</f>
        <v xml:space="preserve">  Кредиты</v>
      </c>
      <c r="AE178" s="1091">
        <v>16898.79</v>
      </c>
      <c r="AF178" s="3876"/>
      <c r="AG178" s="3877"/>
      <c r="AH178" s="3877"/>
      <c r="AI178" s="3876"/>
      <c r="AJ178" s="3877"/>
      <c r="AK178" s="3877"/>
      <c r="AL178" s="1874"/>
      <c r="AM178" s="1714"/>
      <c r="AN178" s="1714"/>
      <c r="AO178" s="1714"/>
      <c r="AP178" s="1714"/>
      <c r="AQ178" s="1714"/>
      <c r="AR178" s="1714"/>
      <c r="AS178" s="1714"/>
      <c r="AT178" s="1714"/>
      <c r="AU178" s="1714"/>
      <c r="AV178" s="1714"/>
      <c r="AW178" s="1714"/>
      <c r="AX178" s="1714"/>
      <c r="AY178" s="1714"/>
      <c r="AZ178" s="1714"/>
      <c r="BA178" s="1714"/>
      <c r="BB178" s="1714"/>
      <c r="BC178" s="1714"/>
      <c r="BD178" s="1714"/>
      <c r="BE178" s="1714"/>
      <c r="BF178" s="1714"/>
    </row>
    <row r="179" spans="1:58" ht="11.25" customHeight="1">
      <c r="A179" s="1088" t="s">
        <v>1345</v>
      </c>
      <c r="D179" s="1082"/>
      <c r="E179" s="1092"/>
      <c r="F179" s="3895"/>
      <c r="G179" s="3875"/>
      <c r="H179" s="3885" t="s">
        <v>78</v>
      </c>
      <c r="I179" s="3886"/>
      <c r="J179" s="3883"/>
      <c r="K179" s="3887"/>
      <c r="L179" s="3599"/>
      <c r="M179" s="3600"/>
      <c r="N179" s="3878"/>
      <c r="O179" s="3879"/>
      <c r="P179" s="3882"/>
      <c r="Q179" s="3883"/>
      <c r="R179" s="3874"/>
      <c r="S179" s="3884"/>
      <c r="T179" s="3874"/>
      <c r="U179" s="3874"/>
      <c r="V179" s="3874"/>
      <c r="W179" s="3874"/>
      <c r="X179" s="3874"/>
      <c r="Y179" s="3874"/>
      <c r="Z179" s="1097"/>
      <c r="AA179" s="1098"/>
      <c r="AB179" s="1163" t="s">
        <v>1444</v>
      </c>
      <c r="AC179" s="1102"/>
      <c r="AD179" s="1102"/>
      <c r="AE179" s="1104"/>
      <c r="AF179" s="3876"/>
      <c r="AG179" s="3877"/>
      <c r="AH179" s="3877"/>
      <c r="AI179" s="3876"/>
      <c r="AJ179" s="3877"/>
      <c r="AK179" s="3877"/>
      <c r="AL179" s="1874"/>
      <c r="AM179" s="1714"/>
      <c r="AN179" s="1714"/>
      <c r="AO179" s="1714"/>
      <c r="AP179" s="1714"/>
      <c r="AQ179" s="1714"/>
      <c r="AR179" s="1714"/>
      <c r="AS179" s="1714"/>
      <c r="AT179" s="1714"/>
      <c r="AU179" s="1714"/>
      <c r="AV179" s="1714"/>
      <c r="AW179" s="1714"/>
      <c r="AX179" s="1714"/>
      <c r="AY179" s="1714"/>
      <c r="AZ179" s="1714"/>
      <c r="BA179" s="1714"/>
      <c r="BB179" s="1714"/>
      <c r="BC179" s="1714"/>
      <c r="BD179" s="1714"/>
      <c r="BE179" s="1714"/>
      <c r="BF179" s="1714"/>
    </row>
    <row r="180" spans="1:58" ht="11.25" customHeight="1">
      <c r="A180" s="1088" t="s">
        <v>1345</v>
      </c>
      <c r="D180" s="1082"/>
      <c r="E180" s="1092"/>
      <c r="F180" s="3895"/>
      <c r="G180" s="3875"/>
      <c r="H180" s="3885" t="s">
        <v>78</v>
      </c>
      <c r="I180" s="3886"/>
      <c r="J180" s="3883"/>
      <c r="K180" s="3887"/>
      <c r="L180" s="3599"/>
      <c r="M180" s="3600"/>
      <c r="N180" s="1097"/>
      <c r="O180" s="1098"/>
      <c r="P180" s="1090" t="s">
        <v>1445</v>
      </c>
      <c r="Q180" s="1098"/>
      <c r="R180" s="1098"/>
      <c r="S180" s="1098"/>
      <c r="T180" s="1098"/>
      <c r="U180" s="1098"/>
      <c r="V180" s="1098"/>
      <c r="W180" s="1098"/>
      <c r="X180" s="1098"/>
      <c r="Y180" s="1098"/>
      <c r="Z180" s="1098"/>
      <c r="AA180" s="1098"/>
      <c r="AB180" s="1098"/>
      <c r="AC180" s="1098"/>
      <c r="AD180" s="1098"/>
      <c r="AE180" s="1105"/>
      <c r="AF180" s="3876"/>
      <c r="AG180" s="3877"/>
      <c r="AH180" s="3877"/>
      <c r="AI180" s="3876"/>
      <c r="AJ180" s="3877"/>
      <c r="AK180" s="3877"/>
      <c r="AL180" s="1874"/>
      <c r="AM180" s="1714"/>
      <c r="AN180" s="1714"/>
      <c r="AO180" s="1714"/>
      <c r="AP180" s="1714"/>
      <c r="AQ180" s="1714"/>
      <c r="AR180" s="1714"/>
      <c r="AS180" s="1714"/>
      <c r="AT180" s="1714"/>
      <c r="AU180" s="1714"/>
      <c r="AV180" s="1714"/>
      <c r="AW180" s="1714"/>
      <c r="AX180" s="1714"/>
      <c r="AY180" s="1714"/>
      <c r="AZ180" s="1714"/>
      <c r="BA180" s="1714"/>
      <c r="BB180" s="1714"/>
      <c r="BC180" s="1714"/>
      <c r="BD180" s="1714"/>
      <c r="BE180" s="1714"/>
      <c r="BF180" s="1714"/>
    </row>
    <row r="181" spans="1:58" ht="12" customHeight="1">
      <c r="A181" s="1088" t="s">
        <v>1345</v>
      </c>
      <c r="D181" s="1082"/>
      <c r="E181" s="1092"/>
      <c r="F181" s="3896"/>
      <c r="G181" s="1112"/>
      <c r="H181" s="1112"/>
      <c r="I181" s="3893" t="s">
        <v>1451</v>
      </c>
      <c r="J181" s="3893"/>
      <c r="K181" s="3893"/>
      <c r="L181" s="1095"/>
      <c r="M181" s="1095"/>
      <c r="N181" s="1096"/>
      <c r="O181" s="1096"/>
      <c r="P181" s="1096"/>
      <c r="Q181" s="1096"/>
      <c r="R181" s="1096"/>
      <c r="S181" s="1096"/>
      <c r="T181" s="1096"/>
      <c r="U181" s="1096"/>
      <c r="V181" s="1096"/>
      <c r="W181" s="1096"/>
      <c r="X181" s="1096"/>
      <c r="Y181" s="1096"/>
      <c r="Z181" s="1096"/>
      <c r="AA181" s="1096"/>
      <c r="AB181" s="1096"/>
      <c r="AC181" s="1096"/>
      <c r="AD181" s="1096"/>
      <c r="AE181" s="1096"/>
      <c r="AF181" s="1096"/>
      <c r="AG181" s="1095"/>
      <c r="AH181" s="1095"/>
      <c r="AI181" s="1096"/>
      <c r="AJ181" s="1095"/>
      <c r="AK181" s="1096"/>
      <c r="AL181" s="187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4"/>
    </row>
    <row r="182" spans="1:58" ht="0.75" customHeight="1">
      <c r="A182" s="1088" t="s">
        <v>1345</v>
      </c>
      <c r="D182" s="1082"/>
      <c r="E182" s="1092"/>
      <c r="F182" s="3894">
        <v>2018</v>
      </c>
      <c r="G182" s="3885"/>
      <c r="H182" s="3898" t="s">
        <v>421</v>
      </c>
      <c r="I182" s="3899"/>
      <c r="J182" s="3891"/>
      <c r="K182" s="3891"/>
      <c r="L182" s="3892"/>
      <c r="M182" s="3743"/>
      <c r="N182" s="1922"/>
      <c r="O182" s="1921"/>
      <c r="P182" s="1922"/>
      <c r="Q182" s="1922"/>
      <c r="R182" s="1922"/>
      <c r="S182" s="1922"/>
      <c r="T182" s="1922"/>
      <c r="U182" s="1922"/>
      <c r="V182" s="1922"/>
      <c r="W182" s="1922"/>
      <c r="X182" s="1922"/>
      <c r="Y182" s="1922"/>
      <c r="Z182" s="1922"/>
      <c r="AA182" s="1922"/>
      <c r="AB182" s="1922"/>
      <c r="AC182" s="1922"/>
      <c r="AD182" s="1922"/>
      <c r="AE182" s="1922"/>
      <c r="AF182" s="3897"/>
      <c r="AG182" s="3892"/>
      <c r="AH182" s="3892"/>
      <c r="AI182" s="3897"/>
      <c r="AJ182" s="3892"/>
      <c r="AK182" s="3892"/>
      <c r="AL182" s="1874"/>
      <c r="AM182" s="1714"/>
      <c r="AN182" s="1714"/>
      <c r="AO182" s="1714"/>
      <c r="AP182" s="1714"/>
      <c r="AQ182" s="1714"/>
      <c r="AR182" s="1714"/>
      <c r="AS182" s="1714"/>
      <c r="AT182" s="1714"/>
      <c r="AU182" s="1714"/>
      <c r="AV182" s="1714"/>
      <c r="AW182" s="1714"/>
      <c r="AX182" s="1714"/>
      <c r="AY182" s="1714"/>
      <c r="AZ182" s="1714"/>
      <c r="BA182" s="1714"/>
      <c r="BB182" s="1714"/>
      <c r="BC182" s="1714"/>
      <c r="BD182" s="1714"/>
      <c r="BE182" s="1714"/>
      <c r="BF182" s="1714"/>
    </row>
    <row r="183" spans="1:58" ht="0.75" customHeight="1">
      <c r="A183" s="1088" t="s">
        <v>1345</v>
      </c>
      <c r="D183" s="1082"/>
      <c r="E183" s="1092"/>
      <c r="F183" s="3894"/>
      <c r="G183" s="3885"/>
      <c r="H183" s="3898"/>
      <c r="I183" s="3899"/>
      <c r="J183" s="3891"/>
      <c r="K183" s="3891"/>
      <c r="L183" s="3892"/>
      <c r="M183" s="3743"/>
      <c r="N183" s="3900"/>
      <c r="O183" s="3901"/>
      <c r="P183" s="3888"/>
      <c r="Q183" s="3891"/>
      <c r="R183" s="3891"/>
      <c r="S183" s="3891"/>
      <c r="T183" s="3891"/>
      <c r="U183" s="3891"/>
      <c r="V183" s="3891"/>
      <c r="W183" s="3891"/>
      <c r="X183" s="3891"/>
      <c r="Y183" s="3891"/>
      <c r="Z183" s="1923"/>
      <c r="AA183" s="1924"/>
      <c r="AB183" s="1924"/>
      <c r="AC183" s="1925"/>
      <c r="AD183" s="1925"/>
      <c r="AE183" s="1926"/>
      <c r="AF183" s="3897"/>
      <c r="AG183" s="3892"/>
      <c r="AH183" s="3892"/>
      <c r="AI183" s="3897"/>
      <c r="AJ183" s="3892"/>
      <c r="AK183" s="3892"/>
      <c r="AL183" s="1874"/>
      <c r="AM183" s="1714"/>
      <c r="AN183" s="1714"/>
      <c r="AO183" s="1714"/>
      <c r="AP183" s="1714"/>
      <c r="AQ183" s="1714"/>
      <c r="AR183" s="1714"/>
      <c r="AS183" s="1714"/>
      <c r="AT183" s="1714"/>
      <c r="AU183" s="1714"/>
      <c r="AV183" s="1714"/>
      <c r="AW183" s="1714"/>
      <c r="AX183" s="1714"/>
      <c r="AY183" s="1714"/>
      <c r="AZ183" s="1714"/>
      <c r="BA183" s="1714"/>
      <c r="BB183" s="1714"/>
      <c r="BC183" s="1714"/>
      <c r="BD183" s="1714"/>
      <c r="BE183" s="1714"/>
      <c r="BF183" s="1714"/>
    </row>
    <row r="184" spans="1:58" ht="0.75" customHeight="1">
      <c r="A184" s="1088" t="s">
        <v>1345</v>
      </c>
      <c r="D184" s="1082"/>
      <c r="E184" s="1092"/>
      <c r="F184" s="3894"/>
      <c r="G184" s="3885"/>
      <c r="H184" s="3898"/>
      <c r="I184" s="3899"/>
      <c r="J184" s="3891"/>
      <c r="K184" s="3891"/>
      <c r="L184" s="3892"/>
      <c r="M184" s="3743"/>
      <c r="N184" s="3900"/>
      <c r="O184" s="3901"/>
      <c r="P184" s="3889"/>
      <c r="Q184" s="3891"/>
      <c r="R184" s="3891"/>
      <c r="S184" s="3891"/>
      <c r="T184" s="3891"/>
      <c r="U184" s="3891"/>
      <c r="V184" s="3891"/>
      <c r="W184" s="3891"/>
      <c r="X184" s="3891"/>
      <c r="Y184" s="3891"/>
      <c r="Z184" s="1927"/>
      <c r="AA184" s="1928"/>
      <c r="AB184" s="1929"/>
      <c r="AC184" s="1930"/>
      <c r="AD184" s="1929"/>
      <c r="AE184" s="1930"/>
      <c r="AF184" s="3897"/>
      <c r="AG184" s="3892"/>
      <c r="AH184" s="3892"/>
      <c r="AI184" s="3897"/>
      <c r="AJ184" s="3892"/>
      <c r="AK184" s="3892"/>
      <c r="AL184" s="1874"/>
      <c r="AM184" s="1714"/>
      <c r="AN184" s="1714"/>
      <c r="AO184" s="1714"/>
      <c r="AP184" s="1714"/>
      <c r="AQ184" s="1714"/>
      <c r="AR184" s="1714"/>
      <c r="AS184" s="1714"/>
      <c r="AT184" s="1714"/>
      <c r="AU184" s="1714"/>
      <c r="AV184" s="1714"/>
      <c r="AW184" s="1714"/>
      <c r="AX184" s="1714"/>
      <c r="AY184" s="1714"/>
      <c r="AZ184" s="1714"/>
      <c r="BA184" s="1714"/>
      <c r="BB184" s="1714"/>
      <c r="BC184" s="1714"/>
      <c r="BD184" s="1714"/>
      <c r="BE184" s="1714"/>
      <c r="BF184" s="1714"/>
    </row>
    <row r="185" spans="1:58" ht="0.75" customHeight="1">
      <c r="A185" s="1088" t="s">
        <v>1345</v>
      </c>
      <c r="D185" s="1082"/>
      <c r="E185" s="1092"/>
      <c r="F185" s="3894"/>
      <c r="G185" s="3885"/>
      <c r="H185" s="3898"/>
      <c r="I185" s="3899"/>
      <c r="J185" s="3891"/>
      <c r="K185" s="3891"/>
      <c r="L185" s="3892"/>
      <c r="M185" s="3743"/>
      <c r="N185" s="3900"/>
      <c r="O185" s="3901"/>
      <c r="P185" s="3890"/>
      <c r="Q185" s="3891"/>
      <c r="R185" s="3891"/>
      <c r="S185" s="3891"/>
      <c r="T185" s="3891"/>
      <c r="U185" s="3891"/>
      <c r="V185" s="3891"/>
      <c r="W185" s="3891"/>
      <c r="X185" s="3891"/>
      <c r="Y185" s="3891"/>
      <c r="Z185" s="1923"/>
      <c r="AA185" s="1924"/>
      <c r="AB185" s="1931"/>
      <c r="AC185" s="1925"/>
      <c r="AD185" s="1925"/>
      <c r="AE185" s="1932"/>
      <c r="AF185" s="3897"/>
      <c r="AG185" s="3892"/>
      <c r="AH185" s="3892"/>
      <c r="AI185" s="3897"/>
      <c r="AJ185" s="3892"/>
      <c r="AK185" s="3892"/>
      <c r="AL185" s="1874"/>
      <c r="AM185" s="1714"/>
      <c r="AN185" s="1714"/>
      <c r="AO185" s="1714"/>
      <c r="AP185" s="1714"/>
      <c r="AQ185" s="1714"/>
      <c r="AR185" s="1714"/>
      <c r="AS185" s="1714"/>
      <c r="AT185" s="1714"/>
      <c r="AU185" s="1714"/>
      <c r="AV185" s="1714"/>
      <c r="AW185" s="1714"/>
      <c r="AX185" s="1714"/>
      <c r="AY185" s="1714"/>
      <c r="AZ185" s="1714"/>
      <c r="BA185" s="1714"/>
      <c r="BB185" s="1714"/>
      <c r="BC185" s="1714"/>
      <c r="BD185" s="1714"/>
      <c r="BE185" s="1714"/>
      <c r="BF185" s="1714"/>
    </row>
    <row r="186" spans="1:58" ht="0.75" customHeight="1">
      <c r="A186" s="1088" t="s">
        <v>1345</v>
      </c>
      <c r="D186" s="1082"/>
      <c r="E186" s="1092"/>
      <c r="F186" s="3894"/>
      <c r="G186" s="3885"/>
      <c r="H186" s="3898"/>
      <c r="I186" s="3899"/>
      <c r="J186" s="3891"/>
      <c r="K186" s="3891"/>
      <c r="L186" s="3892"/>
      <c r="M186" s="3743"/>
      <c r="N186" s="1924"/>
      <c r="O186" s="1924"/>
      <c r="P186" s="1931"/>
      <c r="Q186" s="1924"/>
      <c r="R186" s="1924"/>
      <c r="S186" s="1924"/>
      <c r="T186" s="1924"/>
      <c r="U186" s="1924"/>
      <c r="V186" s="1924"/>
      <c r="W186" s="1924"/>
      <c r="X186" s="1924"/>
      <c r="Y186" s="1924"/>
      <c r="Z186" s="1924"/>
      <c r="AA186" s="1924"/>
      <c r="AB186" s="1924"/>
      <c r="AC186" s="1924"/>
      <c r="AD186" s="1924"/>
      <c r="AE186" s="1933"/>
      <c r="AF186" s="3897"/>
      <c r="AG186" s="3892"/>
      <c r="AH186" s="3892"/>
      <c r="AI186" s="3897"/>
      <c r="AJ186" s="3892"/>
      <c r="AK186" s="3892"/>
      <c r="AL186" s="1874"/>
      <c r="AM186" s="1714"/>
      <c r="AN186" s="1714"/>
      <c r="AO186" s="1714"/>
      <c r="AP186" s="1714"/>
      <c r="AQ186" s="1714"/>
      <c r="AR186" s="1714"/>
      <c r="AS186" s="1714"/>
      <c r="AT186" s="1714"/>
      <c r="AU186" s="1714"/>
      <c r="AV186" s="1714"/>
      <c r="AW186" s="1714"/>
      <c r="AX186" s="1714"/>
      <c r="AY186" s="1714"/>
      <c r="AZ186" s="1714"/>
      <c r="BA186" s="1714"/>
      <c r="BB186" s="1714"/>
      <c r="BC186" s="1714"/>
      <c r="BD186" s="1714"/>
      <c r="BE186" s="1714"/>
      <c r="BF186" s="1714"/>
    </row>
    <row r="187" spans="1:58" ht="11.25" customHeight="1">
      <c r="A187" s="1088" t="s">
        <v>1345</v>
      </c>
      <c r="D187" s="1082"/>
      <c r="E187" s="1092"/>
      <c r="F187" s="3895"/>
      <c r="G187" s="3853" t="s">
        <v>90</v>
      </c>
      <c r="H187" s="3885" t="s">
        <v>164</v>
      </c>
      <c r="I187" s="3886"/>
      <c r="J187" s="3883"/>
      <c r="K187" s="3887" t="s">
        <v>1459</v>
      </c>
      <c r="L187" s="3599" t="s">
        <v>6</v>
      </c>
      <c r="M187" s="3600"/>
      <c r="N187" s="1872"/>
      <c r="O187" s="1099" t="s">
        <v>421</v>
      </c>
      <c r="P187" s="1100"/>
      <c r="Q187" s="1100"/>
      <c r="R187" s="1100"/>
      <c r="S187" s="1100"/>
      <c r="T187" s="1100"/>
      <c r="U187" s="1100"/>
      <c r="V187" s="1100"/>
      <c r="W187" s="1100"/>
      <c r="X187" s="1100"/>
      <c r="Y187" s="1100"/>
      <c r="Z187" s="1100"/>
      <c r="AA187" s="1100"/>
      <c r="AB187" s="1100"/>
      <c r="AC187" s="1100"/>
      <c r="AD187" s="1100"/>
      <c r="AE187" s="1100"/>
      <c r="AF187" s="3876">
        <v>2019</v>
      </c>
      <c r="AG187" s="3877" t="s">
        <v>1447</v>
      </c>
      <c r="AH187" s="3877" t="s">
        <v>1460</v>
      </c>
      <c r="AI187" s="3876">
        <v>2019</v>
      </c>
      <c r="AJ187" s="3877" t="s">
        <v>1447</v>
      </c>
      <c r="AK187" s="3877" t="s">
        <v>1460</v>
      </c>
      <c r="AL187" s="1874"/>
      <c r="AM187" s="1714"/>
      <c r="AN187" s="1714"/>
      <c r="AO187" s="1714"/>
      <c r="AP187" s="1714"/>
      <c r="AQ187" s="1714"/>
      <c r="AR187" s="1714"/>
      <c r="AS187" s="1714"/>
      <c r="AT187" s="1714"/>
      <c r="AU187" s="1714"/>
      <c r="AV187" s="1714"/>
      <c r="AW187" s="1714"/>
      <c r="AX187" s="1714"/>
      <c r="AY187" s="1714"/>
      <c r="AZ187" s="1714"/>
      <c r="BA187" s="1714"/>
      <c r="BB187" s="1714"/>
      <c r="BC187" s="1714"/>
      <c r="BD187" s="1714"/>
      <c r="BE187" s="1714"/>
      <c r="BF187" s="1714"/>
    </row>
    <row r="188" spans="1:58" ht="11.25" customHeight="1">
      <c r="A188" s="1088" t="s">
        <v>1345</v>
      </c>
      <c r="D188" s="1082"/>
      <c r="E188" s="1092"/>
      <c r="F188" s="3895"/>
      <c r="G188" s="3875"/>
      <c r="H188" s="3885" t="s">
        <v>421</v>
      </c>
      <c r="I188" s="3886"/>
      <c r="J188" s="3883"/>
      <c r="K188" s="3887"/>
      <c r="L188" s="3599"/>
      <c r="M188" s="3600"/>
      <c r="N188" s="3878"/>
      <c r="O188" s="3879">
        <v>1</v>
      </c>
      <c r="P188" s="3880" t="s">
        <v>50</v>
      </c>
      <c r="Q188" s="3883" t="s">
        <v>1461</v>
      </c>
      <c r="R188" s="3884" t="s">
        <v>1438</v>
      </c>
      <c r="S188" s="3884" t="s">
        <v>92</v>
      </c>
      <c r="T188" s="3884" t="s">
        <v>92</v>
      </c>
      <c r="U188" s="3884" t="s">
        <v>93</v>
      </c>
      <c r="V188" s="3884" t="s">
        <v>1462</v>
      </c>
      <c r="W188" s="3884" t="s">
        <v>1463</v>
      </c>
      <c r="X188" s="3884" t="s">
        <v>1464</v>
      </c>
      <c r="Y188" s="3884" t="s">
        <v>1465</v>
      </c>
      <c r="Z188" s="1097"/>
      <c r="AA188" s="1098"/>
      <c r="AB188" s="1098"/>
      <c r="AC188" s="1102"/>
      <c r="AD188" s="1102"/>
      <c r="AE188" s="1103"/>
      <c r="AF188" s="3876"/>
      <c r="AG188" s="3877"/>
      <c r="AH188" s="3877"/>
      <c r="AI188" s="3876"/>
      <c r="AJ188" s="3877"/>
      <c r="AK188" s="3877"/>
      <c r="AL188" s="1874"/>
      <c r="AM188" s="1714"/>
      <c r="AN188" s="1714"/>
      <c r="AO188" s="1714"/>
      <c r="AP188" s="1714"/>
      <c r="AQ188" s="1714"/>
      <c r="AR188" s="1714"/>
      <c r="AS188" s="1714"/>
      <c r="AT188" s="1714"/>
      <c r="AU188" s="1714"/>
      <c r="AV188" s="1714"/>
      <c r="AW188" s="1714"/>
      <c r="AX188" s="1714"/>
      <c r="AY188" s="1714"/>
      <c r="AZ188" s="1714"/>
      <c r="BA188" s="1714"/>
      <c r="BB188" s="1714"/>
      <c r="BC188" s="1714"/>
      <c r="BD188" s="1714"/>
      <c r="BE188" s="1714"/>
      <c r="BF188" s="1714"/>
    </row>
    <row r="189" spans="1:58" ht="11.25" customHeight="1">
      <c r="A189" s="1088" t="s">
        <v>1345</v>
      </c>
      <c r="D189" s="1082"/>
      <c r="E189" s="1092"/>
      <c r="F189" s="3895"/>
      <c r="G189" s="3875"/>
      <c r="H189" s="3885" t="s">
        <v>421</v>
      </c>
      <c r="I189" s="3886"/>
      <c r="J189" s="3883"/>
      <c r="K189" s="3887"/>
      <c r="L189" s="3599"/>
      <c r="M189" s="3600"/>
      <c r="N189" s="3878"/>
      <c r="O189" s="3879"/>
      <c r="P189" s="3881"/>
      <c r="Q189" s="3883"/>
      <c r="R189" s="3874"/>
      <c r="S189" s="3884"/>
      <c r="T189" s="3874"/>
      <c r="U189" s="3874"/>
      <c r="V189" s="3874"/>
      <c r="W189" s="3874"/>
      <c r="X189" s="3874"/>
      <c r="Y189" s="3874"/>
      <c r="Z189" s="1719"/>
      <c r="AA189" s="1686">
        <v>1</v>
      </c>
      <c r="AB189" s="1101" t="s">
        <v>1473</v>
      </c>
      <c r="AC189" s="1091">
        <v>1329.11</v>
      </c>
      <c r="AD189" s="1101" t="str">
        <f>AB189</f>
        <v xml:space="preserve">  Кредиты</v>
      </c>
      <c r="AE189" s="1091">
        <v>3881.26</v>
      </c>
      <c r="AF189" s="3876"/>
      <c r="AG189" s="3877"/>
      <c r="AH189" s="3877"/>
      <c r="AI189" s="3876"/>
      <c r="AJ189" s="3877"/>
      <c r="AK189" s="3877"/>
      <c r="AL189" s="1874"/>
      <c r="AM189" s="1714"/>
      <c r="AN189" s="1714"/>
      <c r="AO189" s="1714"/>
      <c r="AP189" s="1714"/>
      <c r="AQ189" s="1714"/>
      <c r="AR189" s="1714"/>
      <c r="AS189" s="1714"/>
      <c r="AT189" s="1714"/>
      <c r="AU189" s="1714"/>
      <c r="AV189" s="1714"/>
      <c r="AW189" s="1714"/>
      <c r="AX189" s="1714"/>
      <c r="AY189" s="1714"/>
      <c r="AZ189" s="1714"/>
      <c r="BA189" s="1714"/>
      <c r="BB189" s="1714"/>
      <c r="BC189" s="1714"/>
      <c r="BD189" s="1714"/>
      <c r="BE189" s="1714"/>
      <c r="BF189" s="1714"/>
    </row>
    <row r="190" spans="1:58" ht="11.25" customHeight="1">
      <c r="A190" s="1088" t="s">
        <v>1345</v>
      </c>
      <c r="D190" s="1082"/>
      <c r="E190" s="1092"/>
      <c r="F190" s="3895"/>
      <c r="G190" s="3875"/>
      <c r="H190" s="3885" t="s">
        <v>421</v>
      </c>
      <c r="I190" s="3886"/>
      <c r="J190" s="3883"/>
      <c r="K190" s="3887"/>
      <c r="L190" s="3599"/>
      <c r="M190" s="3600"/>
      <c r="N190" s="3878"/>
      <c r="O190" s="3879"/>
      <c r="P190" s="3882"/>
      <c r="Q190" s="3883"/>
      <c r="R190" s="3874"/>
      <c r="S190" s="3884"/>
      <c r="T190" s="3874"/>
      <c r="U190" s="3874"/>
      <c r="V190" s="3874"/>
      <c r="W190" s="3874"/>
      <c r="X190" s="3874"/>
      <c r="Y190" s="3874"/>
      <c r="Z190" s="1097"/>
      <c r="AA190" s="1098"/>
      <c r="AB190" s="1163" t="s">
        <v>1444</v>
      </c>
      <c r="AC190" s="1102"/>
      <c r="AD190" s="1102"/>
      <c r="AE190" s="1104"/>
      <c r="AF190" s="3876"/>
      <c r="AG190" s="3877"/>
      <c r="AH190" s="3877"/>
      <c r="AI190" s="3876"/>
      <c r="AJ190" s="3877"/>
      <c r="AK190" s="3877"/>
      <c r="AL190" s="1874"/>
      <c r="AM190" s="1714"/>
      <c r="AN190" s="1714"/>
      <c r="AO190" s="1714"/>
      <c r="AP190" s="1714"/>
      <c r="AQ190" s="1714"/>
      <c r="AR190" s="1714"/>
      <c r="AS190" s="1714"/>
      <c r="AT190" s="1714"/>
      <c r="AU190" s="1714"/>
      <c r="AV190" s="1714"/>
      <c r="AW190" s="1714"/>
      <c r="AX190" s="1714"/>
      <c r="AY190" s="1714"/>
      <c r="AZ190" s="1714"/>
      <c r="BA190" s="1714"/>
      <c r="BB190" s="1714"/>
      <c r="BC190" s="1714"/>
      <c r="BD190" s="1714"/>
      <c r="BE190" s="1714"/>
      <c r="BF190" s="1714"/>
    </row>
    <row r="191" spans="1:58" ht="11.25" customHeight="1">
      <c r="A191" s="1088" t="s">
        <v>1345</v>
      </c>
      <c r="D191" s="1082"/>
      <c r="E191" s="1092"/>
      <c r="F191" s="3895"/>
      <c r="G191" s="3875"/>
      <c r="H191" s="3885" t="s">
        <v>421</v>
      </c>
      <c r="I191" s="3886"/>
      <c r="J191" s="3883"/>
      <c r="K191" s="3887"/>
      <c r="L191" s="3599"/>
      <c r="M191" s="3600"/>
      <c r="N191" s="1097"/>
      <c r="O191" s="1098"/>
      <c r="P191" s="1090" t="s">
        <v>1445</v>
      </c>
      <c r="Q191" s="1098"/>
      <c r="R191" s="1098"/>
      <c r="S191" s="1098"/>
      <c r="T191" s="1098"/>
      <c r="U191" s="1098"/>
      <c r="V191" s="1098"/>
      <c r="W191" s="1098"/>
      <c r="X191" s="1098"/>
      <c r="Y191" s="1098"/>
      <c r="Z191" s="1098"/>
      <c r="AA191" s="1098"/>
      <c r="AB191" s="1098"/>
      <c r="AC191" s="1098"/>
      <c r="AD191" s="1098"/>
      <c r="AE191" s="1105"/>
      <c r="AF191" s="3876"/>
      <c r="AG191" s="3877"/>
      <c r="AH191" s="3877"/>
      <c r="AI191" s="3876"/>
      <c r="AJ191" s="3877"/>
      <c r="AK191" s="3877"/>
      <c r="AL191" s="1874"/>
      <c r="AM191" s="1714"/>
      <c r="AN191" s="1714"/>
      <c r="AO191" s="1714"/>
      <c r="AP191" s="1714"/>
      <c r="AQ191" s="1714"/>
      <c r="AR191" s="1714"/>
      <c r="AS191" s="1714"/>
      <c r="AT191" s="1714"/>
      <c r="AU191" s="1714"/>
      <c r="AV191" s="1714"/>
      <c r="AW191" s="1714"/>
      <c r="AX191" s="1714"/>
      <c r="AY191" s="1714"/>
      <c r="AZ191" s="1714"/>
      <c r="BA191" s="1714"/>
      <c r="BB191" s="1714"/>
      <c r="BC191" s="1714"/>
      <c r="BD191" s="1714"/>
      <c r="BE191" s="1714"/>
      <c r="BF191" s="1714"/>
    </row>
    <row r="192" spans="1:58" ht="11.25" customHeight="1">
      <c r="A192" s="1088" t="s">
        <v>1345</v>
      </c>
      <c r="D192" s="1082"/>
      <c r="E192" s="1092"/>
      <c r="F192" s="3895"/>
      <c r="G192" s="3853" t="s">
        <v>90</v>
      </c>
      <c r="H192" s="3885" t="s">
        <v>89</v>
      </c>
      <c r="I192" s="3886"/>
      <c r="J192" s="3883"/>
      <c r="K192" s="3887" t="s">
        <v>1466</v>
      </c>
      <c r="L192" s="3599" t="s">
        <v>6</v>
      </c>
      <c r="M192" s="3600"/>
      <c r="N192" s="1872"/>
      <c r="O192" s="1099" t="s">
        <v>421</v>
      </c>
      <c r="P192" s="1100"/>
      <c r="Q192" s="1100"/>
      <c r="R192" s="1100"/>
      <c r="S192" s="1100"/>
      <c r="T192" s="1100"/>
      <c r="U192" s="1100"/>
      <c r="V192" s="1100"/>
      <c r="W192" s="1100"/>
      <c r="X192" s="1100"/>
      <c r="Y192" s="1100"/>
      <c r="Z192" s="1100"/>
      <c r="AA192" s="1100"/>
      <c r="AB192" s="1100"/>
      <c r="AC192" s="1100"/>
      <c r="AD192" s="1100"/>
      <c r="AE192" s="1100"/>
      <c r="AF192" s="3876">
        <v>2019</v>
      </c>
      <c r="AG192" s="3877" t="s">
        <v>1447</v>
      </c>
      <c r="AH192" s="3877" t="s">
        <v>1460</v>
      </c>
      <c r="AI192" s="3876">
        <v>2019</v>
      </c>
      <c r="AJ192" s="3877" t="s">
        <v>1447</v>
      </c>
      <c r="AK192" s="3877" t="s">
        <v>1460</v>
      </c>
      <c r="AL192" s="1874"/>
      <c r="AM192" s="1714"/>
      <c r="AN192" s="1714"/>
      <c r="AO192" s="1714"/>
      <c r="AP192" s="1714"/>
      <c r="AQ192" s="1714"/>
      <c r="AR192" s="1714"/>
      <c r="AS192" s="1714"/>
      <c r="AT192" s="1714"/>
      <c r="AU192" s="1714"/>
      <c r="AV192" s="1714"/>
      <c r="AW192" s="1714"/>
      <c r="AX192" s="1714"/>
      <c r="AY192" s="1714"/>
      <c r="AZ192" s="1714"/>
      <c r="BA192" s="1714"/>
      <c r="BB192" s="1714"/>
      <c r="BC192" s="1714"/>
      <c r="BD192" s="1714"/>
      <c r="BE192" s="1714"/>
      <c r="BF192" s="1714"/>
    </row>
    <row r="193" spans="1:58" ht="11.25" customHeight="1">
      <c r="A193" s="1088" t="s">
        <v>1345</v>
      </c>
      <c r="D193" s="1082"/>
      <c r="E193" s="1092"/>
      <c r="F193" s="3895"/>
      <c r="G193" s="3875"/>
      <c r="H193" s="3885" t="s">
        <v>164</v>
      </c>
      <c r="I193" s="3886"/>
      <c r="J193" s="3883"/>
      <c r="K193" s="3887"/>
      <c r="L193" s="3599"/>
      <c r="M193" s="3600"/>
      <c r="N193" s="3878"/>
      <c r="O193" s="3879">
        <v>1</v>
      </c>
      <c r="P193" s="3880" t="s">
        <v>50</v>
      </c>
      <c r="Q193" s="3883" t="s">
        <v>1467</v>
      </c>
      <c r="R193" s="3884" t="s">
        <v>1438</v>
      </c>
      <c r="S193" s="3884" t="s">
        <v>92</v>
      </c>
      <c r="T193" s="3884" t="s">
        <v>92</v>
      </c>
      <c r="U193" s="3884" t="s">
        <v>93</v>
      </c>
      <c r="V193" s="3884" t="s">
        <v>1462</v>
      </c>
      <c r="W193" s="3884" t="s">
        <v>1463</v>
      </c>
      <c r="X193" s="3884" t="s">
        <v>1468</v>
      </c>
      <c r="Y193" s="3884" t="s">
        <v>1469</v>
      </c>
      <c r="Z193" s="1097"/>
      <c r="AA193" s="1098"/>
      <c r="AB193" s="1098"/>
      <c r="AC193" s="1102"/>
      <c r="AD193" s="1102"/>
      <c r="AE193" s="1103"/>
      <c r="AF193" s="3876"/>
      <c r="AG193" s="3877"/>
      <c r="AH193" s="3877"/>
      <c r="AI193" s="3876"/>
      <c r="AJ193" s="3877"/>
      <c r="AK193" s="3877"/>
      <c r="AL193" s="1874"/>
      <c r="AM193" s="1714"/>
      <c r="AN193" s="1714"/>
      <c r="AO193" s="1714"/>
      <c r="AP193" s="1714"/>
      <c r="AQ193" s="1714"/>
      <c r="AR193" s="1714"/>
      <c r="AS193" s="1714"/>
      <c r="AT193" s="1714"/>
      <c r="AU193" s="1714"/>
      <c r="AV193" s="1714"/>
      <c r="AW193" s="1714"/>
      <c r="AX193" s="1714"/>
      <c r="AY193" s="1714"/>
      <c r="AZ193" s="1714"/>
      <c r="BA193" s="1714"/>
      <c r="BB193" s="1714"/>
      <c r="BC193" s="1714"/>
      <c r="BD193" s="1714"/>
      <c r="BE193" s="1714"/>
      <c r="BF193" s="1714"/>
    </row>
    <row r="194" spans="1:58" ht="11.25" customHeight="1">
      <c r="A194" s="1088" t="s">
        <v>1345</v>
      </c>
      <c r="D194" s="1082"/>
      <c r="E194" s="1092"/>
      <c r="F194" s="3895"/>
      <c r="G194" s="3875"/>
      <c r="H194" s="3885" t="s">
        <v>164</v>
      </c>
      <c r="I194" s="3886"/>
      <c r="J194" s="3883"/>
      <c r="K194" s="3887"/>
      <c r="L194" s="3599"/>
      <c r="M194" s="3600"/>
      <c r="N194" s="3878"/>
      <c r="O194" s="3879"/>
      <c r="P194" s="3881"/>
      <c r="Q194" s="3883"/>
      <c r="R194" s="3874"/>
      <c r="S194" s="3884"/>
      <c r="T194" s="3874"/>
      <c r="U194" s="3874"/>
      <c r="V194" s="3874"/>
      <c r="W194" s="3874"/>
      <c r="X194" s="3874"/>
      <c r="Y194" s="3874"/>
      <c r="Z194" s="1719"/>
      <c r="AA194" s="1686">
        <v>1</v>
      </c>
      <c r="AB194" s="1101" t="s">
        <v>1473</v>
      </c>
      <c r="AC194" s="1091">
        <v>1328.81</v>
      </c>
      <c r="AD194" s="1101" t="str">
        <f>AB194</f>
        <v xml:space="preserve">  Кредиты</v>
      </c>
      <c r="AE194" s="1091">
        <v>9819.56</v>
      </c>
      <c r="AF194" s="3876"/>
      <c r="AG194" s="3877"/>
      <c r="AH194" s="3877"/>
      <c r="AI194" s="3876"/>
      <c r="AJ194" s="3877"/>
      <c r="AK194" s="3877"/>
      <c r="AL194" s="1874"/>
      <c r="AM194" s="1714"/>
      <c r="AN194" s="1714"/>
      <c r="AO194" s="1714"/>
      <c r="AP194" s="1714"/>
      <c r="AQ194" s="1714"/>
      <c r="AR194" s="1714"/>
      <c r="AS194" s="1714"/>
      <c r="AT194" s="1714"/>
      <c r="AU194" s="1714"/>
      <c r="AV194" s="1714"/>
      <c r="AW194" s="1714"/>
      <c r="AX194" s="1714"/>
      <c r="AY194" s="1714"/>
      <c r="AZ194" s="1714"/>
      <c r="BA194" s="1714"/>
      <c r="BB194" s="1714"/>
      <c r="BC194" s="1714"/>
      <c r="BD194" s="1714"/>
      <c r="BE194" s="1714"/>
      <c r="BF194" s="1714"/>
    </row>
    <row r="195" spans="1:58" ht="11.25" customHeight="1">
      <c r="A195" s="1088" t="s">
        <v>1345</v>
      </c>
      <c r="D195" s="1082"/>
      <c r="E195" s="1092"/>
      <c r="F195" s="3895"/>
      <c r="G195" s="3875"/>
      <c r="H195" s="3885" t="s">
        <v>164</v>
      </c>
      <c r="I195" s="3886"/>
      <c r="J195" s="3883"/>
      <c r="K195" s="3887"/>
      <c r="L195" s="3599"/>
      <c r="M195" s="3600"/>
      <c r="N195" s="3878"/>
      <c r="O195" s="3879"/>
      <c r="P195" s="3882"/>
      <c r="Q195" s="3883"/>
      <c r="R195" s="3874"/>
      <c r="S195" s="3884"/>
      <c r="T195" s="3874"/>
      <c r="U195" s="3874"/>
      <c r="V195" s="3874"/>
      <c r="W195" s="3874"/>
      <c r="X195" s="3874"/>
      <c r="Y195" s="3874"/>
      <c r="Z195" s="1097"/>
      <c r="AA195" s="1098"/>
      <c r="AB195" s="1163" t="s">
        <v>1444</v>
      </c>
      <c r="AC195" s="1102"/>
      <c r="AD195" s="1102"/>
      <c r="AE195" s="1104"/>
      <c r="AF195" s="3876"/>
      <c r="AG195" s="3877"/>
      <c r="AH195" s="3877"/>
      <c r="AI195" s="3876"/>
      <c r="AJ195" s="3877"/>
      <c r="AK195" s="3877"/>
      <c r="AL195" s="1874"/>
      <c r="AM195" s="1714"/>
      <c r="AN195" s="1714"/>
      <c r="AO195" s="1714"/>
      <c r="AP195" s="1714"/>
      <c r="AQ195" s="1714"/>
      <c r="AR195" s="1714"/>
      <c r="AS195" s="1714"/>
      <c r="AT195" s="1714"/>
      <c r="AU195" s="1714"/>
      <c r="AV195" s="1714"/>
      <c r="AW195" s="1714"/>
      <c r="AX195" s="1714"/>
      <c r="AY195" s="1714"/>
      <c r="AZ195" s="1714"/>
      <c r="BA195" s="1714"/>
      <c r="BB195" s="1714"/>
      <c r="BC195" s="1714"/>
      <c r="BD195" s="1714"/>
      <c r="BE195" s="1714"/>
      <c r="BF195" s="1714"/>
    </row>
    <row r="196" spans="1:58" ht="11.25" customHeight="1">
      <c r="A196" s="1088" t="s">
        <v>1345</v>
      </c>
      <c r="D196" s="1082"/>
      <c r="E196" s="1092"/>
      <c r="F196" s="3895"/>
      <c r="G196" s="3875"/>
      <c r="H196" s="3885" t="s">
        <v>164</v>
      </c>
      <c r="I196" s="3886"/>
      <c r="J196" s="3883"/>
      <c r="K196" s="3887"/>
      <c r="L196" s="3599"/>
      <c r="M196" s="3600"/>
      <c r="N196" s="1097"/>
      <c r="O196" s="1098"/>
      <c r="P196" s="1090" t="s">
        <v>1445</v>
      </c>
      <c r="Q196" s="1098"/>
      <c r="R196" s="1098"/>
      <c r="S196" s="1098"/>
      <c r="T196" s="1098"/>
      <c r="U196" s="1098"/>
      <c r="V196" s="1098"/>
      <c r="W196" s="1098"/>
      <c r="X196" s="1098"/>
      <c r="Y196" s="1098"/>
      <c r="Z196" s="1098"/>
      <c r="AA196" s="1098"/>
      <c r="AB196" s="1098"/>
      <c r="AC196" s="1098"/>
      <c r="AD196" s="1098"/>
      <c r="AE196" s="1105"/>
      <c r="AF196" s="3876"/>
      <c r="AG196" s="3877"/>
      <c r="AH196" s="3877"/>
      <c r="AI196" s="3876"/>
      <c r="AJ196" s="3877"/>
      <c r="AK196" s="3877"/>
      <c r="AL196" s="1874"/>
      <c r="AM196" s="1714"/>
      <c r="AN196" s="1714"/>
      <c r="AO196" s="1714"/>
      <c r="AP196" s="1714"/>
      <c r="AQ196" s="1714"/>
      <c r="AR196" s="1714"/>
      <c r="AS196" s="1714"/>
      <c r="AT196" s="1714"/>
      <c r="AU196" s="1714"/>
      <c r="AV196" s="1714"/>
      <c r="AW196" s="1714"/>
      <c r="AX196" s="1714"/>
      <c r="AY196" s="1714"/>
      <c r="AZ196" s="1714"/>
      <c r="BA196" s="1714"/>
      <c r="BB196" s="1714"/>
      <c r="BC196" s="1714"/>
      <c r="BD196" s="1714"/>
      <c r="BE196" s="1714"/>
      <c r="BF196" s="1714"/>
    </row>
    <row r="197" spans="1:58" ht="11.25" customHeight="1">
      <c r="A197" s="1088" t="s">
        <v>1345</v>
      </c>
      <c r="D197" s="1082"/>
      <c r="E197" s="1092"/>
      <c r="F197" s="3895"/>
      <c r="G197" s="3853" t="s">
        <v>90</v>
      </c>
      <c r="H197" s="3885" t="s">
        <v>78</v>
      </c>
      <c r="I197" s="3886"/>
      <c r="J197" s="3883"/>
      <c r="K197" s="3887" t="s">
        <v>1470</v>
      </c>
      <c r="L197" s="3599" t="s">
        <v>6</v>
      </c>
      <c r="M197" s="3600"/>
      <c r="N197" s="1872"/>
      <c r="O197" s="1099" t="s">
        <v>421</v>
      </c>
      <c r="P197" s="1100"/>
      <c r="Q197" s="1100"/>
      <c r="R197" s="1100"/>
      <c r="S197" s="1100"/>
      <c r="T197" s="1100"/>
      <c r="U197" s="1100"/>
      <c r="V197" s="1100"/>
      <c r="W197" s="1100"/>
      <c r="X197" s="1100"/>
      <c r="Y197" s="1100"/>
      <c r="Z197" s="1100"/>
      <c r="AA197" s="1100"/>
      <c r="AB197" s="1100"/>
      <c r="AC197" s="1100"/>
      <c r="AD197" s="1100"/>
      <c r="AE197" s="1100"/>
      <c r="AF197" s="3876">
        <v>2019</v>
      </c>
      <c r="AG197" s="3877" t="s">
        <v>1447</v>
      </c>
      <c r="AH197" s="3877" t="s">
        <v>1460</v>
      </c>
      <c r="AI197" s="3876">
        <v>2019</v>
      </c>
      <c r="AJ197" s="3877" t="s">
        <v>1435</v>
      </c>
      <c r="AK197" s="3877" t="s">
        <v>1460</v>
      </c>
      <c r="AL197" s="1874"/>
      <c r="AM197" s="1714"/>
      <c r="AN197" s="1714"/>
      <c r="AO197" s="1714"/>
      <c r="AP197" s="1714"/>
      <c r="AQ197" s="1714"/>
      <c r="AR197" s="1714"/>
      <c r="AS197" s="1714"/>
      <c r="AT197" s="1714"/>
      <c r="AU197" s="1714"/>
      <c r="AV197" s="1714"/>
      <c r="AW197" s="1714"/>
      <c r="AX197" s="1714"/>
      <c r="AY197" s="1714"/>
      <c r="AZ197" s="1714"/>
      <c r="BA197" s="1714"/>
      <c r="BB197" s="1714"/>
      <c r="BC197" s="1714"/>
      <c r="BD197" s="1714"/>
      <c r="BE197" s="1714"/>
      <c r="BF197" s="1714"/>
    </row>
    <row r="198" spans="1:58" ht="11.25" customHeight="1">
      <c r="A198" s="1088" t="s">
        <v>1345</v>
      </c>
      <c r="D198" s="1082"/>
      <c r="E198" s="1092"/>
      <c r="F198" s="3895"/>
      <c r="G198" s="3875"/>
      <c r="H198" s="3885" t="s">
        <v>89</v>
      </c>
      <c r="I198" s="3886"/>
      <c r="J198" s="3883"/>
      <c r="K198" s="3887"/>
      <c r="L198" s="3599"/>
      <c r="M198" s="3600"/>
      <c r="N198" s="3878"/>
      <c r="O198" s="3879">
        <v>1</v>
      </c>
      <c r="P198" s="3880" t="s">
        <v>50</v>
      </c>
      <c r="Q198" s="3883" t="s">
        <v>1471</v>
      </c>
      <c r="R198" s="3884" t="s">
        <v>1438</v>
      </c>
      <c r="S198" s="3884" t="s">
        <v>92</v>
      </c>
      <c r="T198" s="3884" t="s">
        <v>92</v>
      </c>
      <c r="U198" s="3884" t="s">
        <v>93</v>
      </c>
      <c r="V198" s="3884" t="s">
        <v>1462</v>
      </c>
      <c r="W198" s="3884" t="s">
        <v>1463</v>
      </c>
      <c r="X198" s="3884" t="s">
        <v>1472</v>
      </c>
      <c r="Y198" s="3884" t="s">
        <v>1442</v>
      </c>
      <c r="Z198" s="1097"/>
      <c r="AA198" s="1098"/>
      <c r="AB198" s="1098"/>
      <c r="AC198" s="1102"/>
      <c r="AD198" s="1102"/>
      <c r="AE198" s="1103"/>
      <c r="AF198" s="3876"/>
      <c r="AG198" s="3877"/>
      <c r="AH198" s="3877"/>
      <c r="AI198" s="3876"/>
      <c r="AJ198" s="3877"/>
      <c r="AK198" s="3877"/>
      <c r="AL198" s="1874"/>
      <c r="AM198" s="1714"/>
      <c r="AN198" s="1714"/>
      <c r="AO198" s="1714"/>
      <c r="AP198" s="1714"/>
      <c r="AQ198" s="1714"/>
      <c r="AR198" s="1714"/>
      <c r="AS198" s="1714"/>
      <c r="AT198" s="1714"/>
      <c r="AU198" s="1714"/>
      <c r="AV198" s="1714"/>
      <c r="AW198" s="1714"/>
      <c r="AX198" s="1714"/>
      <c r="AY198" s="1714"/>
      <c r="AZ198" s="1714"/>
      <c r="BA198" s="1714"/>
      <c r="BB198" s="1714"/>
      <c r="BC198" s="1714"/>
      <c r="BD198" s="1714"/>
      <c r="BE198" s="1714"/>
      <c r="BF198" s="1714"/>
    </row>
    <row r="199" spans="1:58" ht="11.25" customHeight="1">
      <c r="A199" s="1088" t="s">
        <v>1345</v>
      </c>
      <c r="D199" s="1082"/>
      <c r="E199" s="1092"/>
      <c r="F199" s="3895"/>
      <c r="G199" s="3875"/>
      <c r="H199" s="3885" t="s">
        <v>89</v>
      </c>
      <c r="I199" s="3886"/>
      <c r="J199" s="3883"/>
      <c r="K199" s="3887"/>
      <c r="L199" s="3599"/>
      <c r="M199" s="3600"/>
      <c r="N199" s="3878"/>
      <c r="O199" s="3879"/>
      <c r="P199" s="3881"/>
      <c r="Q199" s="3883"/>
      <c r="R199" s="3874"/>
      <c r="S199" s="3884"/>
      <c r="T199" s="3874"/>
      <c r="U199" s="3874"/>
      <c r="V199" s="3874"/>
      <c r="W199" s="3874"/>
      <c r="X199" s="3874"/>
      <c r="Y199" s="3874"/>
      <c r="Z199" s="1719"/>
      <c r="AA199" s="1686">
        <v>1</v>
      </c>
      <c r="AB199" s="1101" t="s">
        <v>1473</v>
      </c>
      <c r="AC199" s="1091">
        <v>1381.86</v>
      </c>
      <c r="AD199" s="1101" t="str">
        <f>AB199</f>
        <v xml:space="preserve">  Кредиты</v>
      </c>
      <c r="AE199" s="1091">
        <v>12049.42</v>
      </c>
      <c r="AF199" s="3876"/>
      <c r="AG199" s="3877"/>
      <c r="AH199" s="3877"/>
      <c r="AI199" s="3876"/>
      <c r="AJ199" s="3877"/>
      <c r="AK199" s="3877"/>
      <c r="AL199" s="1874"/>
      <c r="AM199" s="1714"/>
      <c r="AN199" s="1714"/>
      <c r="AO199" s="1714"/>
      <c r="AP199" s="1714"/>
      <c r="AQ199" s="1714"/>
      <c r="AR199" s="1714"/>
      <c r="AS199" s="1714"/>
      <c r="AT199" s="1714"/>
      <c r="AU199" s="1714"/>
      <c r="AV199" s="1714"/>
      <c r="AW199" s="1714"/>
      <c r="AX199" s="1714"/>
      <c r="AY199" s="1714"/>
      <c r="AZ199" s="1714"/>
      <c r="BA199" s="1714"/>
      <c r="BB199" s="1714"/>
      <c r="BC199" s="1714"/>
      <c r="BD199" s="1714"/>
      <c r="BE199" s="1714"/>
      <c r="BF199" s="1714"/>
    </row>
    <row r="200" spans="1:58" ht="11.25" customHeight="1">
      <c r="A200" s="1088" t="s">
        <v>1345</v>
      </c>
      <c r="D200" s="1082"/>
      <c r="E200" s="1092"/>
      <c r="F200" s="3895"/>
      <c r="G200" s="3875"/>
      <c r="H200" s="3885" t="s">
        <v>89</v>
      </c>
      <c r="I200" s="3886"/>
      <c r="J200" s="3883"/>
      <c r="K200" s="3887"/>
      <c r="L200" s="3599"/>
      <c r="M200" s="3600"/>
      <c r="N200" s="3878"/>
      <c r="O200" s="3879"/>
      <c r="P200" s="3882"/>
      <c r="Q200" s="3883"/>
      <c r="R200" s="3874"/>
      <c r="S200" s="3884"/>
      <c r="T200" s="3874"/>
      <c r="U200" s="3874"/>
      <c r="V200" s="3874"/>
      <c r="W200" s="3874"/>
      <c r="X200" s="3874"/>
      <c r="Y200" s="3874"/>
      <c r="Z200" s="1097"/>
      <c r="AA200" s="1098"/>
      <c r="AB200" s="1163" t="s">
        <v>1444</v>
      </c>
      <c r="AC200" s="1102"/>
      <c r="AD200" s="1102"/>
      <c r="AE200" s="1104"/>
      <c r="AF200" s="3876"/>
      <c r="AG200" s="3877"/>
      <c r="AH200" s="3877"/>
      <c r="AI200" s="3876"/>
      <c r="AJ200" s="3877"/>
      <c r="AK200" s="3877"/>
      <c r="AL200" s="1874"/>
      <c r="AM200" s="1714"/>
      <c r="AN200" s="1714"/>
      <c r="AO200" s="1714"/>
      <c r="AP200" s="1714"/>
      <c r="AQ200" s="1714"/>
      <c r="AR200" s="1714"/>
      <c r="AS200" s="1714"/>
      <c r="AT200" s="1714"/>
      <c r="AU200" s="1714"/>
      <c r="AV200" s="1714"/>
      <c r="AW200" s="1714"/>
      <c r="AX200" s="1714"/>
      <c r="AY200" s="1714"/>
      <c r="AZ200" s="1714"/>
      <c r="BA200" s="1714"/>
      <c r="BB200" s="1714"/>
      <c r="BC200" s="1714"/>
      <c r="BD200" s="1714"/>
      <c r="BE200" s="1714"/>
      <c r="BF200" s="1714"/>
    </row>
    <row r="201" spans="1:58" ht="11.25" customHeight="1">
      <c r="A201" s="1088" t="s">
        <v>1345</v>
      </c>
      <c r="D201" s="1082"/>
      <c r="E201" s="1092"/>
      <c r="F201" s="3895"/>
      <c r="G201" s="3875"/>
      <c r="H201" s="3885" t="s">
        <v>89</v>
      </c>
      <c r="I201" s="3886"/>
      <c r="J201" s="3883"/>
      <c r="K201" s="3887"/>
      <c r="L201" s="3599"/>
      <c r="M201" s="3600"/>
      <c r="N201" s="1097"/>
      <c r="O201" s="1098"/>
      <c r="P201" s="1090" t="s">
        <v>1445</v>
      </c>
      <c r="Q201" s="1098"/>
      <c r="R201" s="1098"/>
      <c r="S201" s="1098"/>
      <c r="T201" s="1098"/>
      <c r="U201" s="1098"/>
      <c r="V201" s="1098"/>
      <c r="W201" s="1098"/>
      <c r="X201" s="1098"/>
      <c r="Y201" s="1098"/>
      <c r="Z201" s="1098"/>
      <c r="AA201" s="1098"/>
      <c r="AB201" s="1098"/>
      <c r="AC201" s="1098"/>
      <c r="AD201" s="1098"/>
      <c r="AE201" s="1105"/>
      <c r="AF201" s="3876"/>
      <c r="AG201" s="3877"/>
      <c r="AH201" s="3877"/>
      <c r="AI201" s="3876"/>
      <c r="AJ201" s="3877"/>
      <c r="AK201" s="3877"/>
      <c r="AL201" s="1874"/>
      <c r="AM201" s="1714"/>
      <c r="AN201" s="1714"/>
      <c r="AO201" s="1714"/>
      <c r="AP201" s="1714"/>
      <c r="AQ201" s="1714"/>
      <c r="AR201" s="1714"/>
      <c r="AS201" s="1714"/>
      <c r="AT201" s="1714"/>
      <c r="AU201" s="1714"/>
      <c r="AV201" s="1714"/>
      <c r="AW201" s="1714"/>
      <c r="AX201" s="1714"/>
      <c r="AY201" s="1714"/>
      <c r="AZ201" s="1714"/>
      <c r="BA201" s="1714"/>
      <c r="BB201" s="1714"/>
      <c r="BC201" s="1714"/>
      <c r="BD201" s="1714"/>
      <c r="BE201" s="1714"/>
      <c r="BF201" s="1714"/>
    </row>
    <row r="202" spans="1:58" ht="11.25" customHeight="1">
      <c r="A202" s="1088" t="s">
        <v>1345</v>
      </c>
      <c r="D202" s="1082"/>
      <c r="E202" s="1092"/>
      <c r="F202" s="3895"/>
      <c r="G202" s="3853" t="s">
        <v>90</v>
      </c>
      <c r="H202" s="3885" t="s">
        <v>79</v>
      </c>
      <c r="I202" s="3886"/>
      <c r="J202" s="3883"/>
      <c r="K202" s="3887" t="s">
        <v>1479</v>
      </c>
      <c r="L202" s="3599" t="s">
        <v>6</v>
      </c>
      <c r="M202" s="3600"/>
      <c r="N202" s="1872"/>
      <c r="O202" s="1099" t="s">
        <v>421</v>
      </c>
      <c r="P202" s="1100"/>
      <c r="Q202" s="1100"/>
      <c r="R202" s="1100"/>
      <c r="S202" s="1100"/>
      <c r="T202" s="1100"/>
      <c r="U202" s="1100"/>
      <c r="V202" s="1100"/>
      <c r="W202" s="1100"/>
      <c r="X202" s="1100"/>
      <c r="Y202" s="1100"/>
      <c r="Z202" s="1100"/>
      <c r="AA202" s="1100"/>
      <c r="AB202" s="1100"/>
      <c r="AC202" s="1100"/>
      <c r="AD202" s="1100"/>
      <c r="AE202" s="1100"/>
      <c r="AF202" s="3876">
        <v>2017</v>
      </c>
      <c r="AG202" s="3877" t="s">
        <v>1447</v>
      </c>
      <c r="AH202" s="3877" t="s">
        <v>1475</v>
      </c>
      <c r="AI202" s="3876">
        <v>2017</v>
      </c>
      <c r="AJ202" s="3877" t="s">
        <v>1435</v>
      </c>
      <c r="AK202" s="3877" t="s">
        <v>1475</v>
      </c>
      <c r="AL202" s="1874"/>
      <c r="AM202" s="1714"/>
      <c r="AN202" s="1714"/>
      <c r="AO202" s="1714"/>
      <c r="AP202" s="1714"/>
      <c r="AQ202" s="1714"/>
      <c r="AR202" s="1714"/>
      <c r="AS202" s="1714"/>
      <c r="AT202" s="1714"/>
      <c r="AU202" s="1714"/>
      <c r="AV202" s="1714"/>
      <c r="AW202" s="1714"/>
      <c r="AX202" s="1714"/>
      <c r="AY202" s="1714"/>
      <c r="AZ202" s="1714"/>
      <c r="BA202" s="1714"/>
      <c r="BB202" s="1714"/>
      <c r="BC202" s="1714"/>
      <c r="BD202" s="1714"/>
      <c r="BE202" s="1714"/>
      <c r="BF202" s="1714"/>
    </row>
    <row r="203" spans="1:58" ht="11.25" customHeight="1">
      <c r="A203" s="1088" t="s">
        <v>1345</v>
      </c>
      <c r="D203" s="1082"/>
      <c r="E203" s="1092"/>
      <c r="F203" s="3895"/>
      <c r="G203" s="3875"/>
      <c r="H203" s="3885" t="s">
        <v>78</v>
      </c>
      <c r="I203" s="3886"/>
      <c r="J203" s="3883"/>
      <c r="K203" s="3887"/>
      <c r="L203" s="3599"/>
      <c r="M203" s="3600"/>
      <c r="N203" s="3878"/>
      <c r="O203" s="3879">
        <v>1</v>
      </c>
      <c r="P203" s="3880" t="s">
        <v>50</v>
      </c>
      <c r="Q203" s="3883" t="s">
        <v>1476</v>
      </c>
      <c r="R203" s="3884" t="s">
        <v>1438</v>
      </c>
      <c r="S203" s="3884" t="s">
        <v>92</v>
      </c>
      <c r="T203" s="3884" t="s">
        <v>92</v>
      </c>
      <c r="U203" s="3884" t="s">
        <v>93</v>
      </c>
      <c r="V203" s="3884" t="s">
        <v>1462</v>
      </c>
      <c r="W203" s="3884" t="s">
        <v>1463</v>
      </c>
      <c r="X203" s="3884" t="s">
        <v>1477</v>
      </c>
      <c r="Y203" s="3884" t="s">
        <v>1478</v>
      </c>
      <c r="Z203" s="1097"/>
      <c r="AA203" s="1098"/>
      <c r="AB203" s="1098"/>
      <c r="AC203" s="1102"/>
      <c r="AD203" s="1102"/>
      <c r="AE203" s="1103"/>
      <c r="AF203" s="3876"/>
      <c r="AG203" s="3877"/>
      <c r="AH203" s="3877"/>
      <c r="AI203" s="3876"/>
      <c r="AJ203" s="3877"/>
      <c r="AK203" s="3877"/>
      <c r="AL203" s="1874"/>
      <c r="AM203" s="1714"/>
      <c r="AN203" s="1714"/>
      <c r="AO203" s="1714"/>
      <c r="AP203" s="1714"/>
      <c r="AQ203" s="1714"/>
      <c r="AR203" s="1714"/>
      <c r="AS203" s="1714"/>
      <c r="AT203" s="1714"/>
      <c r="AU203" s="1714"/>
      <c r="AV203" s="1714"/>
      <c r="AW203" s="1714"/>
      <c r="AX203" s="1714"/>
      <c r="AY203" s="1714"/>
      <c r="AZ203" s="1714"/>
      <c r="BA203" s="1714"/>
      <c r="BB203" s="1714"/>
      <c r="BC203" s="1714"/>
      <c r="BD203" s="1714"/>
      <c r="BE203" s="1714"/>
      <c r="BF203" s="1714"/>
    </row>
    <row r="204" spans="1:58" ht="11.25" customHeight="1">
      <c r="A204" s="1088" t="s">
        <v>1345</v>
      </c>
      <c r="D204" s="1082"/>
      <c r="E204" s="1092"/>
      <c r="F204" s="3895"/>
      <c r="G204" s="3875"/>
      <c r="H204" s="3885" t="s">
        <v>78</v>
      </c>
      <c r="I204" s="3886"/>
      <c r="J204" s="3883"/>
      <c r="K204" s="3887"/>
      <c r="L204" s="3599"/>
      <c r="M204" s="3600"/>
      <c r="N204" s="3878"/>
      <c r="O204" s="3879"/>
      <c r="P204" s="3881"/>
      <c r="Q204" s="3883"/>
      <c r="R204" s="3874"/>
      <c r="S204" s="3884"/>
      <c r="T204" s="3874"/>
      <c r="U204" s="3874"/>
      <c r="V204" s="3874"/>
      <c r="W204" s="3874"/>
      <c r="X204" s="3874"/>
      <c r="Y204" s="3874"/>
      <c r="Z204" s="1719"/>
      <c r="AA204" s="1686">
        <v>1</v>
      </c>
      <c r="AB204" s="1101" t="s">
        <v>1453</v>
      </c>
      <c r="AC204" s="1091">
        <v>3083.24</v>
      </c>
      <c r="AD204" s="1101" t="str">
        <f>AB204</f>
        <v xml:space="preserve">      Амортизационные отчисления с выделением результатов переоценки основных средств и нематериальных активов</v>
      </c>
      <c r="AE204" s="1091">
        <v>0</v>
      </c>
      <c r="AF204" s="3876"/>
      <c r="AG204" s="3877"/>
      <c r="AH204" s="3877"/>
      <c r="AI204" s="3876"/>
      <c r="AJ204" s="3877"/>
      <c r="AK204" s="3877"/>
      <c r="AL204" s="1874"/>
      <c r="AM204" s="1714"/>
      <c r="AN204" s="1714"/>
      <c r="AO204" s="1714"/>
      <c r="AP204" s="1714"/>
      <c r="AQ204" s="1714"/>
      <c r="AR204" s="1714"/>
      <c r="AS204" s="1714"/>
      <c r="AT204" s="1714"/>
      <c r="AU204" s="1714"/>
      <c r="AV204" s="1714"/>
      <c r="AW204" s="1714"/>
      <c r="AX204" s="1714"/>
      <c r="AY204" s="1714"/>
      <c r="AZ204" s="1714"/>
      <c r="BA204" s="1714"/>
      <c r="BB204" s="1714"/>
      <c r="BC204" s="1714"/>
      <c r="BD204" s="1714"/>
      <c r="BE204" s="1714"/>
      <c r="BF204" s="1714"/>
    </row>
    <row r="205" spans="1:58" ht="11.25" customHeight="1">
      <c r="A205" s="1088" t="s">
        <v>1345</v>
      </c>
      <c r="D205" s="1082"/>
      <c r="E205" s="1092"/>
      <c r="F205" s="3875"/>
      <c r="G205" s="3875"/>
      <c r="H205" s="3875"/>
      <c r="I205" s="3875"/>
      <c r="J205" s="3875"/>
      <c r="K205" s="3875"/>
      <c r="L205" s="3875"/>
      <c r="M205" s="3875"/>
      <c r="N205" s="3875"/>
      <c r="O205" s="3875"/>
      <c r="P205" s="3875"/>
      <c r="Q205" s="3875"/>
      <c r="R205" s="3875"/>
      <c r="S205" s="3875"/>
      <c r="T205" s="3875"/>
      <c r="U205" s="3875"/>
      <c r="V205" s="3875"/>
      <c r="W205" s="3875"/>
      <c r="X205" s="3875"/>
      <c r="Y205" s="3875"/>
      <c r="Z205" s="617" t="s">
        <v>90</v>
      </c>
      <c r="AA205" s="1706" t="s">
        <v>89</v>
      </c>
      <c r="AB205" s="1101" t="s">
        <v>1473</v>
      </c>
      <c r="AC205" s="1091">
        <v>9816.81</v>
      </c>
      <c r="AD205" s="1101" t="str">
        <f>AB205</f>
        <v xml:space="preserve">  Кредиты</v>
      </c>
      <c r="AE205" s="1091">
        <v>0</v>
      </c>
      <c r="AF205" s="3902"/>
      <c r="AG205" s="3903"/>
      <c r="AH205" s="3903"/>
      <c r="AI205" s="3902"/>
      <c r="AJ205" s="3903"/>
      <c r="AK205" s="3904"/>
      <c r="AL205" s="1874"/>
      <c r="AM205" s="1714"/>
      <c r="AN205" s="1714"/>
      <c r="AO205" s="1714"/>
      <c r="AP205" s="1714"/>
      <c r="AQ205" s="1714"/>
      <c r="AR205" s="1714"/>
      <c r="AS205" s="1714"/>
      <c r="AT205" s="1714"/>
      <c r="AU205" s="1714"/>
      <c r="AV205" s="1714"/>
      <c r="AW205" s="1714"/>
      <c r="AX205" s="1714"/>
      <c r="AY205" s="1714"/>
      <c r="AZ205" s="1714"/>
      <c r="BA205" s="1714"/>
      <c r="BB205" s="1714"/>
      <c r="BC205" s="1714"/>
      <c r="BD205" s="1714"/>
      <c r="BE205" s="1714"/>
      <c r="BF205" s="1714"/>
    </row>
    <row r="206" spans="1:58" ht="11.25" customHeight="1">
      <c r="A206" s="1088" t="s">
        <v>1345</v>
      </c>
      <c r="D206" s="1082"/>
      <c r="E206" s="1092"/>
      <c r="F206" s="3875"/>
      <c r="G206" s="3875"/>
      <c r="H206" s="3875"/>
      <c r="I206" s="3875"/>
      <c r="J206" s="3875"/>
      <c r="K206" s="3875"/>
      <c r="L206" s="3875"/>
      <c r="M206" s="3875"/>
      <c r="N206" s="3875"/>
      <c r="O206" s="3875"/>
      <c r="P206" s="3875"/>
      <c r="Q206" s="3875"/>
      <c r="R206" s="3875"/>
      <c r="S206" s="3875"/>
      <c r="T206" s="3875"/>
      <c r="U206" s="3875"/>
      <c r="V206" s="3875"/>
      <c r="W206" s="3875"/>
      <c r="X206" s="3875"/>
      <c r="Y206" s="3875"/>
      <c r="Z206" s="617" t="s">
        <v>90</v>
      </c>
      <c r="AA206" s="1706" t="s">
        <v>78</v>
      </c>
      <c r="AB206" s="1101" t="s">
        <v>1443</v>
      </c>
      <c r="AC206" s="1091">
        <v>3999.56</v>
      </c>
      <c r="AD206" s="1101" t="str">
        <f>AB206</f>
        <v xml:space="preserve">  Прибыль направляемая на инвестиции</v>
      </c>
      <c r="AE206" s="1091">
        <v>0</v>
      </c>
      <c r="AF206" s="3902"/>
      <c r="AG206" s="3903"/>
      <c r="AH206" s="3903"/>
      <c r="AI206" s="3902"/>
      <c r="AJ206" s="3903"/>
      <c r="AK206" s="3904"/>
      <c r="AL206" s="1874"/>
      <c r="AM206" s="1714"/>
      <c r="AN206" s="1714"/>
      <c r="AO206" s="1714"/>
      <c r="AP206" s="1714"/>
      <c r="AQ206" s="1714"/>
      <c r="AR206" s="1714"/>
      <c r="AS206" s="1714"/>
      <c r="AT206" s="1714"/>
      <c r="AU206" s="1714"/>
      <c r="AV206" s="1714"/>
      <c r="AW206" s="1714"/>
      <c r="AX206" s="1714"/>
      <c r="AY206" s="1714"/>
      <c r="AZ206" s="1714"/>
      <c r="BA206" s="1714"/>
      <c r="BB206" s="1714"/>
      <c r="BC206" s="1714"/>
      <c r="BD206" s="1714"/>
      <c r="BE206" s="1714"/>
      <c r="BF206" s="1714"/>
    </row>
    <row r="207" spans="1:58" ht="11.25" customHeight="1">
      <c r="A207" s="1088" t="s">
        <v>1345</v>
      </c>
      <c r="D207" s="1082"/>
      <c r="E207" s="1092"/>
      <c r="F207" s="3895"/>
      <c r="G207" s="3875"/>
      <c r="H207" s="3885" t="s">
        <v>78</v>
      </c>
      <c r="I207" s="3886"/>
      <c r="J207" s="3883"/>
      <c r="K207" s="3887"/>
      <c r="L207" s="3599"/>
      <c r="M207" s="3600"/>
      <c r="N207" s="3878"/>
      <c r="O207" s="3879"/>
      <c r="P207" s="3882"/>
      <c r="Q207" s="3883"/>
      <c r="R207" s="3874"/>
      <c r="S207" s="3884"/>
      <c r="T207" s="3874"/>
      <c r="U207" s="3874"/>
      <c r="V207" s="3874"/>
      <c r="W207" s="3874"/>
      <c r="X207" s="3874"/>
      <c r="Y207" s="3874"/>
      <c r="Z207" s="1097"/>
      <c r="AA207" s="1098"/>
      <c r="AB207" s="1163" t="s">
        <v>1444</v>
      </c>
      <c r="AC207" s="1102"/>
      <c r="AD207" s="1102"/>
      <c r="AE207" s="1104"/>
      <c r="AF207" s="3876"/>
      <c r="AG207" s="3877"/>
      <c r="AH207" s="3877"/>
      <c r="AI207" s="3876"/>
      <c r="AJ207" s="3877"/>
      <c r="AK207" s="3877"/>
      <c r="AL207" s="1874"/>
      <c r="AM207" s="1714"/>
      <c r="AN207" s="1714"/>
      <c r="AO207" s="1714"/>
      <c r="AP207" s="1714"/>
      <c r="AQ207" s="1714"/>
      <c r="AR207" s="1714"/>
      <c r="AS207" s="1714"/>
      <c r="AT207" s="1714"/>
      <c r="AU207" s="1714"/>
      <c r="AV207" s="1714"/>
      <c r="AW207" s="1714"/>
      <c r="AX207" s="1714"/>
      <c r="AY207" s="1714"/>
      <c r="AZ207" s="1714"/>
      <c r="BA207" s="1714"/>
      <c r="BB207" s="1714"/>
      <c r="BC207" s="1714"/>
      <c r="BD207" s="1714"/>
      <c r="BE207" s="1714"/>
      <c r="BF207" s="1714"/>
    </row>
    <row r="208" spans="1:58" ht="11.25" customHeight="1">
      <c r="A208" s="1088" t="s">
        <v>1345</v>
      </c>
      <c r="D208" s="1082"/>
      <c r="E208" s="1092"/>
      <c r="F208" s="3895"/>
      <c r="G208" s="3875"/>
      <c r="H208" s="3885" t="s">
        <v>78</v>
      </c>
      <c r="I208" s="3886"/>
      <c r="J208" s="3883"/>
      <c r="K208" s="3887"/>
      <c r="L208" s="3599"/>
      <c r="M208" s="3600"/>
      <c r="N208" s="1097"/>
      <c r="O208" s="1098"/>
      <c r="P208" s="1090" t="s">
        <v>1445</v>
      </c>
      <c r="Q208" s="1098"/>
      <c r="R208" s="1098"/>
      <c r="S208" s="1098"/>
      <c r="T208" s="1098"/>
      <c r="U208" s="1098"/>
      <c r="V208" s="1098"/>
      <c r="W208" s="1098"/>
      <c r="X208" s="1098"/>
      <c r="Y208" s="1098"/>
      <c r="Z208" s="1098"/>
      <c r="AA208" s="1098"/>
      <c r="AB208" s="1098"/>
      <c r="AC208" s="1098"/>
      <c r="AD208" s="1098"/>
      <c r="AE208" s="1105"/>
      <c r="AF208" s="3876"/>
      <c r="AG208" s="3877"/>
      <c r="AH208" s="3877"/>
      <c r="AI208" s="3876"/>
      <c r="AJ208" s="3877"/>
      <c r="AK208" s="3877"/>
      <c r="AL208" s="1874"/>
      <c r="AM208" s="1714"/>
      <c r="AN208" s="1714"/>
      <c r="AO208" s="1714"/>
      <c r="AP208" s="1714"/>
      <c r="AQ208" s="1714"/>
      <c r="AR208" s="1714"/>
      <c r="AS208" s="1714"/>
      <c r="AT208" s="1714"/>
      <c r="AU208" s="1714"/>
      <c r="AV208" s="1714"/>
      <c r="AW208" s="1714"/>
      <c r="AX208" s="1714"/>
      <c r="AY208" s="1714"/>
      <c r="AZ208" s="1714"/>
      <c r="BA208" s="1714"/>
      <c r="BB208" s="1714"/>
      <c r="BC208" s="1714"/>
      <c r="BD208" s="1714"/>
      <c r="BE208" s="1714"/>
      <c r="BF208" s="1714"/>
    </row>
    <row r="209" spans="1:58" ht="11.25" customHeight="1">
      <c r="A209" s="1088" t="s">
        <v>1345</v>
      </c>
      <c r="D209" s="1082"/>
      <c r="E209" s="1092"/>
      <c r="F209" s="3895"/>
      <c r="G209" s="3853" t="s">
        <v>90</v>
      </c>
      <c r="H209" s="3885" t="s">
        <v>100</v>
      </c>
      <c r="I209" s="3886"/>
      <c r="J209" s="3883"/>
      <c r="K209" s="3887" t="s">
        <v>1480</v>
      </c>
      <c r="L209" s="3599" t="s">
        <v>6</v>
      </c>
      <c r="M209" s="3600"/>
      <c r="N209" s="1872"/>
      <c r="O209" s="1099" t="s">
        <v>421</v>
      </c>
      <c r="P209" s="1100"/>
      <c r="Q209" s="1100"/>
      <c r="R209" s="1100"/>
      <c r="S209" s="1100"/>
      <c r="T209" s="1100"/>
      <c r="U209" s="1100"/>
      <c r="V209" s="1100"/>
      <c r="W209" s="1100"/>
      <c r="X209" s="1100"/>
      <c r="Y209" s="1100"/>
      <c r="Z209" s="1100"/>
      <c r="AA209" s="1100"/>
      <c r="AB209" s="1100"/>
      <c r="AC209" s="1100"/>
      <c r="AD209" s="1100"/>
      <c r="AE209" s="1100"/>
      <c r="AF209" s="3876">
        <v>2019</v>
      </c>
      <c r="AG209" s="3877" t="s">
        <v>1447</v>
      </c>
      <c r="AH209" s="3877" t="s">
        <v>1460</v>
      </c>
      <c r="AI209" s="3876">
        <v>2019</v>
      </c>
      <c r="AJ209" s="3877" t="s">
        <v>1447</v>
      </c>
      <c r="AK209" s="3877" t="s">
        <v>1460</v>
      </c>
      <c r="AL209" s="1874"/>
      <c r="AM209" s="1714"/>
      <c r="AN209" s="1714"/>
      <c r="AO209" s="1714"/>
      <c r="AP209" s="1714"/>
      <c r="AQ209" s="1714"/>
      <c r="AR209" s="1714"/>
      <c r="AS209" s="1714"/>
      <c r="AT209" s="1714"/>
      <c r="AU209" s="1714"/>
      <c r="AV209" s="1714"/>
      <c r="AW209" s="1714"/>
      <c r="AX209" s="1714"/>
      <c r="AY209" s="1714"/>
      <c r="AZ209" s="1714"/>
      <c r="BA209" s="1714"/>
      <c r="BB209" s="1714"/>
      <c r="BC209" s="1714"/>
      <c r="BD209" s="1714"/>
      <c r="BE209" s="1714"/>
      <c r="BF209" s="1714"/>
    </row>
    <row r="210" spans="1:58" ht="11.25" customHeight="1">
      <c r="A210" s="1088" t="s">
        <v>1345</v>
      </c>
      <c r="D210" s="1082"/>
      <c r="E210" s="1092"/>
      <c r="F210" s="3895"/>
      <c r="G210" s="3875"/>
      <c r="H210" s="3885" t="s">
        <v>79</v>
      </c>
      <c r="I210" s="3886"/>
      <c r="J210" s="3883"/>
      <c r="K210" s="3887"/>
      <c r="L210" s="3599"/>
      <c r="M210" s="3600"/>
      <c r="N210" s="3878"/>
      <c r="O210" s="3879">
        <v>1</v>
      </c>
      <c r="P210" s="3880" t="s">
        <v>50</v>
      </c>
      <c r="Q210" s="3883" t="s">
        <v>1476</v>
      </c>
      <c r="R210" s="3884" t="s">
        <v>1438</v>
      </c>
      <c r="S210" s="3884" t="s">
        <v>92</v>
      </c>
      <c r="T210" s="3884" t="s">
        <v>92</v>
      </c>
      <c r="U210" s="3884" t="s">
        <v>93</v>
      </c>
      <c r="V210" s="3884" t="s">
        <v>1462</v>
      </c>
      <c r="W210" s="3884" t="s">
        <v>1463</v>
      </c>
      <c r="X210" s="3884" t="s">
        <v>1477</v>
      </c>
      <c r="Y210" s="3884" t="s">
        <v>1478</v>
      </c>
      <c r="Z210" s="1097"/>
      <c r="AA210" s="1098"/>
      <c r="AB210" s="1098"/>
      <c r="AC210" s="1102"/>
      <c r="AD210" s="1102"/>
      <c r="AE210" s="1103"/>
      <c r="AF210" s="3876"/>
      <c r="AG210" s="3877"/>
      <c r="AH210" s="3877"/>
      <c r="AI210" s="3876"/>
      <c r="AJ210" s="3877"/>
      <c r="AK210" s="3877"/>
      <c r="AL210" s="1874"/>
      <c r="AM210" s="1714"/>
      <c r="AN210" s="1714"/>
      <c r="AO210" s="1714"/>
      <c r="AP210" s="1714"/>
      <c r="AQ210" s="1714"/>
      <c r="AR210" s="1714"/>
      <c r="AS210" s="1714"/>
      <c r="AT210" s="1714"/>
      <c r="AU210" s="1714"/>
      <c r="AV210" s="1714"/>
      <c r="AW210" s="1714"/>
      <c r="AX210" s="1714"/>
      <c r="AY210" s="1714"/>
      <c r="AZ210" s="1714"/>
      <c r="BA210" s="1714"/>
      <c r="BB210" s="1714"/>
      <c r="BC210" s="1714"/>
      <c r="BD210" s="1714"/>
      <c r="BE210" s="1714"/>
      <c r="BF210" s="1714"/>
    </row>
    <row r="211" spans="1:58" ht="11.25" customHeight="1">
      <c r="A211" s="1088" t="s">
        <v>1345</v>
      </c>
      <c r="D211" s="1082"/>
      <c r="E211" s="1092"/>
      <c r="F211" s="3895"/>
      <c r="G211" s="3875"/>
      <c r="H211" s="3885" t="s">
        <v>79</v>
      </c>
      <c r="I211" s="3886"/>
      <c r="J211" s="3883"/>
      <c r="K211" s="3887"/>
      <c r="L211" s="3599"/>
      <c r="M211" s="3600"/>
      <c r="N211" s="3878"/>
      <c r="O211" s="3879"/>
      <c r="P211" s="3881"/>
      <c r="Q211" s="3883"/>
      <c r="R211" s="3874"/>
      <c r="S211" s="3884"/>
      <c r="T211" s="3874"/>
      <c r="U211" s="3874"/>
      <c r="V211" s="3874"/>
      <c r="W211" s="3874"/>
      <c r="X211" s="3874"/>
      <c r="Y211" s="3874"/>
      <c r="Z211" s="1719"/>
      <c r="AA211" s="1686">
        <v>1</v>
      </c>
      <c r="AB211" s="1101" t="s">
        <v>1473</v>
      </c>
      <c r="AC211" s="1091">
        <v>0</v>
      </c>
      <c r="AD211" s="1101" t="str">
        <f>AB211</f>
        <v xml:space="preserve">  Кредиты</v>
      </c>
      <c r="AE211" s="1091">
        <v>423.73</v>
      </c>
      <c r="AF211" s="3876"/>
      <c r="AG211" s="3877"/>
      <c r="AH211" s="3877"/>
      <c r="AI211" s="3876"/>
      <c r="AJ211" s="3877"/>
      <c r="AK211" s="3877"/>
      <c r="AL211" s="1874"/>
      <c r="AM211" s="1714"/>
      <c r="AN211" s="1714"/>
      <c r="AO211" s="1714"/>
      <c r="AP211" s="1714"/>
      <c r="AQ211" s="1714"/>
      <c r="AR211" s="1714"/>
      <c r="AS211" s="1714"/>
      <c r="AT211" s="1714"/>
      <c r="AU211" s="1714"/>
      <c r="AV211" s="1714"/>
      <c r="AW211" s="1714"/>
      <c r="AX211" s="1714"/>
      <c r="AY211" s="1714"/>
      <c r="AZ211" s="1714"/>
      <c r="BA211" s="1714"/>
      <c r="BB211" s="1714"/>
      <c r="BC211" s="1714"/>
      <c r="BD211" s="1714"/>
      <c r="BE211" s="1714"/>
      <c r="BF211" s="1714"/>
    </row>
    <row r="212" spans="1:58" ht="11.25" customHeight="1">
      <c r="A212" s="1088" t="s">
        <v>1345</v>
      </c>
      <c r="D212" s="1082"/>
      <c r="E212" s="1092"/>
      <c r="F212" s="3895"/>
      <c r="G212" s="3875"/>
      <c r="H212" s="3885" t="s">
        <v>79</v>
      </c>
      <c r="I212" s="3886"/>
      <c r="J212" s="3883"/>
      <c r="K212" s="3887"/>
      <c r="L212" s="3599"/>
      <c r="M212" s="3600"/>
      <c r="N212" s="3878"/>
      <c r="O212" s="3879"/>
      <c r="P212" s="3882"/>
      <c r="Q212" s="3883"/>
      <c r="R212" s="3874"/>
      <c r="S212" s="3884"/>
      <c r="T212" s="3874"/>
      <c r="U212" s="3874"/>
      <c r="V212" s="3874"/>
      <c r="W212" s="3874"/>
      <c r="X212" s="3874"/>
      <c r="Y212" s="3874"/>
      <c r="Z212" s="1097"/>
      <c r="AA212" s="1098"/>
      <c r="AB212" s="1163" t="s">
        <v>1444</v>
      </c>
      <c r="AC212" s="1102"/>
      <c r="AD212" s="1102"/>
      <c r="AE212" s="1104"/>
      <c r="AF212" s="3876"/>
      <c r="AG212" s="3877"/>
      <c r="AH212" s="3877"/>
      <c r="AI212" s="3876"/>
      <c r="AJ212" s="3877"/>
      <c r="AK212" s="3877"/>
      <c r="AL212" s="1874"/>
      <c r="AM212" s="1714"/>
      <c r="AN212" s="1714"/>
      <c r="AO212" s="1714"/>
      <c r="AP212" s="1714"/>
      <c r="AQ212" s="1714"/>
      <c r="AR212" s="1714"/>
      <c r="AS212" s="1714"/>
      <c r="AT212" s="1714"/>
      <c r="AU212" s="1714"/>
      <c r="AV212" s="1714"/>
      <c r="AW212" s="1714"/>
      <c r="AX212" s="1714"/>
      <c r="AY212" s="1714"/>
      <c r="AZ212" s="1714"/>
      <c r="BA212" s="1714"/>
      <c r="BB212" s="1714"/>
      <c r="BC212" s="1714"/>
      <c r="BD212" s="1714"/>
      <c r="BE212" s="1714"/>
      <c r="BF212" s="1714"/>
    </row>
    <row r="213" spans="1:58" ht="11.25" customHeight="1">
      <c r="A213" s="1088" t="s">
        <v>1345</v>
      </c>
      <c r="D213" s="1082"/>
      <c r="E213" s="1092"/>
      <c r="F213" s="3895"/>
      <c r="G213" s="3875"/>
      <c r="H213" s="3885" t="s">
        <v>79</v>
      </c>
      <c r="I213" s="3886"/>
      <c r="J213" s="3883"/>
      <c r="K213" s="3887"/>
      <c r="L213" s="3599"/>
      <c r="M213" s="3600"/>
      <c r="N213" s="1097"/>
      <c r="O213" s="1098"/>
      <c r="P213" s="1090" t="s">
        <v>1445</v>
      </c>
      <c r="Q213" s="1098"/>
      <c r="R213" s="1098"/>
      <c r="S213" s="1098"/>
      <c r="T213" s="1098"/>
      <c r="U213" s="1098"/>
      <c r="V213" s="1098"/>
      <c r="W213" s="1098"/>
      <c r="X213" s="1098"/>
      <c r="Y213" s="1098"/>
      <c r="Z213" s="1098"/>
      <c r="AA213" s="1098"/>
      <c r="AB213" s="1098"/>
      <c r="AC213" s="1098"/>
      <c r="AD213" s="1098"/>
      <c r="AE213" s="1105"/>
      <c r="AF213" s="3876"/>
      <c r="AG213" s="3877"/>
      <c r="AH213" s="3877"/>
      <c r="AI213" s="3876"/>
      <c r="AJ213" s="3877"/>
      <c r="AK213" s="3877"/>
      <c r="AL213" s="1874"/>
      <c r="AM213" s="1714"/>
      <c r="AN213" s="1714"/>
      <c r="AO213" s="1714"/>
      <c r="AP213" s="1714"/>
      <c r="AQ213" s="1714"/>
      <c r="AR213" s="1714"/>
      <c r="AS213" s="1714"/>
      <c r="AT213" s="1714"/>
      <c r="AU213" s="1714"/>
      <c r="AV213" s="1714"/>
      <c r="AW213" s="1714"/>
      <c r="AX213" s="1714"/>
      <c r="AY213" s="1714"/>
      <c r="AZ213" s="1714"/>
      <c r="BA213" s="1714"/>
      <c r="BB213" s="1714"/>
      <c r="BC213" s="1714"/>
      <c r="BD213" s="1714"/>
      <c r="BE213" s="1714"/>
      <c r="BF213" s="1714"/>
    </row>
    <row r="214" spans="1:58" ht="12" customHeight="1">
      <c r="A214" s="1088" t="s">
        <v>1345</v>
      </c>
      <c r="D214" s="1082"/>
      <c r="E214" s="1092"/>
      <c r="F214" s="3896"/>
      <c r="G214" s="1112"/>
      <c r="H214" s="1112"/>
      <c r="I214" s="3893" t="s">
        <v>1451</v>
      </c>
      <c r="J214" s="3893"/>
      <c r="K214" s="3893"/>
      <c r="L214" s="1095"/>
      <c r="M214" s="1095"/>
      <c r="N214" s="1096"/>
      <c r="O214" s="1096"/>
      <c r="P214" s="1096"/>
      <c r="Q214" s="1096"/>
      <c r="R214" s="1096"/>
      <c r="S214" s="1096"/>
      <c r="T214" s="1096"/>
      <c r="U214" s="1096"/>
      <c r="V214" s="1096"/>
      <c r="W214" s="1096"/>
      <c r="X214" s="1096"/>
      <c r="Y214" s="1096"/>
      <c r="Z214" s="1096"/>
      <c r="AA214" s="1096"/>
      <c r="AB214" s="1096"/>
      <c r="AC214" s="1096"/>
      <c r="AD214" s="1096"/>
      <c r="AE214" s="1096"/>
      <c r="AF214" s="1096"/>
      <c r="AG214" s="1095"/>
      <c r="AH214" s="1095"/>
      <c r="AI214" s="1096"/>
      <c r="AJ214" s="1095"/>
      <c r="AK214" s="1096"/>
      <c r="AL214" s="1874"/>
      <c r="AM214" s="1714"/>
      <c r="AN214" s="1714"/>
      <c r="AO214" s="1714"/>
      <c r="AP214" s="1714"/>
      <c r="AQ214" s="1714"/>
      <c r="AR214" s="1714"/>
      <c r="AS214" s="1714"/>
      <c r="AT214" s="1714"/>
      <c r="AU214" s="1714"/>
      <c r="AV214" s="1714"/>
      <c r="AW214" s="1714"/>
      <c r="AX214" s="1714"/>
      <c r="AY214" s="1714"/>
      <c r="AZ214" s="1714"/>
      <c r="BA214" s="1714"/>
      <c r="BB214" s="1714"/>
      <c r="BC214" s="1714"/>
      <c r="BD214" s="1714"/>
      <c r="BE214" s="1714"/>
      <c r="BF214" s="1714"/>
    </row>
    <row r="215" spans="1:58" ht="0.75" customHeight="1">
      <c r="A215" s="1088" t="s">
        <v>1345</v>
      </c>
      <c r="D215" s="1082"/>
      <c r="E215" s="1092"/>
      <c r="F215" s="3894">
        <v>2019</v>
      </c>
      <c r="G215" s="3885"/>
      <c r="H215" s="3898" t="s">
        <v>421</v>
      </c>
      <c r="I215" s="3899"/>
      <c r="J215" s="3891"/>
      <c r="K215" s="3891"/>
      <c r="L215" s="3892"/>
      <c r="M215" s="3743"/>
      <c r="N215" s="1922"/>
      <c r="O215" s="1921"/>
      <c r="P215" s="1922"/>
      <c r="Q215" s="1922"/>
      <c r="R215" s="1922"/>
      <c r="S215" s="1922"/>
      <c r="T215" s="1922"/>
      <c r="U215" s="1922"/>
      <c r="V215" s="1922"/>
      <c r="W215" s="1922"/>
      <c r="X215" s="1922"/>
      <c r="Y215" s="1922"/>
      <c r="Z215" s="1922"/>
      <c r="AA215" s="1922"/>
      <c r="AB215" s="1922"/>
      <c r="AC215" s="1922"/>
      <c r="AD215" s="1922"/>
      <c r="AE215" s="1922"/>
      <c r="AF215" s="3897"/>
      <c r="AG215" s="3892"/>
      <c r="AH215" s="3892"/>
      <c r="AI215" s="3897"/>
      <c r="AJ215" s="3892"/>
      <c r="AK215" s="3892"/>
      <c r="AL215" s="1874"/>
      <c r="AM215" s="1714"/>
      <c r="AN215" s="1714"/>
      <c r="AO215" s="1714"/>
      <c r="AP215" s="1714"/>
      <c r="AQ215" s="1714"/>
      <c r="AR215" s="1714"/>
      <c r="AS215" s="1714"/>
      <c r="AT215" s="1714"/>
      <c r="AU215" s="1714"/>
      <c r="AV215" s="1714"/>
      <c r="AW215" s="1714"/>
      <c r="AX215" s="1714"/>
      <c r="AY215" s="1714"/>
      <c r="AZ215" s="1714"/>
      <c r="BA215" s="1714"/>
      <c r="BB215" s="1714"/>
      <c r="BC215" s="1714"/>
      <c r="BD215" s="1714"/>
      <c r="BE215" s="1714"/>
      <c r="BF215" s="1714"/>
    </row>
    <row r="216" spans="1:58" ht="0.75" customHeight="1">
      <c r="A216" s="1088" t="s">
        <v>1345</v>
      </c>
      <c r="D216" s="1082"/>
      <c r="E216" s="1092"/>
      <c r="F216" s="3894"/>
      <c r="G216" s="3885"/>
      <c r="H216" s="3898"/>
      <c r="I216" s="3899"/>
      <c r="J216" s="3891"/>
      <c r="K216" s="3891"/>
      <c r="L216" s="3892"/>
      <c r="M216" s="3743"/>
      <c r="N216" s="3900"/>
      <c r="O216" s="3901"/>
      <c r="P216" s="3888"/>
      <c r="Q216" s="3891"/>
      <c r="R216" s="3891"/>
      <c r="S216" s="3891"/>
      <c r="T216" s="3891"/>
      <c r="U216" s="3891"/>
      <c r="V216" s="3891"/>
      <c r="W216" s="3891"/>
      <c r="X216" s="3891"/>
      <c r="Y216" s="3891"/>
      <c r="Z216" s="1923"/>
      <c r="AA216" s="1924"/>
      <c r="AB216" s="1924"/>
      <c r="AC216" s="1925"/>
      <c r="AD216" s="1925"/>
      <c r="AE216" s="1926"/>
      <c r="AF216" s="3897"/>
      <c r="AG216" s="3892"/>
      <c r="AH216" s="3892"/>
      <c r="AI216" s="3897"/>
      <c r="AJ216" s="3892"/>
      <c r="AK216" s="3892"/>
      <c r="AL216" s="1874"/>
      <c r="AM216" s="1714"/>
      <c r="AN216" s="1714"/>
      <c r="AO216" s="1714"/>
      <c r="AP216" s="1714"/>
      <c r="AQ216" s="1714"/>
      <c r="AR216" s="1714"/>
      <c r="AS216" s="1714"/>
      <c r="AT216" s="1714"/>
      <c r="AU216" s="1714"/>
      <c r="AV216" s="1714"/>
      <c r="AW216" s="1714"/>
      <c r="AX216" s="1714"/>
      <c r="AY216" s="1714"/>
      <c r="AZ216" s="1714"/>
      <c r="BA216" s="1714"/>
      <c r="BB216" s="1714"/>
      <c r="BC216" s="1714"/>
      <c r="BD216" s="1714"/>
      <c r="BE216" s="1714"/>
      <c r="BF216" s="1714"/>
    </row>
    <row r="217" spans="1:58" ht="0.75" customHeight="1">
      <c r="A217" s="1088" t="s">
        <v>1345</v>
      </c>
      <c r="D217" s="1082"/>
      <c r="E217" s="1092"/>
      <c r="F217" s="3894"/>
      <c r="G217" s="3885"/>
      <c r="H217" s="3898"/>
      <c r="I217" s="3899"/>
      <c r="J217" s="3891"/>
      <c r="K217" s="3891"/>
      <c r="L217" s="3892"/>
      <c r="M217" s="3743"/>
      <c r="N217" s="3900"/>
      <c r="O217" s="3901"/>
      <c r="P217" s="3889"/>
      <c r="Q217" s="3891"/>
      <c r="R217" s="3891"/>
      <c r="S217" s="3891"/>
      <c r="T217" s="3891"/>
      <c r="U217" s="3891"/>
      <c r="V217" s="3891"/>
      <c r="W217" s="3891"/>
      <c r="X217" s="3891"/>
      <c r="Y217" s="3891"/>
      <c r="Z217" s="1927"/>
      <c r="AA217" s="1928"/>
      <c r="AB217" s="1929"/>
      <c r="AC217" s="1930"/>
      <c r="AD217" s="1929"/>
      <c r="AE217" s="1930"/>
      <c r="AF217" s="3897"/>
      <c r="AG217" s="3892"/>
      <c r="AH217" s="3892"/>
      <c r="AI217" s="3897"/>
      <c r="AJ217" s="3892"/>
      <c r="AK217" s="3892"/>
      <c r="AL217" s="1874"/>
      <c r="AM217" s="1714"/>
      <c r="AN217" s="1714"/>
      <c r="AO217" s="1714"/>
      <c r="AP217" s="1714"/>
      <c r="AQ217" s="1714"/>
      <c r="AR217" s="1714"/>
      <c r="AS217" s="1714"/>
      <c r="AT217" s="1714"/>
      <c r="AU217" s="1714"/>
      <c r="AV217" s="1714"/>
      <c r="AW217" s="1714"/>
      <c r="AX217" s="1714"/>
      <c r="AY217" s="1714"/>
      <c r="AZ217" s="1714"/>
      <c r="BA217" s="1714"/>
      <c r="BB217" s="1714"/>
      <c r="BC217" s="1714"/>
      <c r="BD217" s="1714"/>
      <c r="BE217" s="1714"/>
      <c r="BF217" s="1714"/>
    </row>
    <row r="218" spans="1:58" ht="0.75" customHeight="1">
      <c r="A218" s="1088" t="s">
        <v>1345</v>
      </c>
      <c r="D218" s="1082"/>
      <c r="E218" s="1092"/>
      <c r="F218" s="3894"/>
      <c r="G218" s="3885"/>
      <c r="H218" s="3898"/>
      <c r="I218" s="3899"/>
      <c r="J218" s="3891"/>
      <c r="K218" s="3891"/>
      <c r="L218" s="3892"/>
      <c r="M218" s="3743"/>
      <c r="N218" s="3900"/>
      <c r="O218" s="3901"/>
      <c r="P218" s="3890"/>
      <c r="Q218" s="3891"/>
      <c r="R218" s="3891"/>
      <c r="S218" s="3891"/>
      <c r="T218" s="3891"/>
      <c r="U218" s="3891"/>
      <c r="V218" s="3891"/>
      <c r="W218" s="3891"/>
      <c r="X218" s="3891"/>
      <c r="Y218" s="3891"/>
      <c r="Z218" s="1923"/>
      <c r="AA218" s="1924"/>
      <c r="AB218" s="1931"/>
      <c r="AC218" s="1925"/>
      <c r="AD218" s="1925"/>
      <c r="AE218" s="1932"/>
      <c r="AF218" s="3897"/>
      <c r="AG218" s="3892"/>
      <c r="AH218" s="3892"/>
      <c r="AI218" s="3897"/>
      <c r="AJ218" s="3892"/>
      <c r="AK218" s="3892"/>
      <c r="AL218" s="1874"/>
      <c r="AM218" s="1714"/>
      <c r="AN218" s="1714"/>
      <c r="AO218" s="1714"/>
      <c r="AP218" s="1714"/>
      <c r="AQ218" s="1714"/>
      <c r="AR218" s="1714"/>
      <c r="AS218" s="1714"/>
      <c r="AT218" s="1714"/>
      <c r="AU218" s="1714"/>
      <c r="AV218" s="1714"/>
      <c r="AW218" s="1714"/>
      <c r="AX218" s="1714"/>
      <c r="AY218" s="1714"/>
      <c r="AZ218" s="1714"/>
      <c r="BA218" s="1714"/>
      <c r="BB218" s="1714"/>
      <c r="BC218" s="1714"/>
      <c r="BD218" s="1714"/>
      <c r="BE218" s="1714"/>
      <c r="BF218" s="1714"/>
    </row>
    <row r="219" spans="1:58" ht="0.75" customHeight="1">
      <c r="A219" s="1088" t="s">
        <v>1345</v>
      </c>
      <c r="D219" s="1082"/>
      <c r="E219" s="1092"/>
      <c r="F219" s="3894"/>
      <c r="G219" s="3885"/>
      <c r="H219" s="3898"/>
      <c r="I219" s="3899"/>
      <c r="J219" s="3891"/>
      <c r="K219" s="3891"/>
      <c r="L219" s="3892"/>
      <c r="M219" s="3743"/>
      <c r="N219" s="1924"/>
      <c r="O219" s="1924"/>
      <c r="P219" s="1931"/>
      <c r="Q219" s="1924"/>
      <c r="R219" s="1924"/>
      <c r="S219" s="1924"/>
      <c r="T219" s="1924"/>
      <c r="U219" s="1924"/>
      <c r="V219" s="1924"/>
      <c r="W219" s="1924"/>
      <c r="X219" s="1924"/>
      <c r="Y219" s="1924"/>
      <c r="Z219" s="1924"/>
      <c r="AA219" s="1924"/>
      <c r="AB219" s="1924"/>
      <c r="AC219" s="1924"/>
      <c r="AD219" s="1924"/>
      <c r="AE219" s="1933"/>
      <c r="AF219" s="3897"/>
      <c r="AG219" s="3892"/>
      <c r="AH219" s="3892"/>
      <c r="AI219" s="3897"/>
      <c r="AJ219" s="3892"/>
      <c r="AK219" s="3892"/>
      <c r="AL219" s="1874"/>
      <c r="AM219" s="1714"/>
      <c r="AN219" s="1714"/>
      <c r="AO219" s="1714"/>
      <c r="AP219" s="1714"/>
      <c r="AQ219" s="1714"/>
      <c r="AR219" s="1714"/>
      <c r="AS219" s="1714"/>
      <c r="AT219" s="1714"/>
      <c r="AU219" s="1714"/>
      <c r="AV219" s="1714"/>
      <c r="AW219" s="1714"/>
      <c r="AX219" s="1714"/>
      <c r="AY219" s="1714"/>
      <c r="AZ219" s="1714"/>
      <c r="BA219" s="1714"/>
      <c r="BB219" s="1714"/>
      <c r="BC219" s="1714"/>
      <c r="BD219" s="1714"/>
      <c r="BE219" s="1714"/>
      <c r="BF219" s="1714"/>
    </row>
    <row r="220" spans="1:58" ht="11.25" customHeight="1">
      <c r="A220" s="1088" t="s">
        <v>1345</v>
      </c>
      <c r="D220" s="1082"/>
      <c r="E220" s="1092"/>
      <c r="F220" s="3895"/>
      <c r="G220" s="3853" t="s">
        <v>90</v>
      </c>
      <c r="H220" s="3885" t="s">
        <v>164</v>
      </c>
      <c r="I220" s="3886"/>
      <c r="J220" s="3883"/>
      <c r="K220" s="3887" t="s">
        <v>1459</v>
      </c>
      <c r="L220" s="3599" t="s">
        <v>6</v>
      </c>
      <c r="M220" s="3600"/>
      <c r="N220" s="1872"/>
      <c r="O220" s="1099" t="s">
        <v>421</v>
      </c>
      <c r="P220" s="1100"/>
      <c r="Q220" s="1100"/>
      <c r="R220" s="1100"/>
      <c r="S220" s="1100"/>
      <c r="T220" s="1100"/>
      <c r="U220" s="1100"/>
      <c r="V220" s="1100"/>
      <c r="W220" s="1100"/>
      <c r="X220" s="1100"/>
      <c r="Y220" s="1100"/>
      <c r="Z220" s="1100"/>
      <c r="AA220" s="1100"/>
      <c r="AB220" s="1100"/>
      <c r="AC220" s="1100"/>
      <c r="AD220" s="1100"/>
      <c r="AE220" s="1100"/>
      <c r="AF220" s="3876">
        <v>2019</v>
      </c>
      <c r="AG220" s="3877" t="s">
        <v>1447</v>
      </c>
      <c r="AH220" s="3877" t="s">
        <v>1460</v>
      </c>
      <c r="AI220" s="3876">
        <v>2019</v>
      </c>
      <c r="AJ220" s="3877" t="s">
        <v>1447</v>
      </c>
      <c r="AK220" s="3877" t="s">
        <v>1460</v>
      </c>
      <c r="AL220" s="1874"/>
      <c r="AM220" s="1714"/>
      <c r="AN220" s="1714"/>
      <c r="AO220" s="1714"/>
      <c r="AP220" s="1714"/>
      <c r="AQ220" s="1714"/>
      <c r="AR220" s="1714"/>
      <c r="AS220" s="1714"/>
      <c r="AT220" s="1714"/>
      <c r="AU220" s="1714"/>
      <c r="AV220" s="1714"/>
      <c r="AW220" s="1714"/>
      <c r="AX220" s="1714"/>
      <c r="AY220" s="1714"/>
      <c r="AZ220" s="1714"/>
      <c r="BA220" s="1714"/>
      <c r="BB220" s="1714"/>
      <c r="BC220" s="1714"/>
      <c r="BD220" s="1714"/>
      <c r="BE220" s="1714"/>
      <c r="BF220" s="1714"/>
    </row>
    <row r="221" spans="1:58" ht="11.25" customHeight="1">
      <c r="A221" s="1088" t="s">
        <v>1345</v>
      </c>
      <c r="D221" s="1082"/>
      <c r="E221" s="1092"/>
      <c r="F221" s="3895"/>
      <c r="G221" s="3875"/>
      <c r="H221" s="3885" t="s">
        <v>421</v>
      </c>
      <c r="I221" s="3886"/>
      <c r="J221" s="3883"/>
      <c r="K221" s="3887"/>
      <c r="L221" s="3599"/>
      <c r="M221" s="3600"/>
      <c r="N221" s="3878"/>
      <c r="O221" s="3879">
        <v>1</v>
      </c>
      <c r="P221" s="3880" t="s">
        <v>50</v>
      </c>
      <c r="Q221" s="3883" t="s">
        <v>1461</v>
      </c>
      <c r="R221" s="3884" t="s">
        <v>1438</v>
      </c>
      <c r="S221" s="3884" t="s">
        <v>92</v>
      </c>
      <c r="T221" s="3884" t="s">
        <v>92</v>
      </c>
      <c r="U221" s="3884" t="s">
        <v>93</v>
      </c>
      <c r="V221" s="3884" t="s">
        <v>1462</v>
      </c>
      <c r="W221" s="3884" t="s">
        <v>1463</v>
      </c>
      <c r="X221" s="3884" t="s">
        <v>1464</v>
      </c>
      <c r="Y221" s="3884" t="s">
        <v>1465</v>
      </c>
      <c r="Z221" s="1097"/>
      <c r="AA221" s="1098"/>
      <c r="AB221" s="1098"/>
      <c r="AC221" s="1102"/>
      <c r="AD221" s="1102"/>
      <c r="AE221" s="1103"/>
      <c r="AF221" s="3876"/>
      <c r="AG221" s="3877"/>
      <c r="AH221" s="3877"/>
      <c r="AI221" s="3876"/>
      <c r="AJ221" s="3877"/>
      <c r="AK221" s="3877"/>
      <c r="AL221" s="1874"/>
      <c r="AM221" s="1714"/>
      <c r="AN221" s="1714"/>
      <c r="AO221" s="1714"/>
      <c r="AP221" s="1714"/>
      <c r="AQ221" s="1714"/>
      <c r="AR221" s="1714"/>
      <c r="AS221" s="1714"/>
      <c r="AT221" s="1714"/>
      <c r="AU221" s="1714"/>
      <c r="AV221" s="1714"/>
      <c r="AW221" s="1714"/>
      <c r="AX221" s="1714"/>
      <c r="AY221" s="1714"/>
      <c r="AZ221" s="1714"/>
      <c r="BA221" s="1714"/>
      <c r="BB221" s="1714"/>
      <c r="BC221" s="1714"/>
      <c r="BD221" s="1714"/>
      <c r="BE221" s="1714"/>
      <c r="BF221" s="1714"/>
    </row>
    <row r="222" spans="1:58" ht="11.25" customHeight="1">
      <c r="A222" s="1088" t="s">
        <v>1345</v>
      </c>
      <c r="D222" s="1082"/>
      <c r="E222" s="1092"/>
      <c r="F222" s="3895"/>
      <c r="G222" s="3875"/>
      <c r="H222" s="3885" t="s">
        <v>421</v>
      </c>
      <c r="I222" s="3886"/>
      <c r="J222" s="3883"/>
      <c r="K222" s="3887"/>
      <c r="L222" s="3599"/>
      <c r="M222" s="3600"/>
      <c r="N222" s="3878"/>
      <c r="O222" s="3879"/>
      <c r="P222" s="3881"/>
      <c r="Q222" s="3883"/>
      <c r="R222" s="3874"/>
      <c r="S222" s="3884"/>
      <c r="T222" s="3874"/>
      <c r="U222" s="3874"/>
      <c r="V222" s="3874"/>
      <c r="W222" s="3874"/>
      <c r="X222" s="3874"/>
      <c r="Y222" s="3874"/>
      <c r="Z222" s="1719"/>
      <c r="AA222" s="1686">
        <v>1</v>
      </c>
      <c r="AB222" s="1101" t="s">
        <v>1473</v>
      </c>
      <c r="AC222" s="1091">
        <v>7435.89</v>
      </c>
      <c r="AD222" s="1101" t="str">
        <f>AB222</f>
        <v xml:space="preserve">  Кредиты</v>
      </c>
      <c r="AE222" s="1091">
        <v>36874.79</v>
      </c>
      <c r="AF222" s="3876"/>
      <c r="AG222" s="3877"/>
      <c r="AH222" s="3877"/>
      <c r="AI222" s="3876"/>
      <c r="AJ222" s="3877"/>
      <c r="AK222" s="3877"/>
      <c r="AL222" s="1874"/>
      <c r="AM222" s="1714"/>
      <c r="AN222" s="1714"/>
      <c r="AO222" s="1714"/>
      <c r="AP222" s="1714"/>
      <c r="AQ222" s="1714"/>
      <c r="AR222" s="1714"/>
      <c r="AS222" s="1714"/>
      <c r="AT222" s="1714"/>
      <c r="AU222" s="1714"/>
      <c r="AV222" s="1714"/>
      <c r="AW222" s="1714"/>
      <c r="AX222" s="1714"/>
      <c r="AY222" s="1714"/>
      <c r="AZ222" s="1714"/>
      <c r="BA222" s="1714"/>
      <c r="BB222" s="1714"/>
      <c r="BC222" s="1714"/>
      <c r="BD222" s="1714"/>
      <c r="BE222" s="1714"/>
      <c r="BF222" s="1714"/>
    </row>
    <row r="223" spans="1:58" ht="11.25" customHeight="1">
      <c r="A223" s="1088" t="s">
        <v>1345</v>
      </c>
      <c r="D223" s="1082"/>
      <c r="E223" s="1092"/>
      <c r="F223" s="3895"/>
      <c r="G223" s="3875"/>
      <c r="H223" s="3885" t="s">
        <v>421</v>
      </c>
      <c r="I223" s="3886"/>
      <c r="J223" s="3883"/>
      <c r="K223" s="3887"/>
      <c r="L223" s="3599"/>
      <c r="M223" s="3600"/>
      <c r="N223" s="3878"/>
      <c r="O223" s="3879"/>
      <c r="P223" s="3882"/>
      <c r="Q223" s="3883"/>
      <c r="R223" s="3874"/>
      <c r="S223" s="3884"/>
      <c r="T223" s="3874"/>
      <c r="U223" s="3874"/>
      <c r="V223" s="3874"/>
      <c r="W223" s="3874"/>
      <c r="X223" s="3874"/>
      <c r="Y223" s="3874"/>
      <c r="Z223" s="1097"/>
      <c r="AA223" s="1098"/>
      <c r="AB223" s="1163" t="s">
        <v>1444</v>
      </c>
      <c r="AC223" s="1102"/>
      <c r="AD223" s="1102"/>
      <c r="AE223" s="1104"/>
      <c r="AF223" s="3876"/>
      <c r="AG223" s="3877"/>
      <c r="AH223" s="3877"/>
      <c r="AI223" s="3876"/>
      <c r="AJ223" s="3877"/>
      <c r="AK223" s="3877"/>
      <c r="AL223" s="1874"/>
      <c r="AM223" s="1714"/>
      <c r="AN223" s="1714"/>
      <c r="AO223" s="1714"/>
      <c r="AP223" s="1714"/>
      <c r="AQ223" s="1714"/>
      <c r="AR223" s="1714"/>
      <c r="AS223" s="1714"/>
      <c r="AT223" s="1714"/>
      <c r="AU223" s="1714"/>
      <c r="AV223" s="1714"/>
      <c r="AW223" s="1714"/>
      <c r="AX223" s="1714"/>
      <c r="AY223" s="1714"/>
      <c r="AZ223" s="1714"/>
      <c r="BA223" s="1714"/>
      <c r="BB223" s="1714"/>
      <c r="BC223" s="1714"/>
      <c r="BD223" s="1714"/>
      <c r="BE223" s="1714"/>
      <c r="BF223" s="1714"/>
    </row>
    <row r="224" spans="1:58" ht="11.25" customHeight="1">
      <c r="A224" s="1088" t="s">
        <v>1345</v>
      </c>
      <c r="D224" s="1082"/>
      <c r="E224" s="1092"/>
      <c r="F224" s="3895"/>
      <c r="G224" s="3875"/>
      <c r="H224" s="3885" t="s">
        <v>421</v>
      </c>
      <c r="I224" s="3886"/>
      <c r="J224" s="3883"/>
      <c r="K224" s="3887"/>
      <c r="L224" s="3599"/>
      <c r="M224" s="3600"/>
      <c r="N224" s="1097"/>
      <c r="O224" s="1098"/>
      <c r="P224" s="1090" t="s">
        <v>1445</v>
      </c>
      <c r="Q224" s="1098"/>
      <c r="R224" s="1098"/>
      <c r="S224" s="1098"/>
      <c r="T224" s="1098"/>
      <c r="U224" s="1098"/>
      <c r="V224" s="1098"/>
      <c r="W224" s="1098"/>
      <c r="X224" s="1098"/>
      <c r="Y224" s="1098"/>
      <c r="Z224" s="1098"/>
      <c r="AA224" s="1098"/>
      <c r="AB224" s="1098"/>
      <c r="AC224" s="1098"/>
      <c r="AD224" s="1098"/>
      <c r="AE224" s="1105"/>
      <c r="AF224" s="3876"/>
      <c r="AG224" s="3877"/>
      <c r="AH224" s="3877"/>
      <c r="AI224" s="3876"/>
      <c r="AJ224" s="3877"/>
      <c r="AK224" s="3877"/>
      <c r="AL224" s="1874"/>
      <c r="AM224" s="1714"/>
      <c r="AN224" s="1714"/>
      <c r="AO224" s="1714"/>
      <c r="AP224" s="1714"/>
      <c r="AQ224" s="1714"/>
      <c r="AR224" s="1714"/>
      <c r="AS224" s="1714"/>
      <c r="AT224" s="1714"/>
      <c r="AU224" s="1714"/>
      <c r="AV224" s="1714"/>
      <c r="AW224" s="1714"/>
      <c r="AX224" s="1714"/>
      <c r="AY224" s="1714"/>
      <c r="AZ224" s="1714"/>
      <c r="BA224" s="1714"/>
      <c r="BB224" s="1714"/>
      <c r="BC224" s="1714"/>
      <c r="BD224" s="1714"/>
      <c r="BE224" s="1714"/>
      <c r="BF224" s="1714"/>
    </row>
    <row r="225" spans="1:58" ht="11.25" customHeight="1">
      <c r="A225" s="1088" t="s">
        <v>1345</v>
      </c>
      <c r="D225" s="1082"/>
      <c r="E225" s="1092"/>
      <c r="F225" s="3895"/>
      <c r="G225" s="3853" t="s">
        <v>90</v>
      </c>
      <c r="H225" s="3885" t="s">
        <v>89</v>
      </c>
      <c r="I225" s="3886"/>
      <c r="J225" s="3883"/>
      <c r="K225" s="3887" t="s">
        <v>1466</v>
      </c>
      <c r="L225" s="3599" t="s">
        <v>6</v>
      </c>
      <c r="M225" s="3600"/>
      <c r="N225" s="1872"/>
      <c r="O225" s="1099" t="s">
        <v>421</v>
      </c>
      <c r="P225" s="1100"/>
      <c r="Q225" s="1100"/>
      <c r="R225" s="1100"/>
      <c r="S225" s="1100"/>
      <c r="T225" s="1100"/>
      <c r="U225" s="1100"/>
      <c r="V225" s="1100"/>
      <c r="W225" s="1100"/>
      <c r="X225" s="1100"/>
      <c r="Y225" s="1100"/>
      <c r="Z225" s="1100"/>
      <c r="AA225" s="1100"/>
      <c r="AB225" s="1100"/>
      <c r="AC225" s="1100"/>
      <c r="AD225" s="1100"/>
      <c r="AE225" s="1100"/>
      <c r="AF225" s="3876">
        <v>2019</v>
      </c>
      <c r="AG225" s="3877" t="s">
        <v>1447</v>
      </c>
      <c r="AH225" s="3877" t="s">
        <v>1460</v>
      </c>
      <c r="AI225" s="3876">
        <v>2019</v>
      </c>
      <c r="AJ225" s="3877" t="s">
        <v>1447</v>
      </c>
      <c r="AK225" s="3877" t="s">
        <v>1460</v>
      </c>
      <c r="AL225" s="1874"/>
      <c r="AM225" s="1714"/>
      <c r="AN225" s="1714"/>
      <c r="AO225" s="1714"/>
      <c r="AP225" s="1714"/>
      <c r="AQ225" s="1714"/>
      <c r="AR225" s="1714"/>
      <c r="AS225" s="1714"/>
      <c r="AT225" s="1714"/>
      <c r="AU225" s="1714"/>
      <c r="AV225" s="1714"/>
      <c r="AW225" s="1714"/>
      <c r="AX225" s="1714"/>
      <c r="AY225" s="1714"/>
      <c r="AZ225" s="1714"/>
      <c r="BA225" s="1714"/>
      <c r="BB225" s="1714"/>
      <c r="BC225" s="1714"/>
      <c r="BD225" s="1714"/>
      <c r="BE225" s="1714"/>
      <c r="BF225" s="1714"/>
    </row>
    <row r="226" spans="1:58" ht="11.25" customHeight="1">
      <c r="A226" s="1088" t="s">
        <v>1345</v>
      </c>
      <c r="D226" s="1082"/>
      <c r="E226" s="1092"/>
      <c r="F226" s="3895"/>
      <c r="G226" s="3875"/>
      <c r="H226" s="3885" t="s">
        <v>164</v>
      </c>
      <c r="I226" s="3886"/>
      <c r="J226" s="3883"/>
      <c r="K226" s="3887"/>
      <c r="L226" s="3599"/>
      <c r="M226" s="3600"/>
      <c r="N226" s="3878"/>
      <c r="O226" s="3879">
        <v>1</v>
      </c>
      <c r="P226" s="3880" t="s">
        <v>50</v>
      </c>
      <c r="Q226" s="3883" t="s">
        <v>1467</v>
      </c>
      <c r="R226" s="3884" t="s">
        <v>1438</v>
      </c>
      <c r="S226" s="3884" t="s">
        <v>92</v>
      </c>
      <c r="T226" s="3884" t="s">
        <v>92</v>
      </c>
      <c r="U226" s="3884" t="s">
        <v>93</v>
      </c>
      <c r="V226" s="3884" t="s">
        <v>1462</v>
      </c>
      <c r="W226" s="3884" t="s">
        <v>1463</v>
      </c>
      <c r="X226" s="3884" t="s">
        <v>1468</v>
      </c>
      <c r="Y226" s="3884" t="s">
        <v>1469</v>
      </c>
      <c r="Z226" s="1097"/>
      <c r="AA226" s="1098"/>
      <c r="AB226" s="1098"/>
      <c r="AC226" s="1102"/>
      <c r="AD226" s="1102"/>
      <c r="AE226" s="1103"/>
      <c r="AF226" s="3876"/>
      <c r="AG226" s="3877"/>
      <c r="AH226" s="3877"/>
      <c r="AI226" s="3876"/>
      <c r="AJ226" s="3877"/>
      <c r="AK226" s="3877"/>
      <c r="AL226" s="1874"/>
      <c r="AM226" s="1714"/>
      <c r="AN226" s="1714"/>
      <c r="AO226" s="1714"/>
      <c r="AP226" s="1714"/>
      <c r="AQ226" s="1714"/>
      <c r="AR226" s="1714"/>
      <c r="AS226" s="1714"/>
      <c r="AT226" s="1714"/>
      <c r="AU226" s="1714"/>
      <c r="AV226" s="1714"/>
      <c r="AW226" s="1714"/>
      <c r="AX226" s="1714"/>
      <c r="AY226" s="1714"/>
      <c r="AZ226" s="1714"/>
      <c r="BA226" s="1714"/>
      <c r="BB226" s="1714"/>
      <c r="BC226" s="1714"/>
      <c r="BD226" s="1714"/>
      <c r="BE226" s="1714"/>
      <c r="BF226" s="1714"/>
    </row>
    <row r="227" spans="1:58" ht="11.25" customHeight="1">
      <c r="A227" s="1088" t="s">
        <v>1345</v>
      </c>
      <c r="D227" s="1082"/>
      <c r="E227" s="1092"/>
      <c r="F227" s="3895"/>
      <c r="G227" s="3875"/>
      <c r="H227" s="3885" t="s">
        <v>164</v>
      </c>
      <c r="I227" s="3886"/>
      <c r="J227" s="3883"/>
      <c r="K227" s="3887"/>
      <c r="L227" s="3599"/>
      <c r="M227" s="3600"/>
      <c r="N227" s="3878"/>
      <c r="O227" s="3879"/>
      <c r="P227" s="3881"/>
      <c r="Q227" s="3883"/>
      <c r="R227" s="3874"/>
      <c r="S227" s="3884"/>
      <c r="T227" s="3874"/>
      <c r="U227" s="3874"/>
      <c r="V227" s="3874"/>
      <c r="W227" s="3874"/>
      <c r="X227" s="3874"/>
      <c r="Y227" s="3874"/>
      <c r="Z227" s="1719"/>
      <c r="AA227" s="1686">
        <v>1</v>
      </c>
      <c r="AB227" s="1101" t="s">
        <v>1473</v>
      </c>
      <c r="AC227" s="1091">
        <v>5128.33</v>
      </c>
      <c r="AD227" s="1101" t="str">
        <f>AB227</f>
        <v xml:space="preserve">  Кредиты</v>
      </c>
      <c r="AE227" s="1091">
        <v>39824.07</v>
      </c>
      <c r="AF227" s="3876"/>
      <c r="AG227" s="3877"/>
      <c r="AH227" s="3877"/>
      <c r="AI227" s="3876"/>
      <c r="AJ227" s="3877"/>
      <c r="AK227" s="3877"/>
      <c r="AL227" s="1874"/>
      <c r="AM227" s="1714"/>
      <c r="AN227" s="1714"/>
      <c r="AO227" s="1714"/>
      <c r="AP227" s="1714"/>
      <c r="AQ227" s="1714"/>
      <c r="AR227" s="1714"/>
      <c r="AS227" s="1714"/>
      <c r="AT227" s="1714"/>
      <c r="AU227" s="1714"/>
      <c r="AV227" s="1714"/>
      <c r="AW227" s="1714"/>
      <c r="AX227" s="1714"/>
      <c r="AY227" s="1714"/>
      <c r="AZ227" s="1714"/>
      <c r="BA227" s="1714"/>
      <c r="BB227" s="1714"/>
      <c r="BC227" s="1714"/>
      <c r="BD227" s="1714"/>
      <c r="BE227" s="1714"/>
      <c r="BF227" s="1714"/>
    </row>
    <row r="228" spans="1:58" ht="11.25" customHeight="1">
      <c r="A228" s="1088" t="s">
        <v>1345</v>
      </c>
      <c r="D228" s="1082"/>
      <c r="E228" s="1092"/>
      <c r="F228" s="3895"/>
      <c r="G228" s="3875"/>
      <c r="H228" s="3885" t="s">
        <v>164</v>
      </c>
      <c r="I228" s="3886"/>
      <c r="J228" s="3883"/>
      <c r="K228" s="3887"/>
      <c r="L228" s="3599"/>
      <c r="M228" s="3600"/>
      <c r="N228" s="3878"/>
      <c r="O228" s="3879"/>
      <c r="P228" s="3882"/>
      <c r="Q228" s="3883"/>
      <c r="R228" s="3874"/>
      <c r="S228" s="3884"/>
      <c r="T228" s="3874"/>
      <c r="U228" s="3874"/>
      <c r="V228" s="3874"/>
      <c r="W228" s="3874"/>
      <c r="X228" s="3874"/>
      <c r="Y228" s="3874"/>
      <c r="Z228" s="1097"/>
      <c r="AA228" s="1098"/>
      <c r="AB228" s="1163" t="s">
        <v>1444</v>
      </c>
      <c r="AC228" s="1102"/>
      <c r="AD228" s="1102"/>
      <c r="AE228" s="1104"/>
      <c r="AF228" s="3876"/>
      <c r="AG228" s="3877"/>
      <c r="AH228" s="3877"/>
      <c r="AI228" s="3876"/>
      <c r="AJ228" s="3877"/>
      <c r="AK228" s="3877"/>
      <c r="AL228" s="1874"/>
      <c r="AM228" s="1714"/>
      <c r="AN228" s="1714"/>
      <c r="AO228" s="1714"/>
      <c r="AP228" s="1714"/>
      <c r="AQ228" s="1714"/>
      <c r="AR228" s="1714"/>
      <c r="AS228" s="1714"/>
      <c r="AT228" s="1714"/>
      <c r="AU228" s="1714"/>
      <c r="AV228" s="1714"/>
      <c r="AW228" s="1714"/>
      <c r="AX228" s="1714"/>
      <c r="AY228" s="1714"/>
      <c r="AZ228" s="1714"/>
      <c r="BA228" s="1714"/>
      <c r="BB228" s="1714"/>
      <c r="BC228" s="1714"/>
      <c r="BD228" s="1714"/>
      <c r="BE228" s="1714"/>
      <c r="BF228" s="1714"/>
    </row>
    <row r="229" spans="1:58" ht="11.25" customHeight="1">
      <c r="A229" s="1088" t="s">
        <v>1345</v>
      </c>
      <c r="D229" s="1082"/>
      <c r="E229" s="1092"/>
      <c r="F229" s="3895"/>
      <c r="G229" s="3875"/>
      <c r="H229" s="3885" t="s">
        <v>164</v>
      </c>
      <c r="I229" s="3886"/>
      <c r="J229" s="3883"/>
      <c r="K229" s="3887"/>
      <c r="L229" s="3599"/>
      <c r="M229" s="3600"/>
      <c r="N229" s="1097"/>
      <c r="O229" s="1098"/>
      <c r="P229" s="1090" t="s">
        <v>1445</v>
      </c>
      <c r="Q229" s="1098"/>
      <c r="R229" s="1098"/>
      <c r="S229" s="1098"/>
      <c r="T229" s="1098"/>
      <c r="U229" s="1098"/>
      <c r="V229" s="1098"/>
      <c r="W229" s="1098"/>
      <c r="X229" s="1098"/>
      <c r="Y229" s="1098"/>
      <c r="Z229" s="1098"/>
      <c r="AA229" s="1098"/>
      <c r="AB229" s="1098"/>
      <c r="AC229" s="1098"/>
      <c r="AD229" s="1098"/>
      <c r="AE229" s="1105"/>
      <c r="AF229" s="3876"/>
      <c r="AG229" s="3877"/>
      <c r="AH229" s="3877"/>
      <c r="AI229" s="3876"/>
      <c r="AJ229" s="3877"/>
      <c r="AK229" s="3877"/>
      <c r="AL229" s="1874"/>
      <c r="AM229" s="1714"/>
      <c r="AN229" s="1714"/>
      <c r="AO229" s="1714"/>
      <c r="AP229" s="1714"/>
      <c r="AQ229" s="1714"/>
      <c r="AR229" s="1714"/>
      <c r="AS229" s="1714"/>
      <c r="AT229" s="1714"/>
      <c r="AU229" s="1714"/>
      <c r="AV229" s="1714"/>
      <c r="AW229" s="1714"/>
      <c r="AX229" s="1714"/>
      <c r="AY229" s="1714"/>
      <c r="AZ229" s="1714"/>
      <c r="BA229" s="1714"/>
      <c r="BB229" s="1714"/>
      <c r="BC229" s="1714"/>
      <c r="BD229" s="1714"/>
      <c r="BE229" s="1714"/>
      <c r="BF229" s="1714"/>
    </row>
    <row r="230" spans="1:58" ht="11.25" customHeight="1">
      <c r="A230" s="1088" t="s">
        <v>1345</v>
      </c>
      <c r="D230" s="1082"/>
      <c r="E230" s="1092"/>
      <c r="F230" s="3895"/>
      <c r="G230" s="3853" t="s">
        <v>90</v>
      </c>
      <c r="H230" s="3885" t="s">
        <v>78</v>
      </c>
      <c r="I230" s="3886"/>
      <c r="J230" s="3883"/>
      <c r="K230" s="3887" t="s">
        <v>1470</v>
      </c>
      <c r="L230" s="3599" t="s">
        <v>6</v>
      </c>
      <c r="M230" s="3600"/>
      <c r="N230" s="1872"/>
      <c r="O230" s="1099" t="s">
        <v>421</v>
      </c>
      <c r="P230" s="1100"/>
      <c r="Q230" s="1100"/>
      <c r="R230" s="1100"/>
      <c r="S230" s="1100"/>
      <c r="T230" s="1100"/>
      <c r="U230" s="1100"/>
      <c r="V230" s="1100"/>
      <c r="W230" s="1100"/>
      <c r="X230" s="1100"/>
      <c r="Y230" s="1100"/>
      <c r="Z230" s="1100"/>
      <c r="AA230" s="1100"/>
      <c r="AB230" s="1100"/>
      <c r="AC230" s="1100"/>
      <c r="AD230" s="1100"/>
      <c r="AE230" s="1100"/>
      <c r="AF230" s="3876">
        <v>2019</v>
      </c>
      <c r="AG230" s="3877" t="s">
        <v>1447</v>
      </c>
      <c r="AH230" s="3877" t="s">
        <v>1460</v>
      </c>
      <c r="AI230" s="3876">
        <v>2019</v>
      </c>
      <c r="AJ230" s="3877" t="s">
        <v>1435</v>
      </c>
      <c r="AK230" s="3877" t="s">
        <v>1460</v>
      </c>
      <c r="AL230" s="1874"/>
      <c r="AM230" s="1714"/>
      <c r="AN230" s="1714"/>
      <c r="AO230" s="1714"/>
      <c r="AP230" s="1714"/>
      <c r="AQ230" s="1714"/>
      <c r="AR230" s="1714"/>
      <c r="AS230" s="1714"/>
      <c r="AT230" s="1714"/>
      <c r="AU230" s="1714"/>
      <c r="AV230" s="1714"/>
      <c r="AW230" s="1714"/>
      <c r="AX230" s="1714"/>
      <c r="AY230" s="1714"/>
      <c r="AZ230" s="1714"/>
      <c r="BA230" s="1714"/>
      <c r="BB230" s="1714"/>
      <c r="BC230" s="1714"/>
      <c r="BD230" s="1714"/>
      <c r="BE230" s="1714"/>
      <c r="BF230" s="1714"/>
    </row>
    <row r="231" spans="1:58" ht="11.25" customHeight="1">
      <c r="A231" s="1088" t="s">
        <v>1345</v>
      </c>
      <c r="D231" s="1082"/>
      <c r="E231" s="1092"/>
      <c r="F231" s="3895"/>
      <c r="G231" s="3875"/>
      <c r="H231" s="3885" t="s">
        <v>89</v>
      </c>
      <c r="I231" s="3886"/>
      <c r="J231" s="3883"/>
      <c r="K231" s="3887"/>
      <c r="L231" s="3599"/>
      <c r="M231" s="3600"/>
      <c r="N231" s="3878"/>
      <c r="O231" s="3879">
        <v>1</v>
      </c>
      <c r="P231" s="3880" t="s">
        <v>50</v>
      </c>
      <c r="Q231" s="3883" t="s">
        <v>1471</v>
      </c>
      <c r="R231" s="3884" t="s">
        <v>1438</v>
      </c>
      <c r="S231" s="3884" t="s">
        <v>92</v>
      </c>
      <c r="T231" s="3884" t="s">
        <v>92</v>
      </c>
      <c r="U231" s="3884" t="s">
        <v>93</v>
      </c>
      <c r="V231" s="3884" t="s">
        <v>1462</v>
      </c>
      <c r="W231" s="3884" t="s">
        <v>1463</v>
      </c>
      <c r="X231" s="3884" t="s">
        <v>1472</v>
      </c>
      <c r="Y231" s="3884" t="s">
        <v>1442</v>
      </c>
      <c r="Z231" s="1097"/>
      <c r="AA231" s="1098"/>
      <c r="AB231" s="1098"/>
      <c r="AC231" s="1102"/>
      <c r="AD231" s="1102"/>
      <c r="AE231" s="1103"/>
      <c r="AF231" s="3876"/>
      <c r="AG231" s="3877"/>
      <c r="AH231" s="3877"/>
      <c r="AI231" s="3876"/>
      <c r="AJ231" s="3877"/>
      <c r="AK231" s="3877"/>
      <c r="AL231" s="1874"/>
      <c r="AM231" s="1714"/>
      <c r="AN231" s="1714"/>
      <c r="AO231" s="1714"/>
      <c r="AP231" s="1714"/>
      <c r="AQ231" s="1714"/>
      <c r="AR231" s="1714"/>
      <c r="AS231" s="1714"/>
      <c r="AT231" s="1714"/>
      <c r="AU231" s="1714"/>
      <c r="AV231" s="1714"/>
      <c r="AW231" s="1714"/>
      <c r="AX231" s="1714"/>
      <c r="AY231" s="1714"/>
      <c r="AZ231" s="1714"/>
      <c r="BA231" s="1714"/>
      <c r="BB231" s="1714"/>
      <c r="BC231" s="1714"/>
      <c r="BD231" s="1714"/>
      <c r="BE231" s="1714"/>
      <c r="BF231" s="1714"/>
    </row>
    <row r="232" spans="1:58" ht="11.25" customHeight="1">
      <c r="A232" s="1088" t="s">
        <v>1345</v>
      </c>
      <c r="D232" s="1082"/>
      <c r="E232" s="1092"/>
      <c r="F232" s="3895"/>
      <c r="G232" s="3875"/>
      <c r="H232" s="3885" t="s">
        <v>89</v>
      </c>
      <c r="I232" s="3886"/>
      <c r="J232" s="3883"/>
      <c r="K232" s="3887"/>
      <c r="L232" s="3599"/>
      <c r="M232" s="3600"/>
      <c r="N232" s="3878"/>
      <c r="O232" s="3879"/>
      <c r="P232" s="3881"/>
      <c r="Q232" s="3883"/>
      <c r="R232" s="3874"/>
      <c r="S232" s="3884"/>
      <c r="T232" s="3874"/>
      <c r="U232" s="3874"/>
      <c r="V232" s="3874"/>
      <c r="W232" s="3874"/>
      <c r="X232" s="3874"/>
      <c r="Y232" s="3874"/>
      <c r="Z232" s="1719"/>
      <c r="AA232" s="1686">
        <v>1</v>
      </c>
      <c r="AB232" s="1101" t="s">
        <v>1473</v>
      </c>
      <c r="AC232" s="1091">
        <v>5076.55</v>
      </c>
      <c r="AD232" s="1101" t="str">
        <f>AB232</f>
        <v xml:space="preserve">  Кредиты</v>
      </c>
      <c r="AE232" s="1091">
        <v>10688.26</v>
      </c>
      <c r="AF232" s="3876"/>
      <c r="AG232" s="3877"/>
      <c r="AH232" s="3877"/>
      <c r="AI232" s="3876"/>
      <c r="AJ232" s="3877"/>
      <c r="AK232" s="3877"/>
      <c r="AL232" s="1874"/>
      <c r="AM232" s="1714"/>
      <c r="AN232" s="1714"/>
      <c r="AO232" s="1714"/>
      <c r="AP232" s="1714"/>
      <c r="AQ232" s="1714"/>
      <c r="AR232" s="1714"/>
      <c r="AS232" s="1714"/>
      <c r="AT232" s="1714"/>
      <c r="AU232" s="1714"/>
      <c r="AV232" s="1714"/>
      <c r="AW232" s="1714"/>
      <c r="AX232" s="1714"/>
      <c r="AY232" s="1714"/>
      <c r="AZ232" s="1714"/>
      <c r="BA232" s="1714"/>
      <c r="BB232" s="1714"/>
      <c r="BC232" s="1714"/>
      <c r="BD232" s="1714"/>
      <c r="BE232" s="1714"/>
      <c r="BF232" s="1714"/>
    </row>
    <row r="233" spans="1:58" ht="11.25" customHeight="1">
      <c r="A233" s="1088" t="s">
        <v>1345</v>
      </c>
      <c r="D233" s="1082"/>
      <c r="E233" s="1092"/>
      <c r="F233" s="3895"/>
      <c r="G233" s="3875"/>
      <c r="H233" s="3885" t="s">
        <v>89</v>
      </c>
      <c r="I233" s="3886"/>
      <c r="J233" s="3883"/>
      <c r="K233" s="3887"/>
      <c r="L233" s="3599"/>
      <c r="M233" s="3600"/>
      <c r="N233" s="3878"/>
      <c r="O233" s="3879"/>
      <c r="P233" s="3882"/>
      <c r="Q233" s="3883"/>
      <c r="R233" s="3874"/>
      <c r="S233" s="3884"/>
      <c r="T233" s="3874"/>
      <c r="U233" s="3874"/>
      <c r="V233" s="3874"/>
      <c r="W233" s="3874"/>
      <c r="X233" s="3874"/>
      <c r="Y233" s="3874"/>
      <c r="Z233" s="1097"/>
      <c r="AA233" s="1098"/>
      <c r="AB233" s="1163" t="s">
        <v>1444</v>
      </c>
      <c r="AC233" s="1102"/>
      <c r="AD233" s="1102"/>
      <c r="AE233" s="1104"/>
      <c r="AF233" s="3876"/>
      <c r="AG233" s="3877"/>
      <c r="AH233" s="3877"/>
      <c r="AI233" s="3876"/>
      <c r="AJ233" s="3877"/>
      <c r="AK233" s="3877"/>
      <c r="AL233" s="1874"/>
      <c r="AM233" s="1714"/>
      <c r="AN233" s="1714"/>
      <c r="AO233" s="1714"/>
      <c r="AP233" s="1714"/>
      <c r="AQ233" s="1714"/>
      <c r="AR233" s="1714"/>
      <c r="AS233" s="1714"/>
      <c r="AT233" s="1714"/>
      <c r="AU233" s="1714"/>
      <c r="AV233" s="1714"/>
      <c r="AW233" s="1714"/>
      <c r="AX233" s="1714"/>
      <c r="AY233" s="1714"/>
      <c r="AZ233" s="1714"/>
      <c r="BA233" s="1714"/>
      <c r="BB233" s="1714"/>
      <c r="BC233" s="1714"/>
      <c r="BD233" s="1714"/>
      <c r="BE233" s="1714"/>
      <c r="BF233" s="1714"/>
    </row>
    <row r="234" spans="1:58" ht="11.25" customHeight="1">
      <c r="A234" s="1088" t="s">
        <v>1345</v>
      </c>
      <c r="D234" s="1082"/>
      <c r="E234" s="1092"/>
      <c r="F234" s="3895"/>
      <c r="G234" s="3875"/>
      <c r="H234" s="3885" t="s">
        <v>89</v>
      </c>
      <c r="I234" s="3886"/>
      <c r="J234" s="3883"/>
      <c r="K234" s="3887"/>
      <c r="L234" s="3599"/>
      <c r="M234" s="3600"/>
      <c r="N234" s="1097"/>
      <c r="O234" s="1098"/>
      <c r="P234" s="1090" t="s">
        <v>1445</v>
      </c>
      <c r="Q234" s="1098"/>
      <c r="R234" s="1098"/>
      <c r="S234" s="1098"/>
      <c r="T234" s="1098"/>
      <c r="U234" s="1098"/>
      <c r="V234" s="1098"/>
      <c r="W234" s="1098"/>
      <c r="X234" s="1098"/>
      <c r="Y234" s="1098"/>
      <c r="Z234" s="1098"/>
      <c r="AA234" s="1098"/>
      <c r="AB234" s="1098"/>
      <c r="AC234" s="1098"/>
      <c r="AD234" s="1098"/>
      <c r="AE234" s="1105"/>
      <c r="AF234" s="3876"/>
      <c r="AG234" s="3877"/>
      <c r="AH234" s="3877"/>
      <c r="AI234" s="3876"/>
      <c r="AJ234" s="3877"/>
      <c r="AK234" s="3877"/>
      <c r="AL234" s="1874"/>
      <c r="AM234" s="1714"/>
      <c r="AN234" s="1714"/>
      <c r="AO234" s="1714"/>
      <c r="AP234" s="1714"/>
      <c r="AQ234" s="1714"/>
      <c r="AR234" s="1714"/>
      <c r="AS234" s="1714"/>
      <c r="AT234" s="1714"/>
      <c r="AU234" s="1714"/>
      <c r="AV234" s="1714"/>
      <c r="AW234" s="1714"/>
      <c r="AX234" s="1714"/>
      <c r="AY234" s="1714"/>
      <c r="AZ234" s="1714"/>
      <c r="BA234" s="1714"/>
      <c r="BB234" s="1714"/>
      <c r="BC234" s="1714"/>
      <c r="BD234" s="1714"/>
      <c r="BE234" s="1714"/>
      <c r="BF234" s="1714"/>
    </row>
    <row r="235" spans="1:58" ht="11.25" customHeight="1">
      <c r="A235" s="1088" t="s">
        <v>1345</v>
      </c>
      <c r="D235" s="1082"/>
      <c r="E235" s="1092"/>
      <c r="F235" s="3895"/>
      <c r="G235" s="3853" t="s">
        <v>90</v>
      </c>
      <c r="H235" s="3885" t="s">
        <v>79</v>
      </c>
      <c r="I235" s="3886"/>
      <c r="J235" s="3883"/>
      <c r="K235" s="3887" t="s">
        <v>1480</v>
      </c>
      <c r="L235" s="3599" t="s">
        <v>6</v>
      </c>
      <c r="M235" s="3600"/>
      <c r="N235" s="1872"/>
      <c r="O235" s="1099" t="s">
        <v>421</v>
      </c>
      <c r="P235" s="1100"/>
      <c r="Q235" s="1100"/>
      <c r="R235" s="1100"/>
      <c r="S235" s="1100"/>
      <c r="T235" s="1100"/>
      <c r="U235" s="1100"/>
      <c r="V235" s="1100"/>
      <c r="W235" s="1100"/>
      <c r="X235" s="1100"/>
      <c r="Y235" s="1100"/>
      <c r="Z235" s="1100"/>
      <c r="AA235" s="1100"/>
      <c r="AB235" s="1100"/>
      <c r="AC235" s="1100"/>
      <c r="AD235" s="1100"/>
      <c r="AE235" s="1100"/>
      <c r="AF235" s="3876">
        <v>2019</v>
      </c>
      <c r="AG235" s="3877" t="s">
        <v>1447</v>
      </c>
      <c r="AH235" s="3877" t="s">
        <v>1460</v>
      </c>
      <c r="AI235" s="3876">
        <v>2019</v>
      </c>
      <c r="AJ235" s="3877" t="s">
        <v>1447</v>
      </c>
      <c r="AK235" s="3877" t="s">
        <v>1460</v>
      </c>
      <c r="AL235" s="1874"/>
      <c r="AM235" s="1714"/>
      <c r="AN235" s="1714"/>
      <c r="AO235" s="1714"/>
      <c r="AP235" s="1714"/>
      <c r="AQ235" s="1714"/>
      <c r="AR235" s="1714"/>
      <c r="AS235" s="1714"/>
      <c r="AT235" s="1714"/>
      <c r="AU235" s="1714"/>
      <c r="AV235" s="1714"/>
      <c r="AW235" s="1714"/>
      <c r="AX235" s="1714"/>
      <c r="AY235" s="1714"/>
      <c r="AZ235" s="1714"/>
      <c r="BA235" s="1714"/>
      <c r="BB235" s="1714"/>
      <c r="BC235" s="1714"/>
      <c r="BD235" s="1714"/>
      <c r="BE235" s="1714"/>
      <c r="BF235" s="1714"/>
    </row>
    <row r="236" spans="1:58" ht="11.25" customHeight="1">
      <c r="A236" s="1088" t="s">
        <v>1345</v>
      </c>
      <c r="D236" s="1082"/>
      <c r="E236" s="1092"/>
      <c r="F236" s="3895"/>
      <c r="G236" s="3875"/>
      <c r="H236" s="3885" t="s">
        <v>78</v>
      </c>
      <c r="I236" s="3886"/>
      <c r="J236" s="3883"/>
      <c r="K236" s="3887"/>
      <c r="L236" s="3599"/>
      <c r="M236" s="3600"/>
      <c r="N236" s="3878"/>
      <c r="O236" s="3879">
        <v>1</v>
      </c>
      <c r="P236" s="3880" t="s">
        <v>50</v>
      </c>
      <c r="Q236" s="3883" t="s">
        <v>1476</v>
      </c>
      <c r="R236" s="3884" t="s">
        <v>1438</v>
      </c>
      <c r="S236" s="3884" t="s">
        <v>92</v>
      </c>
      <c r="T236" s="3884" t="s">
        <v>92</v>
      </c>
      <c r="U236" s="3884" t="s">
        <v>93</v>
      </c>
      <c r="V236" s="3884" t="s">
        <v>1462</v>
      </c>
      <c r="W236" s="3884" t="s">
        <v>1463</v>
      </c>
      <c r="X236" s="3884" t="s">
        <v>1477</v>
      </c>
      <c r="Y236" s="3884" t="s">
        <v>1478</v>
      </c>
      <c r="Z236" s="1097"/>
      <c r="AA236" s="1098"/>
      <c r="AB236" s="1098"/>
      <c r="AC236" s="1102"/>
      <c r="AD236" s="1102"/>
      <c r="AE236" s="1103"/>
      <c r="AF236" s="3876"/>
      <c r="AG236" s="3877"/>
      <c r="AH236" s="3877"/>
      <c r="AI236" s="3876"/>
      <c r="AJ236" s="3877"/>
      <c r="AK236" s="3877"/>
      <c r="AL236" s="1874"/>
      <c r="AM236" s="1714"/>
      <c r="AN236" s="1714"/>
      <c r="AO236" s="1714"/>
      <c r="AP236" s="1714"/>
      <c r="AQ236" s="1714"/>
      <c r="AR236" s="1714"/>
      <c r="AS236" s="1714"/>
      <c r="AT236" s="1714"/>
      <c r="AU236" s="1714"/>
      <c r="AV236" s="1714"/>
      <c r="AW236" s="1714"/>
      <c r="AX236" s="1714"/>
      <c r="AY236" s="1714"/>
      <c r="AZ236" s="1714"/>
      <c r="BA236" s="1714"/>
      <c r="BB236" s="1714"/>
      <c r="BC236" s="1714"/>
      <c r="BD236" s="1714"/>
      <c r="BE236" s="1714"/>
      <c r="BF236" s="1714"/>
    </row>
    <row r="237" spans="1:58" ht="11.25" customHeight="1">
      <c r="A237" s="1088" t="s">
        <v>1345</v>
      </c>
      <c r="D237" s="1082"/>
      <c r="E237" s="1092"/>
      <c r="F237" s="3895"/>
      <c r="G237" s="3875"/>
      <c r="H237" s="3885" t="s">
        <v>78</v>
      </c>
      <c r="I237" s="3886"/>
      <c r="J237" s="3883"/>
      <c r="K237" s="3887"/>
      <c r="L237" s="3599"/>
      <c r="M237" s="3600"/>
      <c r="N237" s="3878"/>
      <c r="O237" s="3879"/>
      <c r="P237" s="3881"/>
      <c r="Q237" s="3883"/>
      <c r="R237" s="3874"/>
      <c r="S237" s="3884"/>
      <c r="T237" s="3874"/>
      <c r="U237" s="3874"/>
      <c r="V237" s="3874"/>
      <c r="W237" s="3874"/>
      <c r="X237" s="3874"/>
      <c r="Y237" s="3874"/>
      <c r="Z237" s="1719"/>
      <c r="AA237" s="1686">
        <v>1</v>
      </c>
      <c r="AB237" s="1101" t="s">
        <v>1453</v>
      </c>
      <c r="AC237" s="1091">
        <v>1225.25</v>
      </c>
      <c r="AD237" s="1101" t="str">
        <f>AB237</f>
        <v xml:space="preserve">      Амортизационные отчисления с выделением результатов переоценки основных средств и нематериальных активов</v>
      </c>
      <c r="AE237" s="1091">
        <v>1225.25</v>
      </c>
      <c r="AF237" s="3876"/>
      <c r="AG237" s="3877"/>
      <c r="AH237" s="3877"/>
      <c r="AI237" s="3876"/>
      <c r="AJ237" s="3877"/>
      <c r="AK237" s="3877"/>
      <c r="AL237" s="1874"/>
      <c r="AM237" s="1714"/>
      <c r="AN237" s="1714"/>
      <c r="AO237" s="1714"/>
      <c r="AP237" s="1714"/>
      <c r="AQ237" s="1714"/>
      <c r="AR237" s="1714"/>
      <c r="AS237" s="1714"/>
      <c r="AT237" s="1714"/>
      <c r="AU237" s="1714"/>
      <c r="AV237" s="1714"/>
      <c r="AW237" s="1714"/>
      <c r="AX237" s="1714"/>
      <c r="AY237" s="1714"/>
      <c r="AZ237" s="1714"/>
      <c r="BA237" s="1714"/>
      <c r="BB237" s="1714"/>
      <c r="BC237" s="1714"/>
      <c r="BD237" s="1714"/>
      <c r="BE237" s="1714"/>
      <c r="BF237" s="1714"/>
    </row>
    <row r="238" spans="1:58" ht="11.25" customHeight="1">
      <c r="A238" s="1088" t="s">
        <v>1345</v>
      </c>
      <c r="D238" s="1082"/>
      <c r="E238" s="1092"/>
      <c r="F238" s="3875"/>
      <c r="G238" s="3875"/>
      <c r="H238" s="3875"/>
      <c r="I238" s="3875"/>
      <c r="J238" s="3875"/>
      <c r="K238" s="3875"/>
      <c r="L238" s="3875"/>
      <c r="M238" s="3875"/>
      <c r="N238" s="3875"/>
      <c r="O238" s="3875"/>
      <c r="P238" s="3875"/>
      <c r="Q238" s="3875"/>
      <c r="R238" s="3875"/>
      <c r="S238" s="3875"/>
      <c r="T238" s="3875"/>
      <c r="U238" s="3875"/>
      <c r="V238" s="3875"/>
      <c r="W238" s="3875"/>
      <c r="X238" s="3875"/>
      <c r="Y238" s="3875"/>
      <c r="Z238" s="617" t="s">
        <v>90</v>
      </c>
      <c r="AA238" s="1706" t="s">
        <v>89</v>
      </c>
      <c r="AB238" s="1101" t="s">
        <v>1443</v>
      </c>
      <c r="AC238" s="1091">
        <v>4137.12</v>
      </c>
      <c r="AD238" s="1101" t="str">
        <f>AB238</f>
        <v xml:space="preserve">  Прибыль направляемая на инвестиции</v>
      </c>
      <c r="AE238" s="1091">
        <v>4137.12</v>
      </c>
      <c r="AF238" s="3902"/>
      <c r="AG238" s="3903"/>
      <c r="AH238" s="3903"/>
      <c r="AI238" s="3902"/>
      <c r="AJ238" s="3903"/>
      <c r="AK238" s="3904"/>
      <c r="AL238" s="1874"/>
      <c r="AM238" s="1714"/>
      <c r="AN238" s="1714"/>
      <c r="AO238" s="1714"/>
      <c r="AP238" s="1714"/>
      <c r="AQ238" s="1714"/>
      <c r="AR238" s="1714"/>
      <c r="AS238" s="1714"/>
      <c r="AT238" s="1714"/>
      <c r="AU238" s="1714"/>
      <c r="AV238" s="1714"/>
      <c r="AW238" s="1714"/>
      <c r="AX238" s="1714"/>
      <c r="AY238" s="1714"/>
      <c r="AZ238" s="1714"/>
      <c r="BA238" s="1714"/>
      <c r="BB238" s="1714"/>
      <c r="BC238" s="1714"/>
      <c r="BD238" s="1714"/>
      <c r="BE238" s="1714"/>
      <c r="BF238" s="1714"/>
    </row>
    <row r="239" spans="1:58" ht="11.25" customHeight="1">
      <c r="A239" s="1088" t="s">
        <v>1345</v>
      </c>
      <c r="D239" s="1082"/>
      <c r="E239" s="1092"/>
      <c r="F239" s="3875"/>
      <c r="G239" s="3875"/>
      <c r="H239" s="3875"/>
      <c r="I239" s="3875"/>
      <c r="J239" s="3875"/>
      <c r="K239" s="3875"/>
      <c r="L239" s="3875"/>
      <c r="M239" s="3875"/>
      <c r="N239" s="3875"/>
      <c r="O239" s="3875"/>
      <c r="P239" s="3875"/>
      <c r="Q239" s="3875"/>
      <c r="R239" s="3875"/>
      <c r="S239" s="3875"/>
      <c r="T239" s="3875"/>
      <c r="U239" s="3875"/>
      <c r="V239" s="3875"/>
      <c r="W239" s="3875"/>
      <c r="X239" s="3875"/>
      <c r="Y239" s="3875"/>
      <c r="Z239" s="617" t="s">
        <v>90</v>
      </c>
      <c r="AA239" s="1706" t="s">
        <v>78</v>
      </c>
      <c r="AB239" s="1101" t="s">
        <v>1473</v>
      </c>
      <c r="AC239" s="1091">
        <v>1602.37</v>
      </c>
      <c r="AD239" s="1101" t="str">
        <f>AB239</f>
        <v xml:space="preserve">  Кредиты</v>
      </c>
      <c r="AE239" s="1091">
        <v>13105.35</v>
      </c>
      <c r="AF239" s="3902"/>
      <c r="AG239" s="3903"/>
      <c r="AH239" s="3903"/>
      <c r="AI239" s="3902"/>
      <c r="AJ239" s="3903"/>
      <c r="AK239" s="3904"/>
      <c r="AL239" s="1874"/>
      <c r="AM239" s="1714"/>
      <c r="AN239" s="1714"/>
      <c r="AO239" s="1714"/>
      <c r="AP239" s="1714"/>
      <c r="AQ239" s="1714"/>
      <c r="AR239" s="1714"/>
      <c r="AS239" s="1714"/>
      <c r="AT239" s="1714"/>
      <c r="AU239" s="1714"/>
      <c r="AV239" s="1714"/>
      <c r="AW239" s="1714"/>
      <c r="AX239" s="1714"/>
      <c r="AY239" s="1714"/>
      <c r="AZ239" s="1714"/>
      <c r="BA239" s="1714"/>
      <c r="BB239" s="1714"/>
      <c r="BC239" s="1714"/>
      <c r="BD239" s="1714"/>
      <c r="BE239" s="1714"/>
      <c r="BF239" s="1714"/>
    </row>
    <row r="240" spans="1:58" ht="11.25" customHeight="1">
      <c r="A240" s="1088" t="s">
        <v>1345</v>
      </c>
      <c r="D240" s="1082"/>
      <c r="E240" s="1092"/>
      <c r="F240" s="3895"/>
      <c r="G240" s="3875"/>
      <c r="H240" s="3885" t="s">
        <v>78</v>
      </c>
      <c r="I240" s="3886"/>
      <c r="J240" s="3883"/>
      <c r="K240" s="3887"/>
      <c r="L240" s="3599"/>
      <c r="M240" s="3600"/>
      <c r="N240" s="3878"/>
      <c r="O240" s="3879"/>
      <c r="P240" s="3882"/>
      <c r="Q240" s="3883"/>
      <c r="R240" s="3874"/>
      <c r="S240" s="3884"/>
      <c r="T240" s="3874"/>
      <c r="U240" s="3874"/>
      <c r="V240" s="3874"/>
      <c r="W240" s="3874"/>
      <c r="X240" s="3874"/>
      <c r="Y240" s="3874"/>
      <c r="Z240" s="1097"/>
      <c r="AA240" s="1098"/>
      <c r="AB240" s="1163" t="s">
        <v>1444</v>
      </c>
      <c r="AC240" s="1102"/>
      <c r="AD240" s="1102"/>
      <c r="AE240" s="1104"/>
      <c r="AF240" s="3876"/>
      <c r="AG240" s="3877"/>
      <c r="AH240" s="3877"/>
      <c r="AI240" s="3876"/>
      <c r="AJ240" s="3877"/>
      <c r="AK240" s="3877"/>
      <c r="AL240" s="1874"/>
      <c r="AM240" s="1714"/>
      <c r="AN240" s="1714"/>
      <c r="AO240" s="1714"/>
      <c r="AP240" s="1714"/>
      <c r="AQ240" s="1714"/>
      <c r="AR240" s="1714"/>
      <c r="AS240" s="1714"/>
      <c r="AT240" s="1714"/>
      <c r="AU240" s="1714"/>
      <c r="AV240" s="1714"/>
      <c r="AW240" s="1714"/>
      <c r="AX240" s="1714"/>
      <c r="AY240" s="1714"/>
      <c r="AZ240" s="1714"/>
      <c r="BA240" s="1714"/>
      <c r="BB240" s="1714"/>
      <c r="BC240" s="1714"/>
      <c r="BD240" s="1714"/>
      <c r="BE240" s="1714"/>
      <c r="BF240" s="1714"/>
    </row>
    <row r="241" spans="1:58" ht="11.25" customHeight="1">
      <c r="A241" s="1088" t="s">
        <v>1345</v>
      </c>
      <c r="D241" s="1082"/>
      <c r="E241" s="1092"/>
      <c r="F241" s="3895"/>
      <c r="G241" s="3875"/>
      <c r="H241" s="3885" t="s">
        <v>78</v>
      </c>
      <c r="I241" s="3886"/>
      <c r="J241" s="3883"/>
      <c r="K241" s="3887"/>
      <c r="L241" s="3599"/>
      <c r="M241" s="3600"/>
      <c r="N241" s="1097"/>
      <c r="O241" s="1098"/>
      <c r="P241" s="1090" t="s">
        <v>1445</v>
      </c>
      <c r="Q241" s="1098"/>
      <c r="R241" s="1098"/>
      <c r="S241" s="1098"/>
      <c r="T241" s="1098"/>
      <c r="U241" s="1098"/>
      <c r="V241" s="1098"/>
      <c r="W241" s="1098"/>
      <c r="X241" s="1098"/>
      <c r="Y241" s="1098"/>
      <c r="Z241" s="1098"/>
      <c r="AA241" s="1098"/>
      <c r="AB241" s="1098"/>
      <c r="AC241" s="1098"/>
      <c r="AD241" s="1098"/>
      <c r="AE241" s="1105"/>
      <c r="AF241" s="3876"/>
      <c r="AG241" s="3877"/>
      <c r="AH241" s="3877"/>
      <c r="AI241" s="3876"/>
      <c r="AJ241" s="3877"/>
      <c r="AK241" s="3877"/>
      <c r="AL241" s="1874"/>
      <c r="AM241" s="1714"/>
      <c r="AN241" s="1714"/>
      <c r="AO241" s="1714"/>
      <c r="AP241" s="1714"/>
      <c r="AQ241" s="1714"/>
      <c r="AR241" s="1714"/>
      <c r="AS241" s="1714"/>
      <c r="AT241" s="1714"/>
      <c r="AU241" s="1714"/>
      <c r="AV241" s="1714"/>
      <c r="AW241" s="1714"/>
      <c r="AX241" s="1714"/>
      <c r="AY241" s="1714"/>
      <c r="AZ241" s="1714"/>
      <c r="BA241" s="1714"/>
      <c r="BB241" s="1714"/>
      <c r="BC241" s="1714"/>
      <c r="BD241" s="1714"/>
      <c r="BE241" s="1714"/>
      <c r="BF241" s="1714"/>
    </row>
    <row r="242" spans="1:58" ht="11.25" customHeight="1">
      <c r="A242" s="1088" t="s">
        <v>1345</v>
      </c>
      <c r="D242" s="1082"/>
      <c r="E242" s="1092"/>
      <c r="F242" s="3895"/>
      <c r="G242" s="3853" t="s">
        <v>90</v>
      </c>
      <c r="H242" s="3885" t="s">
        <v>100</v>
      </c>
      <c r="I242" s="3886"/>
      <c r="J242" s="3883"/>
      <c r="K242" s="3887" t="s">
        <v>1481</v>
      </c>
      <c r="L242" s="3599" t="s">
        <v>6</v>
      </c>
      <c r="M242" s="3600"/>
      <c r="N242" s="1872"/>
      <c r="O242" s="1099" t="s">
        <v>421</v>
      </c>
      <c r="P242" s="1100"/>
      <c r="Q242" s="1100"/>
      <c r="R242" s="1100"/>
      <c r="S242" s="1100"/>
      <c r="T242" s="1100"/>
      <c r="U242" s="1100"/>
      <c r="V242" s="1100"/>
      <c r="W242" s="1100"/>
      <c r="X242" s="1100"/>
      <c r="Y242" s="1100"/>
      <c r="Z242" s="1100"/>
      <c r="AA242" s="1100"/>
      <c r="AB242" s="1100"/>
      <c r="AC242" s="1100"/>
      <c r="AD242" s="1100"/>
      <c r="AE242" s="1100"/>
      <c r="AF242" s="3876">
        <v>2019</v>
      </c>
      <c r="AG242" s="3877" t="s">
        <v>1447</v>
      </c>
      <c r="AH242" s="3877" t="s">
        <v>1460</v>
      </c>
      <c r="AI242" s="3876">
        <v>2019</v>
      </c>
      <c r="AJ242" s="3877" t="s">
        <v>1447</v>
      </c>
      <c r="AK242" s="3877" t="s">
        <v>1460</v>
      </c>
      <c r="AL242" s="1874"/>
      <c r="AM242" s="1714"/>
      <c r="AN242" s="1714"/>
      <c r="AO242" s="1714"/>
      <c r="AP242" s="1714"/>
      <c r="AQ242" s="1714"/>
      <c r="AR242" s="1714"/>
      <c r="AS242" s="1714"/>
      <c r="AT242" s="1714"/>
      <c r="AU242" s="1714"/>
      <c r="AV242" s="1714"/>
      <c r="AW242" s="1714"/>
      <c r="AX242" s="1714"/>
      <c r="AY242" s="1714"/>
      <c r="AZ242" s="1714"/>
      <c r="BA242" s="1714"/>
      <c r="BB242" s="1714"/>
      <c r="BC242" s="1714"/>
      <c r="BD242" s="1714"/>
      <c r="BE242" s="1714"/>
      <c r="BF242" s="1714"/>
    </row>
    <row r="243" spans="1:58" ht="11.25" customHeight="1">
      <c r="A243" s="1088" t="s">
        <v>1345</v>
      </c>
      <c r="D243" s="1082"/>
      <c r="E243" s="1092"/>
      <c r="F243" s="3895"/>
      <c r="G243" s="3875"/>
      <c r="H243" s="3885" t="s">
        <v>79</v>
      </c>
      <c r="I243" s="3886"/>
      <c r="J243" s="3883"/>
      <c r="K243" s="3887"/>
      <c r="L243" s="3599"/>
      <c r="M243" s="3600"/>
      <c r="N243" s="3878"/>
      <c r="O243" s="3879">
        <v>1</v>
      </c>
      <c r="P243" s="3880" t="s">
        <v>50</v>
      </c>
      <c r="Q243" s="3883" t="s">
        <v>1476</v>
      </c>
      <c r="R243" s="3884" t="s">
        <v>1438</v>
      </c>
      <c r="S243" s="3884" t="s">
        <v>92</v>
      </c>
      <c r="T243" s="3884" t="s">
        <v>92</v>
      </c>
      <c r="U243" s="3884" t="s">
        <v>93</v>
      </c>
      <c r="V243" s="3884" t="s">
        <v>1462</v>
      </c>
      <c r="W243" s="3884" t="s">
        <v>1463</v>
      </c>
      <c r="X243" s="3884" t="s">
        <v>1477</v>
      </c>
      <c r="Y243" s="3884" t="s">
        <v>1478</v>
      </c>
      <c r="Z243" s="1097"/>
      <c r="AA243" s="1098"/>
      <c r="AB243" s="1098"/>
      <c r="AC243" s="1102"/>
      <c r="AD243" s="1102"/>
      <c r="AE243" s="1103"/>
      <c r="AF243" s="3876"/>
      <c r="AG243" s="3877"/>
      <c r="AH243" s="3877"/>
      <c r="AI243" s="3876"/>
      <c r="AJ243" s="3877"/>
      <c r="AK243" s="3877"/>
      <c r="AL243" s="1874"/>
      <c r="AM243" s="1714"/>
      <c r="AN243" s="1714"/>
      <c r="AO243" s="1714"/>
      <c r="AP243" s="1714"/>
      <c r="AQ243" s="1714"/>
      <c r="AR243" s="1714"/>
      <c r="AS243" s="1714"/>
      <c r="AT243" s="1714"/>
      <c r="AU243" s="1714"/>
      <c r="AV243" s="1714"/>
      <c r="AW243" s="1714"/>
      <c r="AX243" s="1714"/>
      <c r="AY243" s="1714"/>
      <c r="AZ243" s="1714"/>
      <c r="BA243" s="1714"/>
      <c r="BB243" s="1714"/>
      <c r="BC243" s="1714"/>
      <c r="BD243" s="1714"/>
      <c r="BE243" s="1714"/>
      <c r="BF243" s="1714"/>
    </row>
    <row r="244" spans="1:58" ht="11.25" customHeight="1">
      <c r="A244" s="1088" t="s">
        <v>1345</v>
      </c>
      <c r="D244" s="1082"/>
      <c r="E244" s="1092"/>
      <c r="F244" s="3895"/>
      <c r="G244" s="3875"/>
      <c r="H244" s="3885" t="s">
        <v>79</v>
      </c>
      <c r="I244" s="3886"/>
      <c r="J244" s="3883"/>
      <c r="K244" s="3887"/>
      <c r="L244" s="3599"/>
      <c r="M244" s="3600"/>
      <c r="N244" s="3878"/>
      <c r="O244" s="3879"/>
      <c r="P244" s="3881"/>
      <c r="Q244" s="3883"/>
      <c r="R244" s="3874"/>
      <c r="S244" s="3884"/>
      <c r="T244" s="3874"/>
      <c r="U244" s="3874"/>
      <c r="V244" s="3874"/>
      <c r="W244" s="3874"/>
      <c r="X244" s="3874"/>
      <c r="Y244" s="3874"/>
      <c r="Z244" s="1719"/>
      <c r="AA244" s="1686">
        <v>1</v>
      </c>
      <c r="AB244" s="1101" t="s">
        <v>1453</v>
      </c>
      <c r="AC244" s="1091">
        <v>470.99</v>
      </c>
      <c r="AD244" s="1101" t="str">
        <f>AB244</f>
        <v xml:space="preserve">      Амортизационные отчисления с выделением результатов переоценки основных средств и нематериальных активов</v>
      </c>
      <c r="AE244" s="1091">
        <v>2542.89</v>
      </c>
      <c r="AF244" s="3876"/>
      <c r="AG244" s="3877"/>
      <c r="AH244" s="3877"/>
      <c r="AI244" s="3876"/>
      <c r="AJ244" s="3877"/>
      <c r="AK244" s="3877"/>
      <c r="AL244" s="1874"/>
      <c r="AM244" s="1714"/>
      <c r="AN244" s="1714"/>
      <c r="AO244" s="1714"/>
      <c r="AP244" s="1714"/>
      <c r="AQ244" s="1714"/>
      <c r="AR244" s="1714"/>
      <c r="AS244" s="1714"/>
      <c r="AT244" s="1714"/>
      <c r="AU244" s="1714"/>
      <c r="AV244" s="1714"/>
      <c r="AW244" s="1714"/>
      <c r="AX244" s="1714"/>
      <c r="AY244" s="1714"/>
      <c r="AZ244" s="1714"/>
      <c r="BA244" s="1714"/>
      <c r="BB244" s="1714"/>
      <c r="BC244" s="1714"/>
      <c r="BD244" s="1714"/>
      <c r="BE244" s="1714"/>
      <c r="BF244" s="1714"/>
    </row>
    <row r="245" spans="1:58" ht="11.25" customHeight="1">
      <c r="A245" s="1088" t="s">
        <v>1345</v>
      </c>
      <c r="D245" s="1082"/>
      <c r="E245" s="1092"/>
      <c r="F245" s="3895"/>
      <c r="G245" s="3875"/>
      <c r="H245" s="3885" t="s">
        <v>79</v>
      </c>
      <c r="I245" s="3886"/>
      <c r="J245" s="3883"/>
      <c r="K245" s="3887"/>
      <c r="L245" s="3599"/>
      <c r="M245" s="3600"/>
      <c r="N245" s="3878"/>
      <c r="O245" s="3879"/>
      <c r="P245" s="3882"/>
      <c r="Q245" s="3883"/>
      <c r="R245" s="3874"/>
      <c r="S245" s="3884"/>
      <c r="T245" s="3874"/>
      <c r="U245" s="3874"/>
      <c r="V245" s="3874"/>
      <c r="W245" s="3874"/>
      <c r="X245" s="3874"/>
      <c r="Y245" s="3874"/>
      <c r="Z245" s="1097"/>
      <c r="AA245" s="1098"/>
      <c r="AB245" s="1163" t="s">
        <v>1444</v>
      </c>
      <c r="AC245" s="1102"/>
      <c r="AD245" s="1102"/>
      <c r="AE245" s="1104"/>
      <c r="AF245" s="3876"/>
      <c r="AG245" s="3877"/>
      <c r="AH245" s="3877"/>
      <c r="AI245" s="3876"/>
      <c r="AJ245" s="3877"/>
      <c r="AK245" s="3877"/>
      <c r="AL245" s="1874"/>
      <c r="AM245" s="1714"/>
      <c r="AN245" s="1714"/>
      <c r="AO245" s="1714"/>
      <c r="AP245" s="1714"/>
      <c r="AQ245" s="1714"/>
      <c r="AR245" s="1714"/>
      <c r="AS245" s="1714"/>
      <c r="AT245" s="1714"/>
      <c r="AU245" s="1714"/>
      <c r="AV245" s="1714"/>
      <c r="AW245" s="1714"/>
      <c r="AX245" s="1714"/>
      <c r="AY245" s="1714"/>
      <c r="AZ245" s="1714"/>
      <c r="BA245" s="1714"/>
      <c r="BB245" s="1714"/>
      <c r="BC245" s="1714"/>
      <c r="BD245" s="1714"/>
      <c r="BE245" s="1714"/>
      <c r="BF245" s="1714"/>
    </row>
    <row r="246" spans="1:58" ht="11.25" customHeight="1">
      <c r="A246" s="1088" t="s">
        <v>1345</v>
      </c>
      <c r="D246" s="1082"/>
      <c r="E246" s="1092"/>
      <c r="F246" s="3895"/>
      <c r="G246" s="3875"/>
      <c r="H246" s="3885" t="s">
        <v>79</v>
      </c>
      <c r="I246" s="3886"/>
      <c r="J246" s="3883"/>
      <c r="K246" s="3887"/>
      <c r="L246" s="3599"/>
      <c r="M246" s="3600"/>
      <c r="N246" s="1097"/>
      <c r="O246" s="1098"/>
      <c r="P246" s="1090" t="s">
        <v>1445</v>
      </c>
      <c r="Q246" s="1098"/>
      <c r="R246" s="1098"/>
      <c r="S246" s="1098"/>
      <c r="T246" s="1098"/>
      <c r="U246" s="1098"/>
      <c r="V246" s="1098"/>
      <c r="W246" s="1098"/>
      <c r="X246" s="1098"/>
      <c r="Y246" s="1098"/>
      <c r="Z246" s="1098"/>
      <c r="AA246" s="1098"/>
      <c r="AB246" s="1098"/>
      <c r="AC246" s="1098"/>
      <c r="AD246" s="1098"/>
      <c r="AE246" s="1105"/>
      <c r="AF246" s="3876"/>
      <c r="AG246" s="3877"/>
      <c r="AH246" s="3877"/>
      <c r="AI246" s="3876"/>
      <c r="AJ246" s="3877"/>
      <c r="AK246" s="3877"/>
      <c r="AL246" s="1874"/>
      <c r="AM246" s="1714"/>
      <c r="AN246" s="1714"/>
      <c r="AO246" s="1714"/>
      <c r="AP246" s="1714"/>
      <c r="AQ246" s="1714"/>
      <c r="AR246" s="1714"/>
      <c r="AS246" s="1714"/>
      <c r="AT246" s="1714"/>
      <c r="AU246" s="1714"/>
      <c r="AV246" s="1714"/>
      <c r="AW246" s="1714"/>
      <c r="AX246" s="1714"/>
      <c r="AY246" s="1714"/>
      <c r="AZ246" s="1714"/>
      <c r="BA246" s="1714"/>
      <c r="BB246" s="1714"/>
      <c r="BC246" s="1714"/>
      <c r="BD246" s="1714"/>
      <c r="BE246" s="1714"/>
      <c r="BF246" s="1714"/>
    </row>
    <row r="247" spans="1:58" ht="12" customHeight="1">
      <c r="A247" s="1088" t="s">
        <v>1345</v>
      </c>
      <c r="D247" s="1082"/>
      <c r="E247" s="1092"/>
      <c r="F247" s="3896"/>
      <c r="G247" s="1112"/>
      <c r="H247" s="1112"/>
      <c r="I247" s="3893" t="s">
        <v>1451</v>
      </c>
      <c r="J247" s="3893"/>
      <c r="K247" s="3893"/>
      <c r="L247" s="1095"/>
      <c r="M247" s="1095"/>
      <c r="N247" s="1096"/>
      <c r="O247" s="1096"/>
      <c r="P247" s="1096"/>
      <c r="Q247" s="1096"/>
      <c r="R247" s="1096"/>
      <c r="S247" s="1096"/>
      <c r="T247" s="1096"/>
      <c r="U247" s="1096"/>
      <c r="V247" s="1096"/>
      <c r="W247" s="1096"/>
      <c r="X247" s="1096"/>
      <c r="Y247" s="1096"/>
      <c r="Z247" s="1096"/>
      <c r="AA247" s="1096"/>
      <c r="AB247" s="1096"/>
      <c r="AC247" s="1096"/>
      <c r="AD247" s="1096"/>
      <c r="AE247" s="1096"/>
      <c r="AF247" s="1096"/>
      <c r="AG247" s="1095"/>
      <c r="AH247" s="1095"/>
      <c r="AI247" s="1096"/>
      <c r="AJ247" s="1095"/>
      <c r="AK247" s="1096"/>
      <c r="AL247" s="1874"/>
      <c r="AM247" s="1714"/>
      <c r="AN247" s="1714"/>
      <c r="AO247" s="1714"/>
      <c r="AP247" s="1714"/>
      <c r="AQ247" s="1714"/>
      <c r="AR247" s="1714"/>
      <c r="AS247" s="1714"/>
      <c r="AT247" s="1714"/>
      <c r="AU247" s="1714"/>
      <c r="AV247" s="1714"/>
      <c r="AW247" s="1714"/>
      <c r="AX247" s="1714"/>
      <c r="AY247" s="1714"/>
      <c r="AZ247" s="1714"/>
      <c r="BA247" s="1714"/>
      <c r="BB247" s="1714"/>
      <c r="BC247" s="1714"/>
      <c r="BD247" s="1714"/>
      <c r="BE247" s="1714"/>
      <c r="BF247" s="1714"/>
    </row>
    <row r="248" spans="1:58" ht="0.75" customHeight="1">
      <c r="A248" s="1088" t="s">
        <v>1345</v>
      </c>
      <c r="D248" s="1082"/>
      <c r="E248" s="1092"/>
      <c r="F248" s="3894">
        <v>2020</v>
      </c>
      <c r="G248" s="3885"/>
      <c r="H248" s="3898" t="s">
        <v>421</v>
      </c>
      <c r="I248" s="3899"/>
      <c r="J248" s="3891"/>
      <c r="K248" s="3891"/>
      <c r="L248" s="3892"/>
      <c r="M248" s="3743"/>
      <c r="N248" s="1922"/>
      <c r="O248" s="1921"/>
      <c r="P248" s="1922"/>
      <c r="Q248" s="1922"/>
      <c r="R248" s="1922"/>
      <c r="S248" s="1922"/>
      <c r="T248" s="1922"/>
      <c r="U248" s="1922"/>
      <c r="V248" s="1922"/>
      <c r="W248" s="1922"/>
      <c r="X248" s="1922"/>
      <c r="Y248" s="1922"/>
      <c r="Z248" s="1922"/>
      <c r="AA248" s="1922"/>
      <c r="AB248" s="1922"/>
      <c r="AC248" s="1922"/>
      <c r="AD248" s="1922"/>
      <c r="AE248" s="1922"/>
      <c r="AF248" s="3897"/>
      <c r="AG248" s="3892"/>
      <c r="AH248" s="3892"/>
      <c r="AI248" s="3897"/>
      <c r="AJ248" s="3892"/>
      <c r="AK248" s="3892"/>
      <c r="AL248" s="1874"/>
      <c r="AM248" s="1714"/>
      <c r="AN248" s="1714"/>
      <c r="AO248" s="1714"/>
      <c r="AP248" s="1714"/>
      <c r="AQ248" s="1714"/>
      <c r="AR248" s="1714"/>
      <c r="AS248" s="1714"/>
      <c r="AT248" s="1714"/>
      <c r="AU248" s="1714"/>
      <c r="AV248" s="1714"/>
      <c r="AW248" s="1714"/>
      <c r="AX248" s="1714"/>
      <c r="AY248" s="1714"/>
      <c r="AZ248" s="1714"/>
      <c r="BA248" s="1714"/>
      <c r="BB248" s="1714"/>
      <c r="BC248" s="1714"/>
      <c r="BD248" s="1714"/>
      <c r="BE248" s="1714"/>
      <c r="BF248" s="1714"/>
    </row>
    <row r="249" spans="1:58" ht="0.75" customHeight="1">
      <c r="A249" s="1088" t="s">
        <v>1345</v>
      </c>
      <c r="D249" s="1082"/>
      <c r="E249" s="1092"/>
      <c r="F249" s="3894"/>
      <c r="G249" s="3885"/>
      <c r="H249" s="3898"/>
      <c r="I249" s="3899"/>
      <c r="J249" s="3891"/>
      <c r="K249" s="3891"/>
      <c r="L249" s="3892"/>
      <c r="M249" s="3743"/>
      <c r="N249" s="3900"/>
      <c r="O249" s="3901"/>
      <c r="P249" s="3888"/>
      <c r="Q249" s="3891"/>
      <c r="R249" s="3891"/>
      <c r="S249" s="3891"/>
      <c r="T249" s="3891"/>
      <c r="U249" s="3891"/>
      <c r="V249" s="3891"/>
      <c r="W249" s="3891"/>
      <c r="X249" s="3891"/>
      <c r="Y249" s="3891"/>
      <c r="Z249" s="1923"/>
      <c r="AA249" s="1924"/>
      <c r="AB249" s="1924"/>
      <c r="AC249" s="1925"/>
      <c r="AD249" s="1925"/>
      <c r="AE249" s="1926"/>
      <c r="AF249" s="3897"/>
      <c r="AG249" s="3892"/>
      <c r="AH249" s="3892"/>
      <c r="AI249" s="3897"/>
      <c r="AJ249" s="3892"/>
      <c r="AK249" s="3892"/>
      <c r="AL249" s="1874"/>
      <c r="AM249" s="1714"/>
      <c r="AN249" s="1714"/>
      <c r="AO249" s="1714"/>
      <c r="AP249" s="1714"/>
      <c r="AQ249" s="1714"/>
      <c r="AR249" s="1714"/>
      <c r="AS249" s="1714"/>
      <c r="AT249" s="1714"/>
      <c r="AU249" s="1714"/>
      <c r="AV249" s="1714"/>
      <c r="AW249" s="1714"/>
      <c r="AX249" s="1714"/>
      <c r="AY249" s="1714"/>
      <c r="AZ249" s="1714"/>
      <c r="BA249" s="1714"/>
      <c r="BB249" s="1714"/>
      <c r="BC249" s="1714"/>
      <c r="BD249" s="1714"/>
      <c r="BE249" s="1714"/>
      <c r="BF249" s="1714"/>
    </row>
    <row r="250" spans="1:58" ht="0.75" customHeight="1">
      <c r="A250" s="1088" t="s">
        <v>1345</v>
      </c>
      <c r="D250" s="1082"/>
      <c r="E250" s="1092"/>
      <c r="F250" s="3894"/>
      <c r="G250" s="3885"/>
      <c r="H250" s="3898"/>
      <c r="I250" s="3899"/>
      <c r="J250" s="3891"/>
      <c r="K250" s="3891"/>
      <c r="L250" s="3892"/>
      <c r="M250" s="3743"/>
      <c r="N250" s="3900"/>
      <c r="O250" s="3901"/>
      <c r="P250" s="3889"/>
      <c r="Q250" s="3891"/>
      <c r="R250" s="3891"/>
      <c r="S250" s="3891"/>
      <c r="T250" s="3891"/>
      <c r="U250" s="3891"/>
      <c r="V250" s="3891"/>
      <c r="W250" s="3891"/>
      <c r="X250" s="3891"/>
      <c r="Y250" s="3891"/>
      <c r="Z250" s="1927"/>
      <c r="AA250" s="1928"/>
      <c r="AB250" s="1929"/>
      <c r="AC250" s="1930"/>
      <c r="AD250" s="1929"/>
      <c r="AE250" s="1930"/>
      <c r="AF250" s="3897"/>
      <c r="AG250" s="3892"/>
      <c r="AH250" s="3892"/>
      <c r="AI250" s="3897"/>
      <c r="AJ250" s="3892"/>
      <c r="AK250" s="3892"/>
      <c r="AL250" s="1874"/>
      <c r="AM250" s="1714"/>
      <c r="AN250" s="1714"/>
      <c r="AO250" s="1714"/>
      <c r="AP250" s="1714"/>
      <c r="AQ250" s="1714"/>
      <c r="AR250" s="1714"/>
      <c r="AS250" s="1714"/>
      <c r="AT250" s="1714"/>
      <c r="AU250" s="1714"/>
      <c r="AV250" s="1714"/>
      <c r="AW250" s="1714"/>
      <c r="AX250" s="1714"/>
      <c r="AY250" s="1714"/>
      <c r="AZ250" s="1714"/>
      <c r="BA250" s="1714"/>
      <c r="BB250" s="1714"/>
      <c r="BC250" s="1714"/>
      <c r="BD250" s="1714"/>
      <c r="BE250" s="1714"/>
      <c r="BF250" s="1714"/>
    </row>
    <row r="251" spans="1:58" ht="0.75" customHeight="1">
      <c r="A251" s="1088" t="s">
        <v>1345</v>
      </c>
      <c r="D251" s="1082"/>
      <c r="E251" s="1092"/>
      <c r="F251" s="3894"/>
      <c r="G251" s="3885"/>
      <c r="H251" s="3898"/>
      <c r="I251" s="3899"/>
      <c r="J251" s="3891"/>
      <c r="K251" s="3891"/>
      <c r="L251" s="3892"/>
      <c r="M251" s="3743"/>
      <c r="N251" s="3900"/>
      <c r="O251" s="3901"/>
      <c r="P251" s="3890"/>
      <c r="Q251" s="3891"/>
      <c r="R251" s="3891"/>
      <c r="S251" s="3891"/>
      <c r="T251" s="3891"/>
      <c r="U251" s="3891"/>
      <c r="V251" s="3891"/>
      <c r="W251" s="3891"/>
      <c r="X251" s="3891"/>
      <c r="Y251" s="3891"/>
      <c r="Z251" s="1923"/>
      <c r="AA251" s="1924"/>
      <c r="AB251" s="1931"/>
      <c r="AC251" s="1925"/>
      <c r="AD251" s="1925"/>
      <c r="AE251" s="1932"/>
      <c r="AF251" s="3897"/>
      <c r="AG251" s="3892"/>
      <c r="AH251" s="3892"/>
      <c r="AI251" s="3897"/>
      <c r="AJ251" s="3892"/>
      <c r="AK251" s="3892"/>
      <c r="AL251" s="1874"/>
      <c r="AM251" s="1714"/>
      <c r="AN251" s="1714"/>
      <c r="AO251" s="1714"/>
      <c r="AP251" s="1714"/>
      <c r="AQ251" s="1714"/>
      <c r="AR251" s="1714"/>
      <c r="AS251" s="1714"/>
      <c r="AT251" s="1714"/>
      <c r="AU251" s="1714"/>
      <c r="AV251" s="1714"/>
      <c r="AW251" s="1714"/>
      <c r="AX251" s="1714"/>
      <c r="AY251" s="1714"/>
      <c r="AZ251" s="1714"/>
      <c r="BA251" s="1714"/>
      <c r="BB251" s="1714"/>
      <c r="BC251" s="1714"/>
      <c r="BD251" s="1714"/>
      <c r="BE251" s="1714"/>
      <c r="BF251" s="1714"/>
    </row>
    <row r="252" spans="1:58" ht="0.75" customHeight="1">
      <c r="A252" s="1088" t="s">
        <v>1345</v>
      </c>
      <c r="D252" s="1082"/>
      <c r="E252" s="1092"/>
      <c r="F252" s="3894"/>
      <c r="G252" s="3885"/>
      <c r="H252" s="3898"/>
      <c r="I252" s="3899"/>
      <c r="J252" s="3891"/>
      <c r="K252" s="3891"/>
      <c r="L252" s="3892"/>
      <c r="M252" s="3743"/>
      <c r="N252" s="1924"/>
      <c r="O252" s="1924"/>
      <c r="P252" s="1931"/>
      <c r="Q252" s="1924"/>
      <c r="R252" s="1924"/>
      <c r="S252" s="1924"/>
      <c r="T252" s="1924"/>
      <c r="U252" s="1924"/>
      <c r="V252" s="1924"/>
      <c r="W252" s="1924"/>
      <c r="X252" s="1924"/>
      <c r="Y252" s="1924"/>
      <c r="Z252" s="1924"/>
      <c r="AA252" s="1924"/>
      <c r="AB252" s="1924"/>
      <c r="AC252" s="1924"/>
      <c r="AD252" s="1924"/>
      <c r="AE252" s="1933"/>
      <c r="AF252" s="3897"/>
      <c r="AG252" s="3892"/>
      <c r="AH252" s="3892"/>
      <c r="AI252" s="3897"/>
      <c r="AJ252" s="3892"/>
      <c r="AK252" s="3892"/>
      <c r="AL252" s="1874"/>
      <c r="AM252" s="1714"/>
      <c r="AN252" s="1714"/>
      <c r="AO252" s="1714"/>
      <c r="AP252" s="1714"/>
      <c r="AQ252" s="1714"/>
      <c r="AR252" s="1714"/>
      <c r="AS252" s="1714"/>
      <c r="AT252" s="1714"/>
      <c r="AU252" s="1714"/>
      <c r="AV252" s="1714"/>
      <c r="AW252" s="1714"/>
      <c r="AX252" s="1714"/>
      <c r="AY252" s="1714"/>
      <c r="AZ252" s="1714"/>
      <c r="BA252" s="1714"/>
      <c r="BB252" s="1714"/>
      <c r="BC252" s="1714"/>
      <c r="BD252" s="1714"/>
      <c r="BE252" s="1714"/>
      <c r="BF252" s="1714"/>
    </row>
    <row r="253" spans="1:58" ht="11.25" customHeight="1">
      <c r="A253" s="1088" t="s">
        <v>1345</v>
      </c>
      <c r="D253" s="1082"/>
      <c r="E253" s="1092"/>
      <c r="F253" s="3895"/>
      <c r="G253" s="3853" t="s">
        <v>90</v>
      </c>
      <c r="H253" s="3885" t="s">
        <v>164</v>
      </c>
      <c r="I253" s="3886"/>
      <c r="J253" s="3883"/>
      <c r="K253" s="3887" t="s">
        <v>1459</v>
      </c>
      <c r="L253" s="3599" t="s">
        <v>6</v>
      </c>
      <c r="M253" s="3600"/>
      <c r="N253" s="1872"/>
      <c r="O253" s="1099" t="s">
        <v>421</v>
      </c>
      <c r="P253" s="1100"/>
      <c r="Q253" s="1100"/>
      <c r="R253" s="1100"/>
      <c r="S253" s="1100"/>
      <c r="T253" s="1100"/>
      <c r="U253" s="1100"/>
      <c r="V253" s="1100"/>
      <c r="W253" s="1100"/>
      <c r="X253" s="1100"/>
      <c r="Y253" s="1100"/>
      <c r="Z253" s="1100"/>
      <c r="AA253" s="1100"/>
      <c r="AB253" s="1100"/>
      <c r="AC253" s="1100"/>
      <c r="AD253" s="1100"/>
      <c r="AE253" s="1100"/>
      <c r="AF253" s="3876">
        <v>2019</v>
      </c>
      <c r="AG253" s="3877" t="s">
        <v>1447</v>
      </c>
      <c r="AH253" s="3877" t="s">
        <v>1460</v>
      </c>
      <c r="AI253" s="3876">
        <v>2019</v>
      </c>
      <c r="AJ253" s="3877" t="s">
        <v>1447</v>
      </c>
      <c r="AK253" s="3877" t="s">
        <v>1460</v>
      </c>
      <c r="AL253" s="1874"/>
      <c r="AM253" s="1714"/>
      <c r="AN253" s="1714"/>
      <c r="AO253" s="1714"/>
      <c r="AP253" s="1714"/>
      <c r="AQ253" s="1714"/>
      <c r="AR253" s="1714"/>
      <c r="AS253" s="1714"/>
      <c r="AT253" s="1714"/>
      <c r="AU253" s="1714"/>
      <c r="AV253" s="1714"/>
      <c r="AW253" s="1714"/>
      <c r="AX253" s="1714"/>
      <c r="AY253" s="1714"/>
      <c r="AZ253" s="1714"/>
      <c r="BA253" s="1714"/>
      <c r="BB253" s="1714"/>
      <c r="BC253" s="1714"/>
      <c r="BD253" s="1714"/>
      <c r="BE253" s="1714"/>
      <c r="BF253" s="1714"/>
    </row>
    <row r="254" spans="1:58" ht="11.25" customHeight="1">
      <c r="A254" s="1088" t="s">
        <v>1345</v>
      </c>
      <c r="D254" s="1082"/>
      <c r="E254" s="1092"/>
      <c r="F254" s="3895"/>
      <c r="G254" s="3875"/>
      <c r="H254" s="3885" t="s">
        <v>421</v>
      </c>
      <c r="I254" s="3886"/>
      <c r="J254" s="3883"/>
      <c r="K254" s="3887"/>
      <c r="L254" s="3599"/>
      <c r="M254" s="3600"/>
      <c r="N254" s="3878"/>
      <c r="O254" s="3879">
        <v>1</v>
      </c>
      <c r="P254" s="3880" t="s">
        <v>50</v>
      </c>
      <c r="Q254" s="3883" t="s">
        <v>1461</v>
      </c>
      <c r="R254" s="3884" t="s">
        <v>1438</v>
      </c>
      <c r="S254" s="3884" t="s">
        <v>92</v>
      </c>
      <c r="T254" s="3884" t="s">
        <v>92</v>
      </c>
      <c r="U254" s="3884" t="s">
        <v>93</v>
      </c>
      <c r="V254" s="3884" t="s">
        <v>1462</v>
      </c>
      <c r="W254" s="3884" t="s">
        <v>1463</v>
      </c>
      <c r="X254" s="3884" t="s">
        <v>1464</v>
      </c>
      <c r="Y254" s="3884" t="s">
        <v>1465</v>
      </c>
      <c r="Z254" s="1097"/>
      <c r="AA254" s="1098"/>
      <c r="AB254" s="1098"/>
      <c r="AC254" s="1102"/>
      <c r="AD254" s="1102"/>
      <c r="AE254" s="1103"/>
      <c r="AF254" s="3876"/>
      <c r="AG254" s="3877"/>
      <c r="AH254" s="3877"/>
      <c r="AI254" s="3876"/>
      <c r="AJ254" s="3877"/>
      <c r="AK254" s="3877"/>
      <c r="AL254" s="1874"/>
      <c r="AM254" s="1714"/>
      <c r="AN254" s="1714"/>
      <c r="AO254" s="1714"/>
      <c r="AP254" s="1714"/>
      <c r="AQ254" s="1714"/>
      <c r="AR254" s="1714"/>
      <c r="AS254" s="1714"/>
      <c r="AT254" s="1714"/>
      <c r="AU254" s="1714"/>
      <c r="AV254" s="1714"/>
      <c r="AW254" s="1714"/>
      <c r="AX254" s="1714"/>
      <c r="AY254" s="1714"/>
      <c r="AZ254" s="1714"/>
      <c r="BA254" s="1714"/>
      <c r="BB254" s="1714"/>
      <c r="BC254" s="1714"/>
      <c r="BD254" s="1714"/>
      <c r="BE254" s="1714"/>
      <c r="BF254" s="1714"/>
    </row>
    <row r="255" spans="1:58" ht="11.25" customHeight="1">
      <c r="A255" s="1088" t="s">
        <v>1345</v>
      </c>
      <c r="D255" s="1082"/>
      <c r="E255" s="1092"/>
      <c r="F255" s="3895"/>
      <c r="G255" s="3875"/>
      <c r="H255" s="3885" t="s">
        <v>421</v>
      </c>
      <c r="I255" s="3886"/>
      <c r="J255" s="3883"/>
      <c r="K255" s="3887"/>
      <c r="L255" s="3599"/>
      <c r="M255" s="3600"/>
      <c r="N255" s="3878"/>
      <c r="O255" s="3879"/>
      <c r="P255" s="3881"/>
      <c r="Q255" s="3883"/>
      <c r="R255" s="3874"/>
      <c r="S255" s="3884"/>
      <c r="T255" s="3874"/>
      <c r="U255" s="3874"/>
      <c r="V255" s="3874"/>
      <c r="W255" s="3874"/>
      <c r="X255" s="3874"/>
      <c r="Y255" s="3874"/>
      <c r="Z255" s="1719"/>
      <c r="AA255" s="1686">
        <v>1</v>
      </c>
      <c r="AB255" s="1101" t="s">
        <v>1453</v>
      </c>
      <c r="AC255" s="1091">
        <v>1696.24</v>
      </c>
      <c r="AD255" s="1101" t="str">
        <f>AB255</f>
        <v xml:space="preserve">      Амортизационные отчисления с выделением результатов переоценки основных средств и нематериальных активов</v>
      </c>
      <c r="AE255" s="1091">
        <v>0</v>
      </c>
      <c r="AF255" s="3876"/>
      <c r="AG255" s="3877"/>
      <c r="AH255" s="3877"/>
      <c r="AI255" s="3876"/>
      <c r="AJ255" s="3877"/>
      <c r="AK255" s="3877"/>
      <c r="AL255" s="1874"/>
      <c r="AM255" s="1714"/>
      <c r="AN255" s="1714"/>
      <c r="AO255" s="1714"/>
      <c r="AP255" s="1714"/>
      <c r="AQ255" s="1714"/>
      <c r="AR255" s="1714"/>
      <c r="AS255" s="1714"/>
      <c r="AT255" s="1714"/>
      <c r="AU255" s="1714"/>
      <c r="AV255" s="1714"/>
      <c r="AW255" s="1714"/>
      <c r="AX255" s="1714"/>
      <c r="AY255" s="1714"/>
      <c r="AZ255" s="1714"/>
      <c r="BA255" s="1714"/>
      <c r="BB255" s="1714"/>
      <c r="BC255" s="1714"/>
      <c r="BD255" s="1714"/>
      <c r="BE255" s="1714"/>
      <c r="BF255" s="1714"/>
    </row>
    <row r="256" spans="1:58" ht="11.25" customHeight="1">
      <c r="A256" s="1088" t="s">
        <v>1345</v>
      </c>
      <c r="D256" s="1082"/>
      <c r="E256" s="1092"/>
      <c r="F256" s="3875"/>
      <c r="G256" s="3875"/>
      <c r="H256" s="3875"/>
      <c r="I256" s="3875"/>
      <c r="J256" s="3875"/>
      <c r="K256" s="3875"/>
      <c r="L256" s="3875"/>
      <c r="M256" s="3875"/>
      <c r="N256" s="3875"/>
      <c r="O256" s="3875"/>
      <c r="P256" s="3875"/>
      <c r="Q256" s="3875"/>
      <c r="R256" s="3875"/>
      <c r="S256" s="3875"/>
      <c r="T256" s="3875"/>
      <c r="U256" s="3875"/>
      <c r="V256" s="3875"/>
      <c r="W256" s="3875"/>
      <c r="X256" s="3875"/>
      <c r="Y256" s="3875"/>
      <c r="Z256" s="617" t="s">
        <v>90</v>
      </c>
      <c r="AA256" s="1706" t="s">
        <v>89</v>
      </c>
      <c r="AB256" s="1101" t="s">
        <v>1443</v>
      </c>
      <c r="AC256" s="1091">
        <v>2057.64</v>
      </c>
      <c r="AD256" s="1101" t="str">
        <f>AB256</f>
        <v xml:space="preserve">  Прибыль направляемая на инвестиции</v>
      </c>
      <c r="AE256" s="1091">
        <v>0</v>
      </c>
      <c r="AF256" s="3902"/>
      <c r="AG256" s="3903"/>
      <c r="AH256" s="3903"/>
      <c r="AI256" s="3902"/>
      <c r="AJ256" s="3903"/>
      <c r="AK256" s="3904"/>
      <c r="AL256" s="1874"/>
      <c r="AM256" s="1714"/>
      <c r="AN256" s="1714"/>
      <c r="AO256" s="1714"/>
      <c r="AP256" s="1714"/>
      <c r="AQ256" s="1714"/>
      <c r="AR256" s="1714"/>
      <c r="AS256" s="1714"/>
      <c r="AT256" s="1714"/>
      <c r="AU256" s="1714"/>
      <c r="AV256" s="1714"/>
      <c r="AW256" s="1714"/>
      <c r="AX256" s="1714"/>
      <c r="AY256" s="1714"/>
      <c r="AZ256" s="1714"/>
      <c r="BA256" s="1714"/>
      <c r="BB256" s="1714"/>
      <c r="BC256" s="1714"/>
      <c r="BD256" s="1714"/>
      <c r="BE256" s="1714"/>
      <c r="BF256" s="1714"/>
    </row>
    <row r="257" spans="1:58" ht="11.25" customHeight="1">
      <c r="A257" s="1088" t="s">
        <v>1345</v>
      </c>
      <c r="D257" s="1082"/>
      <c r="E257" s="1092"/>
      <c r="F257" s="3875"/>
      <c r="G257" s="3875"/>
      <c r="H257" s="3875"/>
      <c r="I257" s="3875"/>
      <c r="J257" s="3875"/>
      <c r="K257" s="3875"/>
      <c r="L257" s="3875"/>
      <c r="M257" s="3875"/>
      <c r="N257" s="3875"/>
      <c r="O257" s="3875"/>
      <c r="P257" s="3875"/>
      <c r="Q257" s="3875"/>
      <c r="R257" s="3875"/>
      <c r="S257" s="3875"/>
      <c r="T257" s="3875"/>
      <c r="U257" s="3875"/>
      <c r="V257" s="3875"/>
      <c r="W257" s="3875"/>
      <c r="X257" s="3875"/>
      <c r="Y257" s="3875"/>
      <c r="Z257" s="617" t="s">
        <v>90</v>
      </c>
      <c r="AA257" s="1706" t="s">
        <v>78</v>
      </c>
      <c r="AB257" s="1101" t="s">
        <v>1473</v>
      </c>
      <c r="AC257" s="1091">
        <v>3567.67</v>
      </c>
      <c r="AD257" s="1101" t="str">
        <f>AB257</f>
        <v xml:space="preserve">  Кредиты</v>
      </c>
      <c r="AE257" s="1091">
        <v>0</v>
      </c>
      <c r="AF257" s="3902"/>
      <c r="AG257" s="3903"/>
      <c r="AH257" s="3903"/>
      <c r="AI257" s="3902"/>
      <c r="AJ257" s="3903"/>
      <c r="AK257" s="3904"/>
      <c r="AL257" s="1874"/>
      <c r="AM257" s="1714"/>
      <c r="AN257" s="1714"/>
      <c r="AO257" s="1714"/>
      <c r="AP257" s="1714"/>
      <c r="AQ257" s="1714"/>
      <c r="AR257" s="1714"/>
      <c r="AS257" s="1714"/>
      <c r="AT257" s="1714"/>
      <c r="AU257" s="1714"/>
      <c r="AV257" s="1714"/>
      <c r="AW257" s="1714"/>
      <c r="AX257" s="1714"/>
      <c r="AY257" s="1714"/>
      <c r="AZ257" s="1714"/>
      <c r="BA257" s="1714"/>
      <c r="BB257" s="1714"/>
      <c r="BC257" s="1714"/>
      <c r="BD257" s="1714"/>
      <c r="BE257" s="1714"/>
      <c r="BF257" s="1714"/>
    </row>
    <row r="258" spans="1:58" ht="11.25" customHeight="1">
      <c r="A258" s="1088" t="s">
        <v>1345</v>
      </c>
      <c r="D258" s="1082"/>
      <c r="E258" s="1092"/>
      <c r="F258" s="3895"/>
      <c r="G258" s="3875"/>
      <c r="H258" s="3885" t="s">
        <v>421</v>
      </c>
      <c r="I258" s="3886"/>
      <c r="J258" s="3883"/>
      <c r="K258" s="3887"/>
      <c r="L258" s="3599"/>
      <c r="M258" s="3600"/>
      <c r="N258" s="3878"/>
      <c r="O258" s="3879"/>
      <c r="P258" s="3882"/>
      <c r="Q258" s="3883"/>
      <c r="R258" s="3874"/>
      <c r="S258" s="3884"/>
      <c r="T258" s="3874"/>
      <c r="U258" s="3874"/>
      <c r="V258" s="3874"/>
      <c r="W258" s="3874"/>
      <c r="X258" s="3874"/>
      <c r="Y258" s="3874"/>
      <c r="Z258" s="1097"/>
      <c r="AA258" s="1098"/>
      <c r="AB258" s="1163" t="s">
        <v>1444</v>
      </c>
      <c r="AC258" s="1102"/>
      <c r="AD258" s="1102"/>
      <c r="AE258" s="1104"/>
      <c r="AF258" s="3876"/>
      <c r="AG258" s="3877"/>
      <c r="AH258" s="3877"/>
      <c r="AI258" s="3876"/>
      <c r="AJ258" s="3877"/>
      <c r="AK258" s="3877"/>
      <c r="AL258" s="1874"/>
      <c r="AM258" s="1714"/>
      <c r="AN258" s="1714"/>
      <c r="AO258" s="1714"/>
      <c r="AP258" s="1714"/>
      <c r="AQ258" s="1714"/>
      <c r="AR258" s="1714"/>
      <c r="AS258" s="1714"/>
      <c r="AT258" s="1714"/>
      <c r="AU258" s="1714"/>
      <c r="AV258" s="1714"/>
      <c r="AW258" s="1714"/>
      <c r="AX258" s="1714"/>
      <c r="AY258" s="1714"/>
      <c r="AZ258" s="1714"/>
      <c r="BA258" s="1714"/>
      <c r="BB258" s="1714"/>
      <c r="BC258" s="1714"/>
      <c r="BD258" s="1714"/>
      <c r="BE258" s="1714"/>
      <c r="BF258" s="1714"/>
    </row>
    <row r="259" spans="1:58" ht="11.25" customHeight="1">
      <c r="A259" s="1088" t="s">
        <v>1345</v>
      </c>
      <c r="D259" s="1082"/>
      <c r="E259" s="1092"/>
      <c r="F259" s="3895"/>
      <c r="G259" s="3875"/>
      <c r="H259" s="3885" t="s">
        <v>421</v>
      </c>
      <c r="I259" s="3886"/>
      <c r="J259" s="3883"/>
      <c r="K259" s="3887"/>
      <c r="L259" s="3599"/>
      <c r="M259" s="3600"/>
      <c r="N259" s="1097"/>
      <c r="O259" s="1098"/>
      <c r="P259" s="1090" t="s">
        <v>1445</v>
      </c>
      <c r="Q259" s="1098"/>
      <c r="R259" s="1098"/>
      <c r="S259" s="1098"/>
      <c r="T259" s="1098"/>
      <c r="U259" s="1098"/>
      <c r="V259" s="1098"/>
      <c r="W259" s="1098"/>
      <c r="X259" s="1098"/>
      <c r="Y259" s="1098"/>
      <c r="Z259" s="1098"/>
      <c r="AA259" s="1098"/>
      <c r="AB259" s="1098"/>
      <c r="AC259" s="1098"/>
      <c r="AD259" s="1098"/>
      <c r="AE259" s="1105"/>
      <c r="AF259" s="3876"/>
      <c r="AG259" s="3877"/>
      <c r="AH259" s="3877"/>
      <c r="AI259" s="3876"/>
      <c r="AJ259" s="3877"/>
      <c r="AK259" s="3877"/>
      <c r="AL259" s="1874"/>
      <c r="AM259" s="1714"/>
      <c r="AN259" s="1714"/>
      <c r="AO259" s="1714"/>
      <c r="AP259" s="1714"/>
      <c r="AQ259" s="1714"/>
      <c r="AR259" s="1714"/>
      <c r="AS259" s="1714"/>
      <c r="AT259" s="1714"/>
      <c r="AU259" s="1714"/>
      <c r="AV259" s="1714"/>
      <c r="AW259" s="1714"/>
      <c r="AX259" s="1714"/>
      <c r="AY259" s="1714"/>
      <c r="AZ259" s="1714"/>
      <c r="BA259" s="1714"/>
      <c r="BB259" s="1714"/>
      <c r="BC259" s="1714"/>
      <c r="BD259" s="1714"/>
      <c r="BE259" s="1714"/>
      <c r="BF259" s="1714"/>
    </row>
    <row r="260" spans="1:58" ht="11.25" customHeight="1">
      <c r="A260" s="1088" t="s">
        <v>1345</v>
      </c>
      <c r="D260" s="1082"/>
      <c r="E260" s="1092"/>
      <c r="F260" s="3895"/>
      <c r="G260" s="3853" t="s">
        <v>90</v>
      </c>
      <c r="H260" s="3885" t="s">
        <v>89</v>
      </c>
      <c r="I260" s="3886"/>
      <c r="J260" s="3883"/>
      <c r="K260" s="3887" t="s">
        <v>1466</v>
      </c>
      <c r="L260" s="3599" t="s">
        <v>6</v>
      </c>
      <c r="M260" s="3600"/>
      <c r="N260" s="1872"/>
      <c r="O260" s="1099" t="s">
        <v>421</v>
      </c>
      <c r="P260" s="1100"/>
      <c r="Q260" s="1100"/>
      <c r="R260" s="1100"/>
      <c r="S260" s="1100"/>
      <c r="T260" s="1100"/>
      <c r="U260" s="1100"/>
      <c r="V260" s="1100"/>
      <c r="W260" s="1100"/>
      <c r="X260" s="1100"/>
      <c r="Y260" s="1100"/>
      <c r="Z260" s="1100"/>
      <c r="AA260" s="1100"/>
      <c r="AB260" s="1100"/>
      <c r="AC260" s="1100"/>
      <c r="AD260" s="1100"/>
      <c r="AE260" s="1100"/>
      <c r="AF260" s="3876">
        <v>2019</v>
      </c>
      <c r="AG260" s="3877" t="s">
        <v>1447</v>
      </c>
      <c r="AH260" s="3877" t="s">
        <v>1460</v>
      </c>
      <c r="AI260" s="3876">
        <v>2019</v>
      </c>
      <c r="AJ260" s="3877" t="s">
        <v>1447</v>
      </c>
      <c r="AK260" s="3877" t="s">
        <v>1460</v>
      </c>
      <c r="AL260" s="1874"/>
      <c r="AM260" s="1714"/>
      <c r="AN260" s="1714"/>
      <c r="AO260" s="1714"/>
      <c r="AP260" s="1714"/>
      <c r="AQ260" s="1714"/>
      <c r="AR260" s="1714"/>
      <c r="AS260" s="1714"/>
      <c r="AT260" s="1714"/>
      <c r="AU260" s="1714"/>
      <c r="AV260" s="1714"/>
      <c r="AW260" s="1714"/>
      <c r="AX260" s="1714"/>
      <c r="AY260" s="1714"/>
      <c r="AZ260" s="1714"/>
      <c r="BA260" s="1714"/>
      <c r="BB260" s="1714"/>
      <c r="BC260" s="1714"/>
      <c r="BD260" s="1714"/>
      <c r="BE260" s="1714"/>
      <c r="BF260" s="1714"/>
    </row>
    <row r="261" spans="1:58" ht="11.25" customHeight="1">
      <c r="A261" s="1088" t="s">
        <v>1345</v>
      </c>
      <c r="D261" s="1082"/>
      <c r="E261" s="1092"/>
      <c r="F261" s="3895"/>
      <c r="G261" s="3875"/>
      <c r="H261" s="3885" t="s">
        <v>164</v>
      </c>
      <c r="I261" s="3886"/>
      <c r="J261" s="3883"/>
      <c r="K261" s="3887"/>
      <c r="L261" s="3599"/>
      <c r="M261" s="3600"/>
      <c r="N261" s="3878"/>
      <c r="O261" s="3879">
        <v>1</v>
      </c>
      <c r="P261" s="3880" t="s">
        <v>50</v>
      </c>
      <c r="Q261" s="3883" t="s">
        <v>1467</v>
      </c>
      <c r="R261" s="3884" t="s">
        <v>1438</v>
      </c>
      <c r="S261" s="3884" t="s">
        <v>92</v>
      </c>
      <c r="T261" s="3884" t="s">
        <v>92</v>
      </c>
      <c r="U261" s="3884" t="s">
        <v>93</v>
      </c>
      <c r="V261" s="3884" t="s">
        <v>1462</v>
      </c>
      <c r="W261" s="3884" t="s">
        <v>1463</v>
      </c>
      <c r="X261" s="3884" t="s">
        <v>1468</v>
      </c>
      <c r="Y261" s="3884" t="s">
        <v>1469</v>
      </c>
      <c r="Z261" s="1097"/>
      <c r="AA261" s="1098"/>
      <c r="AB261" s="1098"/>
      <c r="AC261" s="1102"/>
      <c r="AD261" s="1102"/>
      <c r="AE261" s="1103"/>
      <c r="AF261" s="3876"/>
      <c r="AG261" s="3877"/>
      <c r="AH261" s="3877"/>
      <c r="AI261" s="3876"/>
      <c r="AJ261" s="3877"/>
      <c r="AK261" s="3877"/>
      <c r="AL261" s="1874"/>
      <c r="AM261" s="1714"/>
      <c r="AN261" s="1714"/>
      <c r="AO261" s="1714"/>
      <c r="AP261" s="1714"/>
      <c r="AQ261" s="1714"/>
      <c r="AR261" s="1714"/>
      <c r="AS261" s="1714"/>
      <c r="AT261" s="1714"/>
      <c r="AU261" s="1714"/>
      <c r="AV261" s="1714"/>
      <c r="AW261" s="1714"/>
      <c r="AX261" s="1714"/>
      <c r="AY261" s="1714"/>
      <c r="AZ261" s="1714"/>
      <c r="BA261" s="1714"/>
      <c r="BB261" s="1714"/>
      <c r="BC261" s="1714"/>
      <c r="BD261" s="1714"/>
      <c r="BE261" s="1714"/>
      <c r="BF261" s="1714"/>
    </row>
    <row r="262" spans="1:58" ht="11.25" customHeight="1">
      <c r="A262" s="1088" t="s">
        <v>1345</v>
      </c>
      <c r="D262" s="1082"/>
      <c r="E262" s="1092"/>
      <c r="F262" s="3895"/>
      <c r="G262" s="3875"/>
      <c r="H262" s="3885" t="s">
        <v>164</v>
      </c>
      <c r="I262" s="3886"/>
      <c r="J262" s="3883"/>
      <c r="K262" s="3887"/>
      <c r="L262" s="3599"/>
      <c r="M262" s="3600"/>
      <c r="N262" s="3878"/>
      <c r="O262" s="3879"/>
      <c r="P262" s="3881"/>
      <c r="Q262" s="3883"/>
      <c r="R262" s="3874"/>
      <c r="S262" s="3884"/>
      <c r="T262" s="3874"/>
      <c r="U262" s="3874"/>
      <c r="V262" s="3874"/>
      <c r="W262" s="3874"/>
      <c r="X262" s="3874"/>
      <c r="Y262" s="3874"/>
      <c r="Z262" s="1719"/>
      <c r="AA262" s="1686">
        <v>1</v>
      </c>
      <c r="AB262" s="1101" t="s">
        <v>1473</v>
      </c>
      <c r="AC262" s="1091">
        <v>5128.33</v>
      </c>
      <c r="AD262" s="1101" t="str">
        <f>AB262</f>
        <v xml:space="preserve">  Кредиты</v>
      </c>
      <c r="AE262" s="1091">
        <v>0</v>
      </c>
      <c r="AF262" s="3876"/>
      <c r="AG262" s="3877"/>
      <c r="AH262" s="3877"/>
      <c r="AI262" s="3876"/>
      <c r="AJ262" s="3877"/>
      <c r="AK262" s="3877"/>
      <c r="AL262" s="1874"/>
      <c r="AM262" s="1714"/>
      <c r="AN262" s="1714"/>
      <c r="AO262" s="1714"/>
      <c r="AP262" s="1714"/>
      <c r="AQ262" s="1714"/>
      <c r="AR262" s="1714"/>
      <c r="AS262" s="1714"/>
      <c r="AT262" s="1714"/>
      <c r="AU262" s="1714"/>
      <c r="AV262" s="1714"/>
      <c r="AW262" s="1714"/>
      <c r="AX262" s="1714"/>
      <c r="AY262" s="1714"/>
      <c r="AZ262" s="1714"/>
      <c r="BA262" s="1714"/>
      <c r="BB262" s="1714"/>
      <c r="BC262" s="1714"/>
      <c r="BD262" s="1714"/>
      <c r="BE262" s="1714"/>
      <c r="BF262" s="1714"/>
    </row>
    <row r="263" spans="1:58" ht="11.25" customHeight="1">
      <c r="A263" s="1088" t="s">
        <v>1345</v>
      </c>
      <c r="D263" s="1082"/>
      <c r="E263" s="1092"/>
      <c r="F263" s="3895"/>
      <c r="G263" s="3875"/>
      <c r="H263" s="3885" t="s">
        <v>164</v>
      </c>
      <c r="I263" s="3886"/>
      <c r="J263" s="3883"/>
      <c r="K263" s="3887"/>
      <c r="L263" s="3599"/>
      <c r="M263" s="3600"/>
      <c r="N263" s="3878"/>
      <c r="O263" s="3879"/>
      <c r="P263" s="3882"/>
      <c r="Q263" s="3883"/>
      <c r="R263" s="3874"/>
      <c r="S263" s="3884"/>
      <c r="T263" s="3874"/>
      <c r="U263" s="3874"/>
      <c r="V263" s="3874"/>
      <c r="W263" s="3874"/>
      <c r="X263" s="3874"/>
      <c r="Y263" s="3874"/>
      <c r="Z263" s="1097"/>
      <c r="AA263" s="1098"/>
      <c r="AB263" s="1163" t="s">
        <v>1444</v>
      </c>
      <c r="AC263" s="1102"/>
      <c r="AD263" s="1102"/>
      <c r="AE263" s="1104"/>
      <c r="AF263" s="3876"/>
      <c r="AG263" s="3877"/>
      <c r="AH263" s="3877"/>
      <c r="AI263" s="3876"/>
      <c r="AJ263" s="3877"/>
      <c r="AK263" s="3877"/>
      <c r="AL263" s="1874"/>
      <c r="AM263" s="1714"/>
      <c r="AN263" s="1714"/>
      <c r="AO263" s="1714"/>
      <c r="AP263" s="1714"/>
      <c r="AQ263" s="1714"/>
      <c r="AR263" s="1714"/>
      <c r="AS263" s="1714"/>
      <c r="AT263" s="1714"/>
      <c r="AU263" s="1714"/>
      <c r="AV263" s="1714"/>
      <c r="AW263" s="1714"/>
      <c r="AX263" s="1714"/>
      <c r="AY263" s="1714"/>
      <c r="AZ263" s="1714"/>
      <c r="BA263" s="1714"/>
      <c r="BB263" s="1714"/>
      <c r="BC263" s="1714"/>
      <c r="BD263" s="1714"/>
      <c r="BE263" s="1714"/>
      <c r="BF263" s="1714"/>
    </row>
    <row r="264" spans="1:58" ht="11.25" customHeight="1">
      <c r="A264" s="1088" t="s">
        <v>1345</v>
      </c>
      <c r="D264" s="1082"/>
      <c r="E264" s="1092"/>
      <c r="F264" s="3895"/>
      <c r="G264" s="3875"/>
      <c r="H264" s="3885" t="s">
        <v>164</v>
      </c>
      <c r="I264" s="3886"/>
      <c r="J264" s="3883"/>
      <c r="K264" s="3887"/>
      <c r="L264" s="3599"/>
      <c r="M264" s="3600"/>
      <c r="N264" s="1097"/>
      <c r="O264" s="1098"/>
      <c r="P264" s="1090" t="s">
        <v>1445</v>
      </c>
      <c r="Q264" s="1098"/>
      <c r="R264" s="1098"/>
      <c r="S264" s="1098"/>
      <c r="T264" s="1098"/>
      <c r="U264" s="1098"/>
      <c r="V264" s="1098"/>
      <c r="W264" s="1098"/>
      <c r="X264" s="1098"/>
      <c r="Y264" s="1098"/>
      <c r="Z264" s="1098"/>
      <c r="AA264" s="1098"/>
      <c r="AB264" s="1098"/>
      <c r="AC264" s="1098"/>
      <c r="AD264" s="1098"/>
      <c r="AE264" s="1105"/>
      <c r="AF264" s="3876"/>
      <c r="AG264" s="3877"/>
      <c r="AH264" s="3877"/>
      <c r="AI264" s="3876"/>
      <c r="AJ264" s="3877"/>
      <c r="AK264" s="3877"/>
      <c r="AL264" s="1874"/>
      <c r="AM264" s="1714"/>
      <c r="AN264" s="1714"/>
      <c r="AO264" s="1714"/>
      <c r="AP264" s="1714"/>
      <c r="AQ264" s="1714"/>
      <c r="AR264" s="1714"/>
      <c r="AS264" s="1714"/>
      <c r="AT264" s="1714"/>
      <c r="AU264" s="1714"/>
      <c r="AV264" s="1714"/>
      <c r="AW264" s="1714"/>
      <c r="AX264" s="1714"/>
      <c r="AY264" s="1714"/>
      <c r="AZ264" s="1714"/>
      <c r="BA264" s="1714"/>
      <c r="BB264" s="1714"/>
      <c r="BC264" s="1714"/>
      <c r="BD264" s="1714"/>
      <c r="BE264" s="1714"/>
      <c r="BF264" s="1714"/>
    </row>
    <row r="265" spans="1:58" ht="11.25" customHeight="1">
      <c r="A265" s="1088" t="s">
        <v>1345</v>
      </c>
      <c r="D265" s="1082"/>
      <c r="E265" s="1092"/>
      <c r="F265" s="3895"/>
      <c r="G265" s="3853" t="s">
        <v>90</v>
      </c>
      <c r="H265" s="3885" t="s">
        <v>78</v>
      </c>
      <c r="I265" s="3886"/>
      <c r="J265" s="3883"/>
      <c r="K265" s="3887" t="s">
        <v>1470</v>
      </c>
      <c r="L265" s="3599" t="s">
        <v>6</v>
      </c>
      <c r="M265" s="3600"/>
      <c r="N265" s="1872"/>
      <c r="O265" s="1099" t="s">
        <v>421</v>
      </c>
      <c r="P265" s="1100"/>
      <c r="Q265" s="1100"/>
      <c r="R265" s="1100"/>
      <c r="S265" s="1100"/>
      <c r="T265" s="1100"/>
      <c r="U265" s="1100"/>
      <c r="V265" s="1100"/>
      <c r="W265" s="1100"/>
      <c r="X265" s="1100"/>
      <c r="Y265" s="1100"/>
      <c r="Z265" s="1100"/>
      <c r="AA265" s="1100"/>
      <c r="AB265" s="1100"/>
      <c r="AC265" s="1100"/>
      <c r="AD265" s="1100"/>
      <c r="AE265" s="1100"/>
      <c r="AF265" s="3876">
        <v>2019</v>
      </c>
      <c r="AG265" s="3877" t="s">
        <v>1447</v>
      </c>
      <c r="AH265" s="3877" t="s">
        <v>1460</v>
      </c>
      <c r="AI265" s="3876">
        <v>2019</v>
      </c>
      <c r="AJ265" s="3877" t="s">
        <v>1435</v>
      </c>
      <c r="AK265" s="3877" t="s">
        <v>1460</v>
      </c>
      <c r="AL265" s="1874"/>
      <c r="AM265" s="1714"/>
      <c r="AN265" s="1714"/>
      <c r="AO265" s="1714"/>
      <c r="AP265" s="1714"/>
      <c r="AQ265" s="1714"/>
      <c r="AR265" s="1714"/>
      <c r="AS265" s="1714"/>
      <c r="AT265" s="1714"/>
      <c r="AU265" s="1714"/>
      <c r="AV265" s="1714"/>
      <c r="AW265" s="1714"/>
      <c r="AX265" s="1714"/>
      <c r="AY265" s="1714"/>
      <c r="AZ265" s="1714"/>
      <c r="BA265" s="1714"/>
      <c r="BB265" s="1714"/>
      <c r="BC265" s="1714"/>
      <c r="BD265" s="1714"/>
      <c r="BE265" s="1714"/>
      <c r="BF265" s="1714"/>
    </row>
    <row r="266" spans="1:58" ht="11.25" customHeight="1">
      <c r="A266" s="1088" t="s">
        <v>1345</v>
      </c>
      <c r="D266" s="1082"/>
      <c r="E266" s="1092"/>
      <c r="F266" s="3895"/>
      <c r="G266" s="3875"/>
      <c r="H266" s="3885" t="s">
        <v>89</v>
      </c>
      <c r="I266" s="3886"/>
      <c r="J266" s="3883"/>
      <c r="K266" s="3887"/>
      <c r="L266" s="3599"/>
      <c r="M266" s="3600"/>
      <c r="N266" s="3878"/>
      <c r="O266" s="3879">
        <v>1</v>
      </c>
      <c r="P266" s="3880" t="s">
        <v>50</v>
      </c>
      <c r="Q266" s="3883" t="s">
        <v>1471</v>
      </c>
      <c r="R266" s="3884" t="s">
        <v>1438</v>
      </c>
      <c r="S266" s="3884" t="s">
        <v>92</v>
      </c>
      <c r="T266" s="3884" t="s">
        <v>92</v>
      </c>
      <c r="U266" s="3884" t="s">
        <v>93</v>
      </c>
      <c r="V266" s="3884" t="s">
        <v>1462</v>
      </c>
      <c r="W266" s="3884" t="s">
        <v>1463</v>
      </c>
      <c r="X266" s="3884" t="s">
        <v>1472</v>
      </c>
      <c r="Y266" s="3884" t="s">
        <v>1442</v>
      </c>
      <c r="Z266" s="1097"/>
      <c r="AA266" s="1098"/>
      <c r="AB266" s="1098"/>
      <c r="AC266" s="1102"/>
      <c r="AD266" s="1102"/>
      <c r="AE266" s="1103"/>
      <c r="AF266" s="3876"/>
      <c r="AG266" s="3877"/>
      <c r="AH266" s="3877"/>
      <c r="AI266" s="3876"/>
      <c r="AJ266" s="3877"/>
      <c r="AK266" s="3877"/>
      <c r="AL266" s="1874"/>
      <c r="AM266" s="1714"/>
      <c r="AN266" s="1714"/>
      <c r="AO266" s="1714"/>
      <c r="AP266" s="1714"/>
      <c r="AQ266" s="1714"/>
      <c r="AR266" s="1714"/>
      <c r="AS266" s="1714"/>
      <c r="AT266" s="1714"/>
      <c r="AU266" s="1714"/>
      <c r="AV266" s="1714"/>
      <c r="AW266" s="1714"/>
      <c r="AX266" s="1714"/>
      <c r="AY266" s="1714"/>
      <c r="AZ266" s="1714"/>
      <c r="BA266" s="1714"/>
      <c r="BB266" s="1714"/>
      <c r="BC266" s="1714"/>
      <c r="BD266" s="1714"/>
      <c r="BE266" s="1714"/>
      <c r="BF266" s="1714"/>
    </row>
    <row r="267" spans="1:58" ht="11.25" customHeight="1">
      <c r="A267" s="1088" t="s">
        <v>1345</v>
      </c>
      <c r="D267" s="1082"/>
      <c r="E267" s="1092"/>
      <c r="F267" s="3895"/>
      <c r="G267" s="3875"/>
      <c r="H267" s="3885" t="s">
        <v>89</v>
      </c>
      <c r="I267" s="3886"/>
      <c r="J267" s="3883"/>
      <c r="K267" s="3887"/>
      <c r="L267" s="3599"/>
      <c r="M267" s="3600"/>
      <c r="N267" s="3878"/>
      <c r="O267" s="3879"/>
      <c r="P267" s="3881"/>
      <c r="Q267" s="3883"/>
      <c r="R267" s="3874"/>
      <c r="S267" s="3884"/>
      <c r="T267" s="3874"/>
      <c r="U267" s="3874"/>
      <c r="V267" s="3874"/>
      <c r="W267" s="3874"/>
      <c r="X267" s="3874"/>
      <c r="Y267" s="3874"/>
      <c r="Z267" s="1719"/>
      <c r="AA267" s="1686">
        <v>1</v>
      </c>
      <c r="AB267" s="1101" t="s">
        <v>1473</v>
      </c>
      <c r="AC267" s="1091">
        <v>6779</v>
      </c>
      <c r="AD267" s="1101" t="str">
        <f>AB267</f>
        <v xml:space="preserve">  Кредиты</v>
      </c>
      <c r="AE267" s="1091">
        <v>0</v>
      </c>
      <c r="AF267" s="3876"/>
      <c r="AG267" s="3877"/>
      <c r="AH267" s="3877"/>
      <c r="AI267" s="3876"/>
      <c r="AJ267" s="3877"/>
      <c r="AK267" s="3877"/>
      <c r="AL267" s="1874"/>
      <c r="AM267" s="1714"/>
      <c r="AN267" s="1714"/>
      <c r="AO267" s="1714"/>
      <c r="AP267" s="1714"/>
      <c r="AQ267" s="1714"/>
      <c r="AR267" s="1714"/>
      <c r="AS267" s="1714"/>
      <c r="AT267" s="1714"/>
      <c r="AU267" s="1714"/>
      <c r="AV267" s="1714"/>
      <c r="AW267" s="1714"/>
      <c r="AX267" s="1714"/>
      <c r="AY267" s="1714"/>
      <c r="AZ267" s="1714"/>
      <c r="BA267" s="1714"/>
      <c r="BB267" s="1714"/>
      <c r="BC267" s="1714"/>
      <c r="BD267" s="1714"/>
      <c r="BE267" s="1714"/>
      <c r="BF267" s="1714"/>
    </row>
    <row r="268" spans="1:58" ht="11.25" customHeight="1">
      <c r="A268" s="1088" t="s">
        <v>1345</v>
      </c>
      <c r="D268" s="1082"/>
      <c r="E268" s="1092"/>
      <c r="F268" s="3895"/>
      <c r="G268" s="3875"/>
      <c r="H268" s="3885" t="s">
        <v>89</v>
      </c>
      <c r="I268" s="3886"/>
      <c r="J268" s="3883"/>
      <c r="K268" s="3887"/>
      <c r="L268" s="3599"/>
      <c r="M268" s="3600"/>
      <c r="N268" s="3878"/>
      <c r="O268" s="3879"/>
      <c r="P268" s="3882"/>
      <c r="Q268" s="3883"/>
      <c r="R268" s="3874"/>
      <c r="S268" s="3884"/>
      <c r="T268" s="3874"/>
      <c r="U268" s="3874"/>
      <c r="V268" s="3874"/>
      <c r="W268" s="3874"/>
      <c r="X268" s="3874"/>
      <c r="Y268" s="3874"/>
      <c r="Z268" s="1097"/>
      <c r="AA268" s="1098"/>
      <c r="AB268" s="1163" t="s">
        <v>1444</v>
      </c>
      <c r="AC268" s="1102"/>
      <c r="AD268" s="1102"/>
      <c r="AE268" s="1104"/>
      <c r="AF268" s="3876"/>
      <c r="AG268" s="3877"/>
      <c r="AH268" s="3877"/>
      <c r="AI268" s="3876"/>
      <c r="AJ268" s="3877"/>
      <c r="AK268" s="3877"/>
      <c r="AL268" s="1874"/>
      <c r="AM268" s="1714"/>
      <c r="AN268" s="1714"/>
      <c r="AO268" s="1714"/>
      <c r="AP268" s="1714"/>
      <c r="AQ268" s="1714"/>
      <c r="AR268" s="1714"/>
      <c r="AS268" s="1714"/>
      <c r="AT268" s="1714"/>
      <c r="AU268" s="1714"/>
      <c r="AV268" s="1714"/>
      <c r="AW268" s="1714"/>
      <c r="AX268" s="1714"/>
      <c r="AY268" s="1714"/>
      <c r="AZ268" s="1714"/>
      <c r="BA268" s="1714"/>
      <c r="BB268" s="1714"/>
      <c r="BC268" s="1714"/>
      <c r="BD268" s="1714"/>
      <c r="BE268" s="1714"/>
      <c r="BF268" s="1714"/>
    </row>
    <row r="269" spans="1:58" ht="11.25" customHeight="1">
      <c r="A269" s="1088" t="s">
        <v>1345</v>
      </c>
      <c r="D269" s="1082"/>
      <c r="E269" s="1092"/>
      <c r="F269" s="3895"/>
      <c r="G269" s="3875"/>
      <c r="H269" s="3885" t="s">
        <v>89</v>
      </c>
      <c r="I269" s="3886"/>
      <c r="J269" s="3883"/>
      <c r="K269" s="3887"/>
      <c r="L269" s="3599"/>
      <c r="M269" s="3600"/>
      <c r="N269" s="1097"/>
      <c r="O269" s="1098"/>
      <c r="P269" s="1090" t="s">
        <v>1445</v>
      </c>
      <c r="Q269" s="1098"/>
      <c r="R269" s="1098"/>
      <c r="S269" s="1098"/>
      <c r="T269" s="1098"/>
      <c r="U269" s="1098"/>
      <c r="V269" s="1098"/>
      <c r="W269" s="1098"/>
      <c r="X269" s="1098"/>
      <c r="Y269" s="1098"/>
      <c r="Z269" s="1098"/>
      <c r="AA269" s="1098"/>
      <c r="AB269" s="1098"/>
      <c r="AC269" s="1098"/>
      <c r="AD269" s="1098"/>
      <c r="AE269" s="1105"/>
      <c r="AF269" s="3876"/>
      <c r="AG269" s="3877"/>
      <c r="AH269" s="3877"/>
      <c r="AI269" s="3876"/>
      <c r="AJ269" s="3877"/>
      <c r="AK269" s="3877"/>
      <c r="AL269" s="1874"/>
      <c r="AM269" s="1714"/>
      <c r="AN269" s="1714"/>
      <c r="AO269" s="1714"/>
      <c r="AP269" s="1714"/>
      <c r="AQ269" s="1714"/>
      <c r="AR269" s="1714"/>
      <c r="AS269" s="1714"/>
      <c r="AT269" s="1714"/>
      <c r="AU269" s="1714"/>
      <c r="AV269" s="1714"/>
      <c r="AW269" s="1714"/>
      <c r="AX269" s="1714"/>
      <c r="AY269" s="1714"/>
      <c r="AZ269" s="1714"/>
      <c r="BA269" s="1714"/>
      <c r="BB269" s="1714"/>
      <c r="BC269" s="1714"/>
      <c r="BD269" s="1714"/>
      <c r="BE269" s="1714"/>
      <c r="BF269" s="1714"/>
    </row>
    <row r="270" spans="1:58" ht="11.25" customHeight="1">
      <c r="A270" s="1088" t="s">
        <v>1345</v>
      </c>
      <c r="D270" s="1082"/>
      <c r="E270" s="1092"/>
      <c r="F270" s="3895"/>
      <c r="G270" s="3853" t="s">
        <v>90</v>
      </c>
      <c r="H270" s="3885" t="s">
        <v>79</v>
      </c>
      <c r="I270" s="3886"/>
      <c r="J270" s="3883"/>
      <c r="K270" s="3887" t="s">
        <v>1480</v>
      </c>
      <c r="L270" s="3599" t="s">
        <v>6</v>
      </c>
      <c r="M270" s="3600"/>
      <c r="N270" s="1872"/>
      <c r="O270" s="1099" t="s">
        <v>421</v>
      </c>
      <c r="P270" s="1100"/>
      <c r="Q270" s="1100"/>
      <c r="R270" s="1100"/>
      <c r="S270" s="1100"/>
      <c r="T270" s="1100"/>
      <c r="U270" s="1100"/>
      <c r="V270" s="1100"/>
      <c r="W270" s="1100"/>
      <c r="X270" s="1100"/>
      <c r="Y270" s="1100"/>
      <c r="Z270" s="1100"/>
      <c r="AA270" s="1100"/>
      <c r="AB270" s="1100"/>
      <c r="AC270" s="1100"/>
      <c r="AD270" s="1100"/>
      <c r="AE270" s="1100"/>
      <c r="AF270" s="3876">
        <v>2019</v>
      </c>
      <c r="AG270" s="3877" t="s">
        <v>1447</v>
      </c>
      <c r="AH270" s="3877" t="s">
        <v>1460</v>
      </c>
      <c r="AI270" s="3876">
        <v>2019</v>
      </c>
      <c r="AJ270" s="3877" t="s">
        <v>1447</v>
      </c>
      <c r="AK270" s="3877" t="s">
        <v>1460</v>
      </c>
      <c r="AL270" s="1874"/>
      <c r="AM270" s="1714"/>
      <c r="AN270" s="1714"/>
      <c r="AO270" s="1714"/>
      <c r="AP270" s="1714"/>
      <c r="AQ270" s="1714"/>
      <c r="AR270" s="1714"/>
      <c r="AS270" s="1714"/>
      <c r="AT270" s="1714"/>
      <c r="AU270" s="1714"/>
      <c r="AV270" s="1714"/>
      <c r="AW270" s="1714"/>
      <c r="AX270" s="1714"/>
      <c r="AY270" s="1714"/>
      <c r="AZ270" s="1714"/>
      <c r="BA270" s="1714"/>
      <c r="BB270" s="1714"/>
      <c r="BC270" s="1714"/>
      <c r="BD270" s="1714"/>
      <c r="BE270" s="1714"/>
      <c r="BF270" s="1714"/>
    </row>
    <row r="271" spans="1:58" ht="11.25" customHeight="1">
      <c r="A271" s="1088" t="s">
        <v>1345</v>
      </c>
      <c r="D271" s="1082"/>
      <c r="E271" s="1092"/>
      <c r="F271" s="3895"/>
      <c r="G271" s="3875"/>
      <c r="H271" s="3885" t="s">
        <v>78</v>
      </c>
      <c r="I271" s="3886"/>
      <c r="J271" s="3883"/>
      <c r="K271" s="3887"/>
      <c r="L271" s="3599"/>
      <c r="M271" s="3600"/>
      <c r="N271" s="3878"/>
      <c r="O271" s="3879">
        <v>1</v>
      </c>
      <c r="P271" s="3880" t="s">
        <v>50</v>
      </c>
      <c r="Q271" s="3883" t="s">
        <v>1476</v>
      </c>
      <c r="R271" s="3884" t="s">
        <v>1438</v>
      </c>
      <c r="S271" s="3884" t="s">
        <v>92</v>
      </c>
      <c r="T271" s="3884" t="s">
        <v>92</v>
      </c>
      <c r="U271" s="3884" t="s">
        <v>93</v>
      </c>
      <c r="V271" s="3884" t="s">
        <v>1462</v>
      </c>
      <c r="W271" s="3884" t="s">
        <v>1463</v>
      </c>
      <c r="X271" s="3884" t="s">
        <v>1477</v>
      </c>
      <c r="Y271" s="3884" t="s">
        <v>1478</v>
      </c>
      <c r="Z271" s="1097"/>
      <c r="AA271" s="1098"/>
      <c r="AB271" s="1098"/>
      <c r="AC271" s="1102"/>
      <c r="AD271" s="1102"/>
      <c r="AE271" s="1103"/>
      <c r="AF271" s="3876"/>
      <c r="AG271" s="3877"/>
      <c r="AH271" s="3877"/>
      <c r="AI271" s="3876"/>
      <c r="AJ271" s="3877"/>
      <c r="AK271" s="3877"/>
      <c r="AL271" s="1874"/>
      <c r="AM271" s="1714"/>
      <c r="AN271" s="1714"/>
      <c r="AO271" s="1714"/>
      <c r="AP271" s="1714"/>
      <c r="AQ271" s="1714"/>
      <c r="AR271" s="1714"/>
      <c r="AS271" s="1714"/>
      <c r="AT271" s="1714"/>
      <c r="AU271" s="1714"/>
      <c r="AV271" s="1714"/>
      <c r="AW271" s="1714"/>
      <c r="AX271" s="1714"/>
      <c r="AY271" s="1714"/>
      <c r="AZ271" s="1714"/>
      <c r="BA271" s="1714"/>
      <c r="BB271" s="1714"/>
      <c r="BC271" s="1714"/>
      <c r="BD271" s="1714"/>
      <c r="BE271" s="1714"/>
      <c r="BF271" s="1714"/>
    </row>
    <row r="272" spans="1:58" ht="11.25" customHeight="1">
      <c r="A272" s="1088" t="s">
        <v>1345</v>
      </c>
      <c r="D272" s="1082"/>
      <c r="E272" s="1092"/>
      <c r="F272" s="3895"/>
      <c r="G272" s="3875"/>
      <c r="H272" s="3885" t="s">
        <v>78</v>
      </c>
      <c r="I272" s="3886"/>
      <c r="J272" s="3883"/>
      <c r="K272" s="3887"/>
      <c r="L272" s="3599"/>
      <c r="M272" s="3600"/>
      <c r="N272" s="3878"/>
      <c r="O272" s="3879"/>
      <c r="P272" s="3881"/>
      <c r="Q272" s="3883"/>
      <c r="R272" s="3874"/>
      <c r="S272" s="3884"/>
      <c r="T272" s="3874"/>
      <c r="U272" s="3874"/>
      <c r="V272" s="3874"/>
      <c r="W272" s="3874"/>
      <c r="X272" s="3874"/>
      <c r="Y272" s="3874"/>
      <c r="Z272" s="1719"/>
      <c r="AA272" s="1686">
        <v>1</v>
      </c>
      <c r="AB272" s="1101" t="s">
        <v>1473</v>
      </c>
      <c r="AC272" s="1091">
        <v>1696.24</v>
      </c>
      <c r="AD272" s="1101" t="str">
        <f>AB272</f>
        <v xml:space="preserve">  Кредиты</v>
      </c>
      <c r="AE272" s="1091">
        <v>0</v>
      </c>
      <c r="AF272" s="3876"/>
      <c r="AG272" s="3877"/>
      <c r="AH272" s="3877"/>
      <c r="AI272" s="3876"/>
      <c r="AJ272" s="3877"/>
      <c r="AK272" s="3877"/>
      <c r="AL272" s="1874"/>
      <c r="AM272" s="1714"/>
      <c r="AN272" s="1714"/>
      <c r="AO272" s="1714"/>
      <c r="AP272" s="1714"/>
      <c r="AQ272" s="1714"/>
      <c r="AR272" s="1714"/>
      <c r="AS272" s="1714"/>
      <c r="AT272" s="1714"/>
      <c r="AU272" s="1714"/>
      <c r="AV272" s="1714"/>
      <c r="AW272" s="1714"/>
      <c r="AX272" s="1714"/>
      <c r="AY272" s="1714"/>
      <c r="AZ272" s="1714"/>
      <c r="BA272" s="1714"/>
      <c r="BB272" s="1714"/>
      <c r="BC272" s="1714"/>
      <c r="BD272" s="1714"/>
      <c r="BE272" s="1714"/>
      <c r="BF272" s="1714"/>
    </row>
    <row r="273" spans="1:58" ht="11.25" customHeight="1">
      <c r="A273" s="1088" t="s">
        <v>1345</v>
      </c>
      <c r="D273" s="1082"/>
      <c r="E273" s="1092"/>
      <c r="F273" s="3895"/>
      <c r="G273" s="3875"/>
      <c r="H273" s="3885" t="s">
        <v>78</v>
      </c>
      <c r="I273" s="3886"/>
      <c r="J273" s="3883"/>
      <c r="K273" s="3887"/>
      <c r="L273" s="3599"/>
      <c r="M273" s="3600"/>
      <c r="N273" s="3878"/>
      <c r="O273" s="3879"/>
      <c r="P273" s="3882"/>
      <c r="Q273" s="3883"/>
      <c r="R273" s="3874"/>
      <c r="S273" s="3884"/>
      <c r="T273" s="3874"/>
      <c r="U273" s="3874"/>
      <c r="V273" s="3874"/>
      <c r="W273" s="3874"/>
      <c r="X273" s="3874"/>
      <c r="Y273" s="3874"/>
      <c r="Z273" s="1097"/>
      <c r="AA273" s="1098"/>
      <c r="AB273" s="1163" t="s">
        <v>1444</v>
      </c>
      <c r="AC273" s="1102"/>
      <c r="AD273" s="1102"/>
      <c r="AE273" s="1104"/>
      <c r="AF273" s="3876"/>
      <c r="AG273" s="3877"/>
      <c r="AH273" s="3877"/>
      <c r="AI273" s="3876"/>
      <c r="AJ273" s="3877"/>
      <c r="AK273" s="3877"/>
      <c r="AL273" s="1874"/>
      <c r="AM273" s="1714"/>
      <c r="AN273" s="1714"/>
      <c r="AO273" s="1714"/>
      <c r="AP273" s="1714"/>
      <c r="AQ273" s="1714"/>
      <c r="AR273" s="1714"/>
      <c r="AS273" s="1714"/>
      <c r="AT273" s="1714"/>
      <c r="AU273" s="1714"/>
      <c r="AV273" s="1714"/>
      <c r="AW273" s="1714"/>
      <c r="AX273" s="1714"/>
      <c r="AY273" s="1714"/>
      <c r="AZ273" s="1714"/>
      <c r="BA273" s="1714"/>
      <c r="BB273" s="1714"/>
      <c r="BC273" s="1714"/>
      <c r="BD273" s="1714"/>
      <c r="BE273" s="1714"/>
      <c r="BF273" s="1714"/>
    </row>
    <row r="274" spans="1:58" ht="11.25" customHeight="1">
      <c r="A274" s="1088" t="s">
        <v>1345</v>
      </c>
      <c r="D274" s="1082"/>
      <c r="E274" s="1092"/>
      <c r="F274" s="3895"/>
      <c r="G274" s="3875"/>
      <c r="H274" s="3885" t="s">
        <v>78</v>
      </c>
      <c r="I274" s="3886"/>
      <c r="J274" s="3883"/>
      <c r="K274" s="3887"/>
      <c r="L274" s="3599"/>
      <c r="M274" s="3600"/>
      <c r="N274" s="1097"/>
      <c r="O274" s="1098"/>
      <c r="P274" s="1090" t="s">
        <v>1445</v>
      </c>
      <c r="Q274" s="1098"/>
      <c r="R274" s="1098"/>
      <c r="S274" s="1098"/>
      <c r="T274" s="1098"/>
      <c r="U274" s="1098"/>
      <c r="V274" s="1098"/>
      <c r="W274" s="1098"/>
      <c r="X274" s="1098"/>
      <c r="Y274" s="1098"/>
      <c r="Z274" s="1098"/>
      <c r="AA274" s="1098"/>
      <c r="AB274" s="1098"/>
      <c r="AC274" s="1098"/>
      <c r="AD274" s="1098"/>
      <c r="AE274" s="1105"/>
      <c r="AF274" s="3876"/>
      <c r="AG274" s="3877"/>
      <c r="AH274" s="3877"/>
      <c r="AI274" s="3876"/>
      <c r="AJ274" s="3877"/>
      <c r="AK274" s="3877"/>
      <c r="AL274" s="1874"/>
      <c r="AM274" s="1714"/>
      <c r="AN274" s="1714"/>
      <c r="AO274" s="1714"/>
      <c r="AP274" s="1714"/>
      <c r="AQ274" s="1714"/>
      <c r="AR274" s="1714"/>
      <c r="AS274" s="1714"/>
      <c r="AT274" s="1714"/>
      <c r="AU274" s="1714"/>
      <c r="AV274" s="1714"/>
      <c r="AW274" s="1714"/>
      <c r="AX274" s="1714"/>
      <c r="AY274" s="1714"/>
      <c r="AZ274" s="1714"/>
      <c r="BA274" s="1714"/>
      <c r="BB274" s="1714"/>
      <c r="BC274" s="1714"/>
      <c r="BD274" s="1714"/>
      <c r="BE274" s="1714"/>
      <c r="BF274" s="1714"/>
    </row>
    <row r="275" spans="1:58" ht="11.25" customHeight="1">
      <c r="A275" s="1088" t="s">
        <v>1345</v>
      </c>
      <c r="D275" s="1082"/>
      <c r="E275" s="1092"/>
      <c r="F275" s="3895"/>
      <c r="G275" s="3853" t="s">
        <v>90</v>
      </c>
      <c r="H275" s="3885" t="s">
        <v>100</v>
      </c>
      <c r="I275" s="3886"/>
      <c r="J275" s="3883"/>
      <c r="K275" s="3887" t="s">
        <v>1481</v>
      </c>
      <c r="L275" s="3599" t="s">
        <v>6</v>
      </c>
      <c r="M275" s="3600"/>
      <c r="N275" s="1872"/>
      <c r="O275" s="1099" t="s">
        <v>421</v>
      </c>
      <c r="P275" s="1100"/>
      <c r="Q275" s="1100"/>
      <c r="R275" s="1100"/>
      <c r="S275" s="1100"/>
      <c r="T275" s="1100"/>
      <c r="U275" s="1100"/>
      <c r="V275" s="1100"/>
      <c r="W275" s="1100"/>
      <c r="X275" s="1100"/>
      <c r="Y275" s="1100"/>
      <c r="Z275" s="1100"/>
      <c r="AA275" s="1100"/>
      <c r="AB275" s="1100"/>
      <c r="AC275" s="1100"/>
      <c r="AD275" s="1100"/>
      <c r="AE275" s="1100"/>
      <c r="AF275" s="3876">
        <v>2019</v>
      </c>
      <c r="AG275" s="3877" t="s">
        <v>1447</v>
      </c>
      <c r="AH275" s="3877" t="s">
        <v>1460</v>
      </c>
      <c r="AI275" s="3876">
        <v>2019</v>
      </c>
      <c r="AJ275" s="3877" t="s">
        <v>1447</v>
      </c>
      <c r="AK275" s="3877" t="s">
        <v>1482</v>
      </c>
      <c r="AL275" s="1874"/>
      <c r="AM275" s="1714"/>
      <c r="AN275" s="1714"/>
      <c r="AO275" s="1714"/>
      <c r="AP275" s="1714"/>
      <c r="AQ275" s="1714"/>
      <c r="AR275" s="1714"/>
      <c r="AS275" s="1714"/>
      <c r="AT275" s="1714"/>
      <c r="AU275" s="1714"/>
      <c r="AV275" s="1714"/>
      <c r="AW275" s="1714"/>
      <c r="AX275" s="1714"/>
      <c r="AY275" s="1714"/>
      <c r="AZ275" s="1714"/>
      <c r="BA275" s="1714"/>
      <c r="BB275" s="1714"/>
      <c r="BC275" s="1714"/>
      <c r="BD275" s="1714"/>
      <c r="BE275" s="1714"/>
      <c r="BF275" s="1714"/>
    </row>
    <row r="276" spans="1:58" ht="11.25" customHeight="1">
      <c r="A276" s="1088" t="s">
        <v>1345</v>
      </c>
      <c r="D276" s="1082"/>
      <c r="E276" s="1092"/>
      <c r="F276" s="3895"/>
      <c r="G276" s="3875"/>
      <c r="H276" s="3885" t="s">
        <v>79</v>
      </c>
      <c r="I276" s="3886"/>
      <c r="J276" s="3883"/>
      <c r="K276" s="3887"/>
      <c r="L276" s="3599"/>
      <c r="M276" s="3600"/>
      <c r="N276" s="3878"/>
      <c r="O276" s="3879">
        <v>1</v>
      </c>
      <c r="P276" s="3880" t="s">
        <v>50</v>
      </c>
      <c r="Q276" s="3883" t="s">
        <v>1476</v>
      </c>
      <c r="R276" s="3884" t="s">
        <v>1438</v>
      </c>
      <c r="S276" s="3884" t="s">
        <v>92</v>
      </c>
      <c r="T276" s="3884" t="s">
        <v>92</v>
      </c>
      <c r="U276" s="3884" t="s">
        <v>93</v>
      </c>
      <c r="V276" s="3884" t="s">
        <v>1462</v>
      </c>
      <c r="W276" s="3884" t="s">
        <v>1463</v>
      </c>
      <c r="X276" s="3884" t="s">
        <v>1477</v>
      </c>
      <c r="Y276" s="3884" t="s">
        <v>1478</v>
      </c>
      <c r="Z276" s="1097"/>
      <c r="AA276" s="1098"/>
      <c r="AB276" s="1098"/>
      <c r="AC276" s="1102"/>
      <c r="AD276" s="1102"/>
      <c r="AE276" s="1103"/>
      <c r="AF276" s="3876"/>
      <c r="AG276" s="3877"/>
      <c r="AH276" s="3877"/>
      <c r="AI276" s="3876"/>
      <c r="AJ276" s="3877"/>
      <c r="AK276" s="3877"/>
      <c r="AL276" s="1874"/>
      <c r="AM276" s="1714"/>
      <c r="AN276" s="1714"/>
      <c r="AO276" s="1714"/>
      <c r="AP276" s="1714"/>
      <c r="AQ276" s="1714"/>
      <c r="AR276" s="1714"/>
      <c r="AS276" s="1714"/>
      <c r="AT276" s="1714"/>
      <c r="AU276" s="1714"/>
      <c r="AV276" s="1714"/>
      <c r="AW276" s="1714"/>
      <c r="AX276" s="1714"/>
      <c r="AY276" s="1714"/>
      <c r="AZ276" s="1714"/>
      <c r="BA276" s="1714"/>
      <c r="BB276" s="1714"/>
      <c r="BC276" s="1714"/>
      <c r="BD276" s="1714"/>
      <c r="BE276" s="1714"/>
      <c r="BF276" s="1714"/>
    </row>
    <row r="277" spans="1:58" ht="11.25" customHeight="1">
      <c r="A277" s="1088" t="s">
        <v>1345</v>
      </c>
      <c r="D277" s="1082"/>
      <c r="E277" s="1092"/>
      <c r="F277" s="3895"/>
      <c r="G277" s="3875"/>
      <c r="H277" s="3885" t="s">
        <v>79</v>
      </c>
      <c r="I277" s="3886"/>
      <c r="J277" s="3883"/>
      <c r="K277" s="3887"/>
      <c r="L277" s="3599"/>
      <c r="M277" s="3600"/>
      <c r="N277" s="3878"/>
      <c r="O277" s="3879"/>
      <c r="P277" s="3881"/>
      <c r="Q277" s="3883"/>
      <c r="R277" s="3874"/>
      <c r="S277" s="3884"/>
      <c r="T277" s="3874"/>
      <c r="U277" s="3874"/>
      <c r="V277" s="3874"/>
      <c r="W277" s="3874"/>
      <c r="X277" s="3874"/>
      <c r="Y277" s="3874"/>
      <c r="Z277" s="1719"/>
      <c r="AA277" s="1686">
        <v>1</v>
      </c>
      <c r="AB277" s="1101" t="s">
        <v>1473</v>
      </c>
      <c r="AC277" s="1091">
        <v>2071.91</v>
      </c>
      <c r="AD277" s="1101" t="str">
        <f>AB277</f>
        <v xml:space="preserve">  Кредиты</v>
      </c>
      <c r="AE277" s="1091">
        <v>0</v>
      </c>
      <c r="AF277" s="3876"/>
      <c r="AG277" s="3877"/>
      <c r="AH277" s="3877"/>
      <c r="AI277" s="3876"/>
      <c r="AJ277" s="3877"/>
      <c r="AK277" s="3877"/>
      <c r="AL277" s="1874"/>
      <c r="AM277" s="1714"/>
      <c r="AN277" s="1714"/>
      <c r="AO277" s="1714"/>
      <c r="AP277" s="1714"/>
      <c r="AQ277" s="1714"/>
      <c r="AR277" s="1714"/>
      <c r="AS277" s="1714"/>
      <c r="AT277" s="1714"/>
      <c r="AU277" s="1714"/>
      <c r="AV277" s="1714"/>
      <c r="AW277" s="1714"/>
      <c r="AX277" s="1714"/>
      <c r="AY277" s="1714"/>
      <c r="AZ277" s="1714"/>
      <c r="BA277" s="1714"/>
      <c r="BB277" s="1714"/>
      <c r="BC277" s="1714"/>
      <c r="BD277" s="1714"/>
      <c r="BE277" s="1714"/>
      <c r="BF277" s="1714"/>
    </row>
    <row r="278" spans="1:58" ht="11.25" customHeight="1">
      <c r="A278" s="1088" t="s">
        <v>1345</v>
      </c>
      <c r="D278" s="1082"/>
      <c r="E278" s="1092"/>
      <c r="F278" s="3895"/>
      <c r="G278" s="3875"/>
      <c r="H278" s="3885" t="s">
        <v>79</v>
      </c>
      <c r="I278" s="3886"/>
      <c r="J278" s="3883"/>
      <c r="K278" s="3887"/>
      <c r="L278" s="3599"/>
      <c r="M278" s="3600"/>
      <c r="N278" s="3878"/>
      <c r="O278" s="3879"/>
      <c r="P278" s="3882"/>
      <c r="Q278" s="3883"/>
      <c r="R278" s="3874"/>
      <c r="S278" s="3884"/>
      <c r="T278" s="3874"/>
      <c r="U278" s="3874"/>
      <c r="V278" s="3874"/>
      <c r="W278" s="3874"/>
      <c r="X278" s="3874"/>
      <c r="Y278" s="3874"/>
      <c r="Z278" s="1097"/>
      <c r="AA278" s="1098"/>
      <c r="AB278" s="1163" t="s">
        <v>1444</v>
      </c>
      <c r="AC278" s="1102"/>
      <c r="AD278" s="1102"/>
      <c r="AE278" s="1104"/>
      <c r="AF278" s="3876"/>
      <c r="AG278" s="3877"/>
      <c r="AH278" s="3877"/>
      <c r="AI278" s="3876"/>
      <c r="AJ278" s="3877"/>
      <c r="AK278" s="3877"/>
      <c r="AL278" s="1874"/>
      <c r="AM278" s="1714"/>
      <c r="AN278" s="1714"/>
      <c r="AO278" s="1714"/>
      <c r="AP278" s="1714"/>
      <c r="AQ278" s="1714"/>
      <c r="AR278" s="1714"/>
      <c r="AS278" s="1714"/>
      <c r="AT278" s="1714"/>
      <c r="AU278" s="1714"/>
      <c r="AV278" s="1714"/>
      <c r="AW278" s="1714"/>
      <c r="AX278" s="1714"/>
      <c r="AY278" s="1714"/>
      <c r="AZ278" s="1714"/>
      <c r="BA278" s="1714"/>
      <c r="BB278" s="1714"/>
      <c r="BC278" s="1714"/>
      <c r="BD278" s="1714"/>
      <c r="BE278" s="1714"/>
      <c r="BF278" s="1714"/>
    </row>
    <row r="279" spans="1:58" ht="11.25" customHeight="1">
      <c r="A279" s="1088" t="s">
        <v>1345</v>
      </c>
      <c r="D279" s="1082"/>
      <c r="E279" s="1092"/>
      <c r="F279" s="3895"/>
      <c r="G279" s="3875"/>
      <c r="H279" s="3885" t="s">
        <v>79</v>
      </c>
      <c r="I279" s="3886"/>
      <c r="J279" s="3883"/>
      <c r="K279" s="3887"/>
      <c r="L279" s="3599"/>
      <c r="M279" s="3600"/>
      <c r="N279" s="1097"/>
      <c r="O279" s="1098"/>
      <c r="P279" s="1090" t="s">
        <v>1445</v>
      </c>
      <c r="Q279" s="1098"/>
      <c r="R279" s="1098"/>
      <c r="S279" s="1098"/>
      <c r="T279" s="1098"/>
      <c r="U279" s="1098"/>
      <c r="V279" s="1098"/>
      <c r="W279" s="1098"/>
      <c r="X279" s="1098"/>
      <c r="Y279" s="1098"/>
      <c r="Z279" s="1098"/>
      <c r="AA279" s="1098"/>
      <c r="AB279" s="1098"/>
      <c r="AC279" s="1098"/>
      <c r="AD279" s="1098"/>
      <c r="AE279" s="1105"/>
      <c r="AF279" s="3876"/>
      <c r="AG279" s="3877"/>
      <c r="AH279" s="3877"/>
      <c r="AI279" s="3876"/>
      <c r="AJ279" s="3877"/>
      <c r="AK279" s="3877"/>
      <c r="AL279" s="1874"/>
      <c r="AM279" s="1714"/>
      <c r="AN279" s="1714"/>
      <c r="AO279" s="1714"/>
      <c r="AP279" s="1714"/>
      <c r="AQ279" s="1714"/>
      <c r="AR279" s="1714"/>
      <c r="AS279" s="1714"/>
      <c r="AT279" s="1714"/>
      <c r="AU279" s="1714"/>
      <c r="AV279" s="1714"/>
      <c r="AW279" s="1714"/>
      <c r="AX279" s="1714"/>
      <c r="AY279" s="1714"/>
      <c r="AZ279" s="1714"/>
      <c r="BA279" s="1714"/>
      <c r="BB279" s="1714"/>
      <c r="BC279" s="1714"/>
      <c r="BD279" s="1714"/>
      <c r="BE279" s="1714"/>
      <c r="BF279" s="1714"/>
    </row>
    <row r="280" spans="1:58" ht="12" customHeight="1">
      <c r="A280" s="1088" t="s">
        <v>1345</v>
      </c>
      <c r="D280" s="1082"/>
      <c r="E280" s="1092"/>
      <c r="F280" s="3896"/>
      <c r="G280" s="1112"/>
      <c r="H280" s="1112"/>
      <c r="I280" s="3893" t="s">
        <v>1451</v>
      </c>
      <c r="J280" s="3893"/>
      <c r="K280" s="3893"/>
      <c r="L280" s="1095"/>
      <c r="M280" s="1095"/>
      <c r="N280" s="1096"/>
      <c r="O280" s="1096"/>
      <c r="P280" s="1096"/>
      <c r="Q280" s="1096"/>
      <c r="R280" s="1096"/>
      <c r="S280" s="1096"/>
      <c r="T280" s="1096"/>
      <c r="U280" s="1096"/>
      <c r="V280" s="1096"/>
      <c r="W280" s="1096"/>
      <c r="X280" s="1096"/>
      <c r="Y280" s="1096"/>
      <c r="Z280" s="1096"/>
      <c r="AA280" s="1096"/>
      <c r="AB280" s="1096"/>
      <c r="AC280" s="1096"/>
      <c r="AD280" s="1096"/>
      <c r="AE280" s="1096"/>
      <c r="AF280" s="1096"/>
      <c r="AG280" s="1095"/>
      <c r="AH280" s="1095"/>
      <c r="AI280" s="1096"/>
      <c r="AJ280" s="1095"/>
      <c r="AK280" s="1096"/>
      <c r="AL280" s="1874"/>
      <c r="AM280" s="1714"/>
      <c r="AN280" s="1714"/>
      <c r="AO280" s="1714"/>
      <c r="AP280" s="1714"/>
      <c r="AQ280" s="1714"/>
      <c r="AR280" s="1714"/>
      <c r="AS280" s="1714"/>
      <c r="AT280" s="1714"/>
      <c r="AU280" s="1714"/>
      <c r="AV280" s="1714"/>
      <c r="AW280" s="1714"/>
      <c r="AX280" s="1714"/>
      <c r="AY280" s="1714"/>
      <c r="AZ280" s="1714"/>
      <c r="BA280" s="1714"/>
      <c r="BB280" s="1714"/>
      <c r="BC280" s="1714"/>
      <c r="BD280" s="1714"/>
      <c r="BE280" s="1714"/>
      <c r="BF280" s="1714"/>
    </row>
    <row r="281" spans="1:58" ht="0.75" customHeight="1">
      <c r="A281" s="1088" t="s">
        <v>1345</v>
      </c>
      <c r="D281" s="1082"/>
      <c r="E281" s="1092"/>
      <c r="F281" s="3894">
        <v>2021</v>
      </c>
      <c r="G281" s="3885"/>
      <c r="H281" s="3898" t="s">
        <v>421</v>
      </c>
      <c r="I281" s="3899"/>
      <c r="J281" s="3891"/>
      <c r="K281" s="3891"/>
      <c r="L281" s="3892"/>
      <c r="M281" s="3743"/>
      <c r="N281" s="1922"/>
      <c r="O281" s="1921"/>
      <c r="P281" s="1922"/>
      <c r="Q281" s="1922"/>
      <c r="R281" s="1922"/>
      <c r="S281" s="1922"/>
      <c r="T281" s="1922"/>
      <c r="U281" s="1922"/>
      <c r="V281" s="1922"/>
      <c r="W281" s="1922"/>
      <c r="X281" s="1922"/>
      <c r="Y281" s="1922"/>
      <c r="Z281" s="1922"/>
      <c r="AA281" s="1922"/>
      <c r="AB281" s="1922"/>
      <c r="AC281" s="1922"/>
      <c r="AD281" s="1922"/>
      <c r="AE281" s="1922"/>
      <c r="AF281" s="3897"/>
      <c r="AG281" s="3892"/>
      <c r="AH281" s="3892"/>
      <c r="AI281" s="3897"/>
      <c r="AJ281" s="3892"/>
      <c r="AK281" s="3892"/>
      <c r="AL281" s="1874"/>
      <c r="AM281" s="1714"/>
      <c r="AN281" s="1714"/>
      <c r="AO281" s="1714"/>
      <c r="AP281" s="1714"/>
      <c r="AQ281" s="1714"/>
      <c r="AR281" s="1714"/>
      <c r="AS281" s="1714"/>
      <c r="AT281" s="1714"/>
      <c r="AU281" s="1714"/>
      <c r="AV281" s="1714"/>
      <c r="AW281" s="1714"/>
      <c r="AX281" s="1714"/>
      <c r="AY281" s="1714"/>
      <c r="AZ281" s="1714"/>
      <c r="BA281" s="1714"/>
      <c r="BB281" s="1714"/>
      <c r="BC281" s="1714"/>
      <c r="BD281" s="1714"/>
      <c r="BE281" s="1714"/>
      <c r="BF281" s="1714"/>
    </row>
    <row r="282" spans="1:58" ht="0.75" customHeight="1">
      <c r="A282" s="1088" t="s">
        <v>1345</v>
      </c>
      <c r="D282" s="1082"/>
      <c r="E282" s="1092"/>
      <c r="F282" s="3894"/>
      <c r="G282" s="3885"/>
      <c r="H282" s="3898"/>
      <c r="I282" s="3899"/>
      <c r="J282" s="3891"/>
      <c r="K282" s="3891"/>
      <c r="L282" s="3892"/>
      <c r="M282" s="3743"/>
      <c r="N282" s="3900"/>
      <c r="O282" s="3901"/>
      <c r="P282" s="3888"/>
      <c r="Q282" s="3891"/>
      <c r="R282" s="3891"/>
      <c r="S282" s="3891"/>
      <c r="T282" s="3891"/>
      <c r="U282" s="3891"/>
      <c r="V282" s="3891"/>
      <c r="W282" s="3891"/>
      <c r="X282" s="3891"/>
      <c r="Y282" s="3891"/>
      <c r="Z282" s="1923"/>
      <c r="AA282" s="1924"/>
      <c r="AB282" s="1924"/>
      <c r="AC282" s="1925"/>
      <c r="AD282" s="1925"/>
      <c r="AE282" s="1926"/>
      <c r="AF282" s="3897"/>
      <c r="AG282" s="3892"/>
      <c r="AH282" s="3892"/>
      <c r="AI282" s="3897"/>
      <c r="AJ282" s="3892"/>
      <c r="AK282" s="3892"/>
      <c r="AL282" s="1874"/>
      <c r="AM282" s="1714"/>
      <c r="AN282" s="1714"/>
      <c r="AO282" s="1714"/>
      <c r="AP282" s="1714"/>
      <c r="AQ282" s="1714"/>
      <c r="AR282" s="1714"/>
      <c r="AS282" s="1714"/>
      <c r="AT282" s="1714"/>
      <c r="AU282" s="1714"/>
      <c r="AV282" s="1714"/>
      <c r="AW282" s="1714"/>
      <c r="AX282" s="1714"/>
      <c r="AY282" s="1714"/>
      <c r="AZ282" s="1714"/>
      <c r="BA282" s="1714"/>
      <c r="BB282" s="1714"/>
      <c r="BC282" s="1714"/>
      <c r="BD282" s="1714"/>
      <c r="BE282" s="1714"/>
      <c r="BF282" s="1714"/>
    </row>
    <row r="283" spans="1:58" ht="0.75" customHeight="1">
      <c r="A283" s="1088" t="s">
        <v>1345</v>
      </c>
      <c r="D283" s="1082"/>
      <c r="E283" s="1092"/>
      <c r="F283" s="3894"/>
      <c r="G283" s="3885"/>
      <c r="H283" s="3898"/>
      <c r="I283" s="3899"/>
      <c r="J283" s="3891"/>
      <c r="K283" s="3891"/>
      <c r="L283" s="3892"/>
      <c r="M283" s="3743"/>
      <c r="N283" s="3900"/>
      <c r="O283" s="3901"/>
      <c r="P283" s="3889"/>
      <c r="Q283" s="3891"/>
      <c r="R283" s="3891"/>
      <c r="S283" s="3891"/>
      <c r="T283" s="3891"/>
      <c r="U283" s="3891"/>
      <c r="V283" s="3891"/>
      <c r="W283" s="3891"/>
      <c r="X283" s="3891"/>
      <c r="Y283" s="3891"/>
      <c r="Z283" s="1927"/>
      <c r="AA283" s="1928"/>
      <c r="AB283" s="1929"/>
      <c r="AC283" s="1930"/>
      <c r="AD283" s="1929"/>
      <c r="AE283" s="1930"/>
      <c r="AF283" s="3897"/>
      <c r="AG283" s="3892"/>
      <c r="AH283" s="3892"/>
      <c r="AI283" s="3897"/>
      <c r="AJ283" s="3892"/>
      <c r="AK283" s="3892"/>
      <c r="AL283" s="1874"/>
      <c r="AM283" s="1714"/>
      <c r="AN283" s="1714"/>
      <c r="AO283" s="1714"/>
      <c r="AP283" s="1714"/>
      <c r="AQ283" s="1714"/>
      <c r="AR283" s="1714"/>
      <c r="AS283" s="1714"/>
      <c r="AT283" s="1714"/>
      <c r="AU283" s="1714"/>
      <c r="AV283" s="1714"/>
      <c r="AW283" s="1714"/>
      <c r="AX283" s="1714"/>
      <c r="AY283" s="1714"/>
      <c r="AZ283" s="1714"/>
      <c r="BA283" s="1714"/>
      <c r="BB283" s="1714"/>
      <c r="BC283" s="1714"/>
      <c r="BD283" s="1714"/>
      <c r="BE283" s="1714"/>
      <c r="BF283" s="1714"/>
    </row>
    <row r="284" spans="1:58" ht="0.75" customHeight="1">
      <c r="A284" s="1088" t="s">
        <v>1345</v>
      </c>
      <c r="D284" s="1082"/>
      <c r="E284" s="1092"/>
      <c r="F284" s="3894"/>
      <c r="G284" s="3885"/>
      <c r="H284" s="3898"/>
      <c r="I284" s="3899"/>
      <c r="J284" s="3891"/>
      <c r="K284" s="3891"/>
      <c r="L284" s="3892"/>
      <c r="M284" s="3743"/>
      <c r="N284" s="3900"/>
      <c r="O284" s="3901"/>
      <c r="P284" s="3890"/>
      <c r="Q284" s="3891"/>
      <c r="R284" s="3891"/>
      <c r="S284" s="3891"/>
      <c r="T284" s="3891"/>
      <c r="U284" s="3891"/>
      <c r="V284" s="3891"/>
      <c r="W284" s="3891"/>
      <c r="X284" s="3891"/>
      <c r="Y284" s="3891"/>
      <c r="Z284" s="1923"/>
      <c r="AA284" s="1924"/>
      <c r="AB284" s="1931"/>
      <c r="AC284" s="1925"/>
      <c r="AD284" s="1925"/>
      <c r="AE284" s="1932"/>
      <c r="AF284" s="3897"/>
      <c r="AG284" s="3892"/>
      <c r="AH284" s="3892"/>
      <c r="AI284" s="3897"/>
      <c r="AJ284" s="3892"/>
      <c r="AK284" s="3892"/>
      <c r="AL284" s="1874"/>
      <c r="AM284" s="1714"/>
      <c r="AN284" s="1714"/>
      <c r="AO284" s="1714"/>
      <c r="AP284" s="1714"/>
      <c r="AQ284" s="1714"/>
      <c r="AR284" s="1714"/>
      <c r="AS284" s="1714"/>
      <c r="AT284" s="1714"/>
      <c r="AU284" s="1714"/>
      <c r="AV284" s="1714"/>
      <c r="AW284" s="1714"/>
      <c r="AX284" s="1714"/>
      <c r="AY284" s="1714"/>
      <c r="AZ284" s="1714"/>
      <c r="BA284" s="1714"/>
      <c r="BB284" s="1714"/>
      <c r="BC284" s="1714"/>
      <c r="BD284" s="1714"/>
      <c r="BE284" s="1714"/>
      <c r="BF284" s="1714"/>
    </row>
    <row r="285" spans="1:58" ht="0.75" customHeight="1">
      <c r="A285" s="1088" t="s">
        <v>1345</v>
      </c>
      <c r="D285" s="1082"/>
      <c r="E285" s="1092"/>
      <c r="F285" s="3894"/>
      <c r="G285" s="3885"/>
      <c r="H285" s="3898"/>
      <c r="I285" s="3899"/>
      <c r="J285" s="3891"/>
      <c r="K285" s="3891"/>
      <c r="L285" s="3892"/>
      <c r="M285" s="3743"/>
      <c r="N285" s="1924"/>
      <c r="O285" s="1924"/>
      <c r="P285" s="1931"/>
      <c r="Q285" s="1924"/>
      <c r="R285" s="1924"/>
      <c r="S285" s="1924"/>
      <c r="T285" s="1924"/>
      <c r="U285" s="1924"/>
      <c r="V285" s="1924"/>
      <c r="W285" s="1924"/>
      <c r="X285" s="1924"/>
      <c r="Y285" s="1924"/>
      <c r="Z285" s="1924"/>
      <c r="AA285" s="1924"/>
      <c r="AB285" s="1924"/>
      <c r="AC285" s="1924"/>
      <c r="AD285" s="1924"/>
      <c r="AE285" s="1933"/>
      <c r="AF285" s="3897"/>
      <c r="AG285" s="3892"/>
      <c r="AH285" s="3892"/>
      <c r="AI285" s="3897"/>
      <c r="AJ285" s="3892"/>
      <c r="AK285" s="3892"/>
      <c r="AL285" s="1874"/>
      <c r="AM285" s="1714"/>
      <c r="AN285" s="1714"/>
      <c r="AO285" s="1714"/>
      <c r="AP285" s="1714"/>
      <c r="AQ285" s="1714"/>
      <c r="AR285" s="1714"/>
      <c r="AS285" s="1714"/>
      <c r="AT285" s="1714"/>
      <c r="AU285" s="1714"/>
      <c r="AV285" s="1714"/>
      <c r="AW285" s="1714"/>
      <c r="AX285" s="1714"/>
      <c r="AY285" s="1714"/>
      <c r="AZ285" s="1714"/>
      <c r="BA285" s="1714"/>
      <c r="BB285" s="1714"/>
      <c r="BC285" s="1714"/>
      <c r="BD285" s="1714"/>
      <c r="BE285" s="1714"/>
      <c r="BF285" s="1714"/>
    </row>
    <row r="286" spans="1:58" ht="11.25" customHeight="1">
      <c r="A286" s="1088" t="s">
        <v>1345</v>
      </c>
      <c r="D286" s="1082"/>
      <c r="E286" s="1092"/>
      <c r="F286" s="3895"/>
      <c r="G286" s="3853" t="s">
        <v>90</v>
      </c>
      <c r="H286" s="3885" t="s">
        <v>164</v>
      </c>
      <c r="I286" s="3886"/>
      <c r="J286" s="3883"/>
      <c r="K286" s="3887" t="s">
        <v>1459</v>
      </c>
      <c r="L286" s="3599" t="s">
        <v>6</v>
      </c>
      <c r="M286" s="3600"/>
      <c r="N286" s="1872"/>
      <c r="O286" s="1099" t="s">
        <v>421</v>
      </c>
      <c r="P286" s="1100"/>
      <c r="Q286" s="1100"/>
      <c r="R286" s="1100"/>
      <c r="S286" s="1100"/>
      <c r="T286" s="1100"/>
      <c r="U286" s="1100"/>
      <c r="V286" s="1100"/>
      <c r="W286" s="1100"/>
      <c r="X286" s="1100"/>
      <c r="Y286" s="1100"/>
      <c r="Z286" s="1100"/>
      <c r="AA286" s="1100"/>
      <c r="AB286" s="1100"/>
      <c r="AC286" s="1100"/>
      <c r="AD286" s="1100"/>
      <c r="AE286" s="1100"/>
      <c r="AF286" s="3876">
        <v>2019</v>
      </c>
      <c r="AG286" s="3877" t="s">
        <v>1447</v>
      </c>
      <c r="AH286" s="3877" t="s">
        <v>1460</v>
      </c>
      <c r="AI286" s="3876">
        <v>2019</v>
      </c>
      <c r="AJ286" s="3877" t="s">
        <v>1447</v>
      </c>
      <c r="AK286" s="3877" t="s">
        <v>1460</v>
      </c>
      <c r="AL286" s="1874"/>
      <c r="AM286" s="1714"/>
      <c r="AN286" s="1714"/>
      <c r="AO286" s="1714"/>
      <c r="AP286" s="1714"/>
      <c r="AQ286" s="1714"/>
      <c r="AR286" s="1714"/>
      <c r="AS286" s="1714"/>
      <c r="AT286" s="1714"/>
      <c r="AU286" s="1714"/>
      <c r="AV286" s="1714"/>
      <c r="AW286" s="1714"/>
      <c r="AX286" s="1714"/>
      <c r="AY286" s="1714"/>
      <c r="AZ286" s="1714"/>
      <c r="BA286" s="1714"/>
      <c r="BB286" s="1714"/>
      <c r="BC286" s="1714"/>
      <c r="BD286" s="1714"/>
      <c r="BE286" s="1714"/>
      <c r="BF286" s="1714"/>
    </row>
    <row r="287" spans="1:58" ht="11.25" customHeight="1">
      <c r="A287" s="1088" t="s">
        <v>1345</v>
      </c>
      <c r="D287" s="1082"/>
      <c r="E287" s="1092"/>
      <c r="F287" s="3895"/>
      <c r="G287" s="3875"/>
      <c r="H287" s="3885" t="s">
        <v>421</v>
      </c>
      <c r="I287" s="3886"/>
      <c r="J287" s="3883"/>
      <c r="K287" s="3887"/>
      <c r="L287" s="3599"/>
      <c r="M287" s="3600"/>
      <c r="N287" s="3878"/>
      <c r="O287" s="3879">
        <v>1</v>
      </c>
      <c r="P287" s="3880" t="s">
        <v>50</v>
      </c>
      <c r="Q287" s="3883" t="s">
        <v>1461</v>
      </c>
      <c r="R287" s="3884" t="s">
        <v>1438</v>
      </c>
      <c r="S287" s="3884" t="s">
        <v>92</v>
      </c>
      <c r="T287" s="3884" t="s">
        <v>92</v>
      </c>
      <c r="U287" s="3884" t="s">
        <v>93</v>
      </c>
      <c r="V287" s="3884" t="s">
        <v>1462</v>
      </c>
      <c r="W287" s="3884" t="s">
        <v>1463</v>
      </c>
      <c r="X287" s="3884" t="s">
        <v>1464</v>
      </c>
      <c r="Y287" s="3884" t="s">
        <v>1465</v>
      </c>
      <c r="Z287" s="1097"/>
      <c r="AA287" s="1098"/>
      <c r="AB287" s="1098"/>
      <c r="AC287" s="1102"/>
      <c r="AD287" s="1102"/>
      <c r="AE287" s="1103"/>
      <c r="AF287" s="3876"/>
      <c r="AG287" s="3877"/>
      <c r="AH287" s="3877"/>
      <c r="AI287" s="3876"/>
      <c r="AJ287" s="3877"/>
      <c r="AK287" s="3877"/>
      <c r="AL287" s="1874"/>
      <c r="AM287" s="1714"/>
      <c r="AN287" s="1714"/>
      <c r="AO287" s="1714"/>
      <c r="AP287" s="1714"/>
      <c r="AQ287" s="1714"/>
      <c r="AR287" s="1714"/>
      <c r="AS287" s="1714"/>
      <c r="AT287" s="1714"/>
      <c r="AU287" s="1714"/>
      <c r="AV287" s="1714"/>
      <c r="AW287" s="1714"/>
      <c r="AX287" s="1714"/>
      <c r="AY287" s="1714"/>
      <c r="AZ287" s="1714"/>
      <c r="BA287" s="1714"/>
      <c r="BB287" s="1714"/>
      <c r="BC287" s="1714"/>
      <c r="BD287" s="1714"/>
      <c r="BE287" s="1714"/>
      <c r="BF287" s="1714"/>
    </row>
    <row r="288" spans="1:58" ht="11.25" customHeight="1">
      <c r="A288" s="1088" t="s">
        <v>1345</v>
      </c>
      <c r="D288" s="1082"/>
      <c r="E288" s="1092"/>
      <c r="F288" s="3895"/>
      <c r="G288" s="3875"/>
      <c r="H288" s="3885" t="s">
        <v>421</v>
      </c>
      <c r="I288" s="3886"/>
      <c r="J288" s="3883"/>
      <c r="K288" s="3887"/>
      <c r="L288" s="3599"/>
      <c r="M288" s="3600"/>
      <c r="N288" s="3878"/>
      <c r="O288" s="3879"/>
      <c r="P288" s="3881"/>
      <c r="Q288" s="3883"/>
      <c r="R288" s="3874"/>
      <c r="S288" s="3884"/>
      <c r="T288" s="3874"/>
      <c r="U288" s="3874"/>
      <c r="V288" s="3874"/>
      <c r="W288" s="3874"/>
      <c r="X288" s="3874"/>
      <c r="Y288" s="3874"/>
      <c r="Z288" s="1719"/>
      <c r="AA288" s="1686">
        <v>1</v>
      </c>
      <c r="AB288" s="1101" t="s">
        <v>1453</v>
      </c>
      <c r="AC288" s="1091">
        <v>4390.16</v>
      </c>
      <c r="AD288" s="1101" t="str">
        <f>AB288</f>
        <v xml:space="preserve">      Амортизационные отчисления с выделением результатов переоценки основных средств и нематериальных активов</v>
      </c>
      <c r="AE288" s="1091">
        <v>0</v>
      </c>
      <c r="AF288" s="3876"/>
      <c r="AG288" s="3877"/>
      <c r="AH288" s="3877"/>
      <c r="AI288" s="3876"/>
      <c r="AJ288" s="3877"/>
      <c r="AK288" s="3877"/>
      <c r="AL288" s="1874"/>
      <c r="AM288" s="1714"/>
      <c r="AN288" s="1714"/>
      <c r="AO288" s="1714"/>
      <c r="AP288" s="1714"/>
      <c r="AQ288" s="1714"/>
      <c r="AR288" s="1714"/>
      <c r="AS288" s="1714"/>
      <c r="AT288" s="1714"/>
      <c r="AU288" s="1714"/>
      <c r="AV288" s="1714"/>
      <c r="AW288" s="1714"/>
      <c r="AX288" s="1714"/>
      <c r="AY288" s="1714"/>
      <c r="AZ288" s="1714"/>
      <c r="BA288" s="1714"/>
      <c r="BB288" s="1714"/>
      <c r="BC288" s="1714"/>
      <c r="BD288" s="1714"/>
      <c r="BE288" s="1714"/>
      <c r="BF288" s="1714"/>
    </row>
    <row r="289" spans="1:58" ht="11.25" customHeight="1">
      <c r="A289" s="1088" t="s">
        <v>1345</v>
      </c>
      <c r="D289" s="1082"/>
      <c r="E289" s="1092"/>
      <c r="F289" s="3895"/>
      <c r="G289" s="3875"/>
      <c r="H289" s="3885" t="s">
        <v>421</v>
      </c>
      <c r="I289" s="3886"/>
      <c r="J289" s="3883"/>
      <c r="K289" s="3887"/>
      <c r="L289" s="3599"/>
      <c r="M289" s="3600"/>
      <c r="N289" s="3878"/>
      <c r="O289" s="3879"/>
      <c r="P289" s="3882"/>
      <c r="Q289" s="3883"/>
      <c r="R289" s="3874"/>
      <c r="S289" s="3884"/>
      <c r="T289" s="3874"/>
      <c r="U289" s="3874"/>
      <c r="V289" s="3874"/>
      <c r="W289" s="3874"/>
      <c r="X289" s="3874"/>
      <c r="Y289" s="3874"/>
      <c r="Z289" s="1097"/>
      <c r="AA289" s="1098"/>
      <c r="AB289" s="1163" t="s">
        <v>1444</v>
      </c>
      <c r="AC289" s="1102"/>
      <c r="AD289" s="1102"/>
      <c r="AE289" s="1104"/>
      <c r="AF289" s="3876"/>
      <c r="AG289" s="3877"/>
      <c r="AH289" s="3877"/>
      <c r="AI289" s="3876"/>
      <c r="AJ289" s="3877"/>
      <c r="AK289" s="3877"/>
      <c r="AL289" s="1874"/>
      <c r="AM289" s="1714"/>
      <c r="AN289" s="1714"/>
      <c r="AO289" s="1714"/>
      <c r="AP289" s="1714"/>
      <c r="AQ289" s="1714"/>
      <c r="AR289" s="1714"/>
      <c r="AS289" s="1714"/>
      <c r="AT289" s="1714"/>
      <c r="AU289" s="1714"/>
      <c r="AV289" s="1714"/>
      <c r="AW289" s="1714"/>
      <c r="AX289" s="1714"/>
      <c r="AY289" s="1714"/>
      <c r="AZ289" s="1714"/>
      <c r="BA289" s="1714"/>
      <c r="BB289" s="1714"/>
      <c r="BC289" s="1714"/>
      <c r="BD289" s="1714"/>
      <c r="BE289" s="1714"/>
      <c r="BF289" s="1714"/>
    </row>
    <row r="290" spans="1:58" ht="11.25" customHeight="1">
      <c r="A290" s="1088" t="s">
        <v>1345</v>
      </c>
      <c r="D290" s="1082"/>
      <c r="E290" s="1092"/>
      <c r="F290" s="3895"/>
      <c r="G290" s="3875"/>
      <c r="H290" s="3885" t="s">
        <v>421</v>
      </c>
      <c r="I290" s="3886"/>
      <c r="J290" s="3883"/>
      <c r="K290" s="3887"/>
      <c r="L290" s="3599"/>
      <c r="M290" s="3600"/>
      <c r="N290" s="1097"/>
      <c r="O290" s="1098"/>
      <c r="P290" s="1090" t="s">
        <v>1445</v>
      </c>
      <c r="Q290" s="1098"/>
      <c r="R290" s="1098"/>
      <c r="S290" s="1098"/>
      <c r="T290" s="1098"/>
      <c r="U290" s="1098"/>
      <c r="V290" s="1098"/>
      <c r="W290" s="1098"/>
      <c r="X290" s="1098"/>
      <c r="Y290" s="1098"/>
      <c r="Z290" s="1098"/>
      <c r="AA290" s="1098"/>
      <c r="AB290" s="1098"/>
      <c r="AC290" s="1098"/>
      <c r="AD290" s="1098"/>
      <c r="AE290" s="1105"/>
      <c r="AF290" s="3876"/>
      <c r="AG290" s="3877"/>
      <c r="AH290" s="3877"/>
      <c r="AI290" s="3876"/>
      <c r="AJ290" s="3877"/>
      <c r="AK290" s="3877"/>
      <c r="AL290" s="1874"/>
      <c r="AM290" s="1714"/>
      <c r="AN290" s="1714"/>
      <c r="AO290" s="1714"/>
      <c r="AP290" s="1714"/>
      <c r="AQ290" s="1714"/>
      <c r="AR290" s="1714"/>
      <c r="AS290" s="1714"/>
      <c r="AT290" s="1714"/>
      <c r="AU290" s="1714"/>
      <c r="AV290" s="1714"/>
      <c r="AW290" s="1714"/>
      <c r="AX290" s="1714"/>
      <c r="AY290" s="1714"/>
      <c r="AZ290" s="1714"/>
      <c r="BA290" s="1714"/>
      <c r="BB290" s="1714"/>
      <c r="BC290" s="1714"/>
      <c r="BD290" s="1714"/>
      <c r="BE290" s="1714"/>
      <c r="BF290" s="1714"/>
    </row>
    <row r="291" spans="1:58" ht="11.25" customHeight="1">
      <c r="A291" s="1088" t="s">
        <v>1345</v>
      </c>
      <c r="D291" s="1082"/>
      <c r="E291" s="1092"/>
      <c r="F291" s="3895"/>
      <c r="G291" s="3853" t="s">
        <v>90</v>
      </c>
      <c r="H291" s="3885" t="s">
        <v>89</v>
      </c>
      <c r="I291" s="3886"/>
      <c r="J291" s="3883"/>
      <c r="K291" s="3887" t="s">
        <v>1466</v>
      </c>
      <c r="L291" s="3599" t="s">
        <v>6</v>
      </c>
      <c r="M291" s="3600"/>
      <c r="N291" s="1872"/>
      <c r="O291" s="1099" t="s">
        <v>421</v>
      </c>
      <c r="P291" s="1100"/>
      <c r="Q291" s="1100"/>
      <c r="R291" s="1100"/>
      <c r="S291" s="1100"/>
      <c r="T291" s="1100"/>
      <c r="U291" s="1100"/>
      <c r="V291" s="1100"/>
      <c r="W291" s="1100"/>
      <c r="X291" s="1100"/>
      <c r="Y291" s="1100"/>
      <c r="Z291" s="1100"/>
      <c r="AA291" s="1100"/>
      <c r="AB291" s="1100"/>
      <c r="AC291" s="1100"/>
      <c r="AD291" s="1100"/>
      <c r="AE291" s="1100"/>
      <c r="AF291" s="3876">
        <v>2019</v>
      </c>
      <c r="AG291" s="3877" t="s">
        <v>1447</v>
      </c>
      <c r="AH291" s="3877" t="s">
        <v>1460</v>
      </c>
      <c r="AI291" s="3876">
        <v>2019</v>
      </c>
      <c r="AJ291" s="3877" t="s">
        <v>1447</v>
      </c>
      <c r="AK291" s="3877" t="s">
        <v>1460</v>
      </c>
      <c r="AL291" s="1874"/>
      <c r="AM291" s="1714"/>
      <c r="AN291" s="1714"/>
      <c r="AO291" s="1714"/>
      <c r="AP291" s="1714"/>
      <c r="AQ291" s="1714"/>
      <c r="AR291" s="1714"/>
      <c r="AS291" s="1714"/>
      <c r="AT291" s="1714"/>
      <c r="AU291" s="1714"/>
      <c r="AV291" s="1714"/>
      <c r="AW291" s="1714"/>
      <c r="AX291" s="1714"/>
      <c r="AY291" s="1714"/>
      <c r="AZ291" s="1714"/>
      <c r="BA291" s="1714"/>
      <c r="BB291" s="1714"/>
      <c r="BC291" s="1714"/>
      <c r="BD291" s="1714"/>
      <c r="BE291" s="1714"/>
      <c r="BF291" s="1714"/>
    </row>
    <row r="292" spans="1:58" ht="11.25" customHeight="1">
      <c r="A292" s="1088" t="s">
        <v>1345</v>
      </c>
      <c r="D292" s="1082"/>
      <c r="E292" s="1092"/>
      <c r="F292" s="3895"/>
      <c r="G292" s="3875"/>
      <c r="H292" s="3885" t="s">
        <v>164</v>
      </c>
      <c r="I292" s="3886"/>
      <c r="J292" s="3883"/>
      <c r="K292" s="3887"/>
      <c r="L292" s="3599"/>
      <c r="M292" s="3600"/>
      <c r="N292" s="3878"/>
      <c r="O292" s="3879">
        <v>1</v>
      </c>
      <c r="P292" s="3880" t="s">
        <v>50</v>
      </c>
      <c r="Q292" s="3883" t="s">
        <v>1467</v>
      </c>
      <c r="R292" s="3884" t="s">
        <v>1438</v>
      </c>
      <c r="S292" s="3884" t="s">
        <v>92</v>
      </c>
      <c r="T292" s="3884" t="s">
        <v>92</v>
      </c>
      <c r="U292" s="3884" t="s">
        <v>93</v>
      </c>
      <c r="V292" s="3884" t="s">
        <v>1462</v>
      </c>
      <c r="W292" s="3884" t="s">
        <v>1463</v>
      </c>
      <c r="X292" s="3884" t="s">
        <v>1468</v>
      </c>
      <c r="Y292" s="3884" t="s">
        <v>1469</v>
      </c>
      <c r="Z292" s="1097"/>
      <c r="AA292" s="1098"/>
      <c r="AB292" s="1098"/>
      <c r="AC292" s="1102"/>
      <c r="AD292" s="1102"/>
      <c r="AE292" s="1103"/>
      <c r="AF292" s="3876"/>
      <c r="AG292" s="3877"/>
      <c r="AH292" s="3877"/>
      <c r="AI292" s="3876"/>
      <c r="AJ292" s="3877"/>
      <c r="AK292" s="3877"/>
      <c r="AL292" s="1874"/>
      <c r="AM292" s="1714"/>
      <c r="AN292" s="1714"/>
      <c r="AO292" s="1714"/>
      <c r="AP292" s="1714"/>
      <c r="AQ292" s="1714"/>
      <c r="AR292" s="1714"/>
      <c r="AS292" s="1714"/>
      <c r="AT292" s="1714"/>
      <c r="AU292" s="1714"/>
      <c r="AV292" s="1714"/>
      <c r="AW292" s="1714"/>
      <c r="AX292" s="1714"/>
      <c r="AY292" s="1714"/>
      <c r="AZ292" s="1714"/>
      <c r="BA292" s="1714"/>
      <c r="BB292" s="1714"/>
      <c r="BC292" s="1714"/>
      <c r="BD292" s="1714"/>
      <c r="BE292" s="1714"/>
      <c r="BF292" s="1714"/>
    </row>
    <row r="293" spans="1:58" ht="11.25" customHeight="1">
      <c r="A293" s="1088" t="s">
        <v>1345</v>
      </c>
      <c r="D293" s="1082"/>
      <c r="E293" s="1092"/>
      <c r="F293" s="3895"/>
      <c r="G293" s="3875"/>
      <c r="H293" s="3885" t="s">
        <v>164</v>
      </c>
      <c r="I293" s="3886"/>
      <c r="J293" s="3883"/>
      <c r="K293" s="3887"/>
      <c r="L293" s="3599"/>
      <c r="M293" s="3600"/>
      <c r="N293" s="3878"/>
      <c r="O293" s="3879"/>
      <c r="P293" s="3881"/>
      <c r="Q293" s="3883"/>
      <c r="R293" s="3874"/>
      <c r="S293" s="3884"/>
      <c r="T293" s="3874"/>
      <c r="U293" s="3874"/>
      <c r="V293" s="3874"/>
      <c r="W293" s="3874"/>
      <c r="X293" s="3874"/>
      <c r="Y293" s="3874"/>
      <c r="Z293" s="1719"/>
      <c r="AA293" s="1686">
        <v>1</v>
      </c>
      <c r="AB293" s="1101" t="s">
        <v>1453</v>
      </c>
      <c r="AC293" s="1091">
        <v>7137.1</v>
      </c>
      <c r="AD293" s="1101" t="str">
        <f>AB293</f>
        <v xml:space="preserve">      Амортизационные отчисления с выделением результатов переоценки основных средств и нематериальных активов</v>
      </c>
      <c r="AE293" s="1091">
        <v>0</v>
      </c>
      <c r="AF293" s="3876"/>
      <c r="AG293" s="3877"/>
      <c r="AH293" s="3877"/>
      <c r="AI293" s="3876"/>
      <c r="AJ293" s="3877"/>
      <c r="AK293" s="3877"/>
      <c r="AL293" s="1874"/>
      <c r="AM293" s="1714"/>
      <c r="AN293" s="1714"/>
      <c r="AO293" s="1714"/>
      <c r="AP293" s="1714"/>
      <c r="AQ293" s="1714"/>
      <c r="AR293" s="1714"/>
      <c r="AS293" s="1714"/>
      <c r="AT293" s="1714"/>
      <c r="AU293" s="1714"/>
      <c r="AV293" s="1714"/>
      <c r="AW293" s="1714"/>
      <c r="AX293" s="1714"/>
      <c r="AY293" s="1714"/>
      <c r="AZ293" s="1714"/>
      <c r="BA293" s="1714"/>
      <c r="BB293" s="1714"/>
      <c r="BC293" s="1714"/>
      <c r="BD293" s="1714"/>
      <c r="BE293" s="1714"/>
      <c r="BF293" s="1714"/>
    </row>
    <row r="294" spans="1:58" ht="11.25" customHeight="1">
      <c r="A294" s="1088" t="s">
        <v>1345</v>
      </c>
      <c r="D294" s="1082"/>
      <c r="E294" s="1092"/>
      <c r="F294" s="3895"/>
      <c r="G294" s="3875"/>
      <c r="H294" s="3885" t="s">
        <v>164</v>
      </c>
      <c r="I294" s="3886"/>
      <c r="J294" s="3883"/>
      <c r="K294" s="3887"/>
      <c r="L294" s="3599"/>
      <c r="M294" s="3600"/>
      <c r="N294" s="3878"/>
      <c r="O294" s="3879"/>
      <c r="P294" s="3882"/>
      <c r="Q294" s="3883"/>
      <c r="R294" s="3874"/>
      <c r="S294" s="3884"/>
      <c r="T294" s="3874"/>
      <c r="U294" s="3874"/>
      <c r="V294" s="3874"/>
      <c r="W294" s="3874"/>
      <c r="X294" s="3874"/>
      <c r="Y294" s="3874"/>
      <c r="Z294" s="1097"/>
      <c r="AA294" s="1098"/>
      <c r="AB294" s="1163" t="s">
        <v>1444</v>
      </c>
      <c r="AC294" s="1102"/>
      <c r="AD294" s="1102"/>
      <c r="AE294" s="1104"/>
      <c r="AF294" s="3876"/>
      <c r="AG294" s="3877"/>
      <c r="AH294" s="3877"/>
      <c r="AI294" s="3876"/>
      <c r="AJ294" s="3877"/>
      <c r="AK294" s="3877"/>
      <c r="AL294" s="1874"/>
      <c r="AM294" s="1714"/>
      <c r="AN294" s="1714"/>
      <c r="AO294" s="1714"/>
      <c r="AP294" s="1714"/>
      <c r="AQ294" s="1714"/>
      <c r="AR294" s="1714"/>
      <c r="AS294" s="1714"/>
      <c r="AT294" s="1714"/>
      <c r="AU294" s="1714"/>
      <c r="AV294" s="1714"/>
      <c r="AW294" s="1714"/>
      <c r="AX294" s="1714"/>
      <c r="AY294" s="1714"/>
      <c r="AZ294" s="1714"/>
      <c r="BA294" s="1714"/>
      <c r="BB294" s="1714"/>
      <c r="BC294" s="1714"/>
      <c r="BD294" s="1714"/>
      <c r="BE294" s="1714"/>
      <c r="BF294" s="1714"/>
    </row>
    <row r="295" spans="1:58" ht="11.25" customHeight="1">
      <c r="A295" s="1088" t="s">
        <v>1345</v>
      </c>
      <c r="D295" s="1082"/>
      <c r="E295" s="1092"/>
      <c r="F295" s="3895"/>
      <c r="G295" s="3875"/>
      <c r="H295" s="3885" t="s">
        <v>164</v>
      </c>
      <c r="I295" s="3886"/>
      <c r="J295" s="3883"/>
      <c r="K295" s="3887"/>
      <c r="L295" s="3599"/>
      <c r="M295" s="3600"/>
      <c r="N295" s="1097"/>
      <c r="O295" s="1098"/>
      <c r="P295" s="1090" t="s">
        <v>1445</v>
      </c>
      <c r="Q295" s="1098"/>
      <c r="R295" s="1098"/>
      <c r="S295" s="1098"/>
      <c r="T295" s="1098"/>
      <c r="U295" s="1098"/>
      <c r="V295" s="1098"/>
      <c r="W295" s="1098"/>
      <c r="X295" s="1098"/>
      <c r="Y295" s="1098"/>
      <c r="Z295" s="1098"/>
      <c r="AA295" s="1098"/>
      <c r="AB295" s="1098"/>
      <c r="AC295" s="1098"/>
      <c r="AD295" s="1098"/>
      <c r="AE295" s="1105"/>
      <c r="AF295" s="3876"/>
      <c r="AG295" s="3877"/>
      <c r="AH295" s="3877"/>
      <c r="AI295" s="3876"/>
      <c r="AJ295" s="3877"/>
      <c r="AK295" s="3877"/>
      <c r="AL295" s="1874"/>
      <c r="AM295" s="1714"/>
      <c r="AN295" s="1714"/>
      <c r="AO295" s="1714"/>
      <c r="AP295" s="1714"/>
      <c r="AQ295" s="1714"/>
      <c r="AR295" s="1714"/>
      <c r="AS295" s="1714"/>
      <c r="AT295" s="1714"/>
      <c r="AU295" s="1714"/>
      <c r="AV295" s="1714"/>
      <c r="AW295" s="1714"/>
      <c r="AX295" s="1714"/>
      <c r="AY295" s="1714"/>
      <c r="AZ295" s="1714"/>
      <c r="BA295" s="1714"/>
      <c r="BB295" s="1714"/>
      <c r="BC295" s="1714"/>
      <c r="BD295" s="1714"/>
      <c r="BE295" s="1714"/>
      <c r="BF295" s="1714"/>
    </row>
    <row r="296" spans="1:58" ht="11.25" customHeight="1">
      <c r="A296" s="1088" t="s">
        <v>1345</v>
      </c>
      <c r="D296" s="1082"/>
      <c r="E296" s="1092"/>
      <c r="F296" s="3895"/>
      <c r="G296" s="3853" t="s">
        <v>90</v>
      </c>
      <c r="H296" s="3885" t="s">
        <v>78</v>
      </c>
      <c r="I296" s="3886"/>
      <c r="J296" s="3883"/>
      <c r="K296" s="3887" t="s">
        <v>1470</v>
      </c>
      <c r="L296" s="3599" t="s">
        <v>6</v>
      </c>
      <c r="M296" s="3600"/>
      <c r="N296" s="1872"/>
      <c r="O296" s="1099" t="s">
        <v>421</v>
      </c>
      <c r="P296" s="1100"/>
      <c r="Q296" s="1100"/>
      <c r="R296" s="1100"/>
      <c r="S296" s="1100"/>
      <c r="T296" s="1100"/>
      <c r="U296" s="1100"/>
      <c r="V296" s="1100"/>
      <c r="W296" s="1100"/>
      <c r="X296" s="1100"/>
      <c r="Y296" s="1100"/>
      <c r="Z296" s="1100"/>
      <c r="AA296" s="1100"/>
      <c r="AB296" s="1100"/>
      <c r="AC296" s="1100"/>
      <c r="AD296" s="1100"/>
      <c r="AE296" s="1100"/>
      <c r="AF296" s="3876">
        <v>2019</v>
      </c>
      <c r="AG296" s="3877" t="s">
        <v>1447</v>
      </c>
      <c r="AH296" s="3877" t="s">
        <v>1460</v>
      </c>
      <c r="AI296" s="3876">
        <v>2019</v>
      </c>
      <c r="AJ296" s="3877" t="s">
        <v>1435</v>
      </c>
      <c r="AK296" s="3877" t="s">
        <v>1460</v>
      </c>
      <c r="AL296" s="1874"/>
      <c r="AM296" s="1714"/>
      <c r="AN296" s="1714"/>
      <c r="AO296" s="1714"/>
      <c r="AP296" s="1714"/>
      <c r="AQ296" s="1714"/>
      <c r="AR296" s="1714"/>
      <c r="AS296" s="1714"/>
      <c r="AT296" s="1714"/>
      <c r="AU296" s="1714"/>
      <c r="AV296" s="1714"/>
      <c r="AW296" s="1714"/>
      <c r="AX296" s="1714"/>
      <c r="AY296" s="1714"/>
      <c r="AZ296" s="1714"/>
      <c r="BA296" s="1714"/>
      <c r="BB296" s="1714"/>
      <c r="BC296" s="1714"/>
      <c r="BD296" s="1714"/>
      <c r="BE296" s="1714"/>
      <c r="BF296" s="1714"/>
    </row>
    <row r="297" spans="1:58" ht="11.25" customHeight="1">
      <c r="A297" s="1088" t="s">
        <v>1345</v>
      </c>
      <c r="D297" s="1082"/>
      <c r="E297" s="1092"/>
      <c r="F297" s="3895"/>
      <c r="G297" s="3875"/>
      <c r="H297" s="3885" t="s">
        <v>89</v>
      </c>
      <c r="I297" s="3886"/>
      <c r="J297" s="3883"/>
      <c r="K297" s="3887"/>
      <c r="L297" s="3599"/>
      <c r="M297" s="3600"/>
      <c r="N297" s="3878"/>
      <c r="O297" s="3879">
        <v>1</v>
      </c>
      <c r="P297" s="3880" t="s">
        <v>50</v>
      </c>
      <c r="Q297" s="3883" t="s">
        <v>1471</v>
      </c>
      <c r="R297" s="3884" t="s">
        <v>1438</v>
      </c>
      <c r="S297" s="3884" t="s">
        <v>92</v>
      </c>
      <c r="T297" s="3884" t="s">
        <v>92</v>
      </c>
      <c r="U297" s="3884" t="s">
        <v>93</v>
      </c>
      <c r="V297" s="3884" t="s">
        <v>1462</v>
      </c>
      <c r="W297" s="3884" t="s">
        <v>1463</v>
      </c>
      <c r="X297" s="3884" t="s">
        <v>1472</v>
      </c>
      <c r="Y297" s="3884" t="s">
        <v>1442</v>
      </c>
      <c r="Z297" s="1097"/>
      <c r="AA297" s="1098"/>
      <c r="AB297" s="1098"/>
      <c r="AC297" s="1102"/>
      <c r="AD297" s="1102"/>
      <c r="AE297" s="1103"/>
      <c r="AF297" s="3876"/>
      <c r="AG297" s="3877"/>
      <c r="AH297" s="3877"/>
      <c r="AI297" s="3876"/>
      <c r="AJ297" s="3877"/>
      <c r="AK297" s="3877"/>
      <c r="AL297" s="1874"/>
      <c r="AM297" s="1714"/>
      <c r="AN297" s="1714"/>
      <c r="AO297" s="1714"/>
      <c r="AP297" s="1714"/>
      <c r="AQ297" s="1714"/>
      <c r="AR297" s="1714"/>
      <c r="AS297" s="1714"/>
      <c r="AT297" s="1714"/>
      <c r="AU297" s="1714"/>
      <c r="AV297" s="1714"/>
      <c r="AW297" s="1714"/>
      <c r="AX297" s="1714"/>
      <c r="AY297" s="1714"/>
      <c r="AZ297" s="1714"/>
      <c r="BA297" s="1714"/>
      <c r="BB297" s="1714"/>
      <c r="BC297" s="1714"/>
      <c r="BD297" s="1714"/>
      <c r="BE297" s="1714"/>
      <c r="BF297" s="1714"/>
    </row>
    <row r="298" spans="1:58" ht="11.25" customHeight="1">
      <c r="A298" s="1088" t="s">
        <v>1345</v>
      </c>
      <c r="D298" s="1082"/>
      <c r="E298" s="1092"/>
      <c r="F298" s="3895"/>
      <c r="G298" s="3875"/>
      <c r="H298" s="3885" t="s">
        <v>89</v>
      </c>
      <c r="I298" s="3886"/>
      <c r="J298" s="3883"/>
      <c r="K298" s="3887"/>
      <c r="L298" s="3599"/>
      <c r="M298" s="3600"/>
      <c r="N298" s="3878"/>
      <c r="O298" s="3879"/>
      <c r="P298" s="3881"/>
      <c r="Q298" s="3883"/>
      <c r="R298" s="3874"/>
      <c r="S298" s="3884"/>
      <c r="T298" s="3874"/>
      <c r="U298" s="3874"/>
      <c r="V298" s="3874"/>
      <c r="W298" s="3874"/>
      <c r="X298" s="3874"/>
      <c r="Y298" s="3874"/>
      <c r="Z298" s="1719"/>
      <c r="AA298" s="1686">
        <v>1</v>
      </c>
      <c r="AB298" s="1101" t="s">
        <v>1473</v>
      </c>
      <c r="AC298" s="1091">
        <v>9599.1299999999992</v>
      </c>
      <c r="AD298" s="1101" t="str">
        <f>AB298</f>
        <v xml:space="preserve">  Кредиты</v>
      </c>
      <c r="AE298" s="1091">
        <v>0</v>
      </c>
      <c r="AF298" s="3876"/>
      <c r="AG298" s="3877"/>
      <c r="AH298" s="3877"/>
      <c r="AI298" s="3876"/>
      <c r="AJ298" s="3877"/>
      <c r="AK298" s="3877"/>
      <c r="AL298" s="1874"/>
      <c r="AM298" s="1714"/>
      <c r="AN298" s="1714"/>
      <c r="AO298" s="1714"/>
      <c r="AP298" s="1714"/>
      <c r="AQ298" s="1714"/>
      <c r="AR298" s="1714"/>
      <c r="AS298" s="1714"/>
      <c r="AT298" s="1714"/>
      <c r="AU298" s="1714"/>
      <c r="AV298" s="1714"/>
      <c r="AW298" s="1714"/>
      <c r="AX298" s="1714"/>
      <c r="AY298" s="1714"/>
      <c r="AZ298" s="1714"/>
      <c r="BA298" s="1714"/>
      <c r="BB298" s="1714"/>
      <c r="BC298" s="1714"/>
      <c r="BD298" s="1714"/>
      <c r="BE298" s="1714"/>
      <c r="BF298" s="1714"/>
    </row>
    <row r="299" spans="1:58" ht="11.25" customHeight="1">
      <c r="A299" s="1088" t="s">
        <v>1345</v>
      </c>
      <c r="D299" s="1082"/>
      <c r="E299" s="1092"/>
      <c r="F299" s="3895"/>
      <c r="G299" s="3875"/>
      <c r="H299" s="3885" t="s">
        <v>89</v>
      </c>
      <c r="I299" s="3886"/>
      <c r="J299" s="3883"/>
      <c r="K299" s="3887"/>
      <c r="L299" s="3599"/>
      <c r="M299" s="3600"/>
      <c r="N299" s="3878"/>
      <c r="O299" s="3879"/>
      <c r="P299" s="3882"/>
      <c r="Q299" s="3883"/>
      <c r="R299" s="3874"/>
      <c r="S299" s="3884"/>
      <c r="T299" s="3874"/>
      <c r="U299" s="3874"/>
      <c r="V299" s="3874"/>
      <c r="W299" s="3874"/>
      <c r="X299" s="3874"/>
      <c r="Y299" s="3874"/>
      <c r="Z299" s="1097"/>
      <c r="AA299" s="1098"/>
      <c r="AB299" s="1163" t="s">
        <v>1444</v>
      </c>
      <c r="AC299" s="1102"/>
      <c r="AD299" s="1102"/>
      <c r="AE299" s="1104"/>
      <c r="AF299" s="3876"/>
      <c r="AG299" s="3877"/>
      <c r="AH299" s="3877"/>
      <c r="AI299" s="3876"/>
      <c r="AJ299" s="3877"/>
      <c r="AK299" s="3877"/>
      <c r="AL299" s="1874"/>
      <c r="AM299" s="1714"/>
      <c r="AN299" s="1714"/>
      <c r="AO299" s="1714"/>
      <c r="AP299" s="1714"/>
      <c r="AQ299" s="1714"/>
      <c r="AR299" s="1714"/>
      <c r="AS299" s="1714"/>
      <c r="AT299" s="1714"/>
      <c r="AU299" s="1714"/>
      <c r="AV299" s="1714"/>
      <c r="AW299" s="1714"/>
      <c r="AX299" s="1714"/>
      <c r="AY299" s="1714"/>
      <c r="AZ299" s="1714"/>
      <c r="BA299" s="1714"/>
      <c r="BB299" s="1714"/>
      <c r="BC299" s="1714"/>
      <c r="BD299" s="1714"/>
      <c r="BE299" s="1714"/>
      <c r="BF299" s="1714"/>
    </row>
    <row r="300" spans="1:58" ht="11.25" customHeight="1">
      <c r="A300" s="1088" t="s">
        <v>1345</v>
      </c>
      <c r="D300" s="1082"/>
      <c r="E300" s="1092"/>
      <c r="F300" s="3895"/>
      <c r="G300" s="3875"/>
      <c r="H300" s="3885" t="s">
        <v>89</v>
      </c>
      <c r="I300" s="3886"/>
      <c r="J300" s="3883"/>
      <c r="K300" s="3887"/>
      <c r="L300" s="3599"/>
      <c r="M300" s="3600"/>
      <c r="N300" s="1097"/>
      <c r="O300" s="1098"/>
      <c r="P300" s="1090" t="s">
        <v>1445</v>
      </c>
      <c r="Q300" s="1098"/>
      <c r="R300" s="1098"/>
      <c r="S300" s="1098"/>
      <c r="T300" s="1098"/>
      <c r="U300" s="1098"/>
      <c r="V300" s="1098"/>
      <c r="W300" s="1098"/>
      <c r="X300" s="1098"/>
      <c r="Y300" s="1098"/>
      <c r="Z300" s="1098"/>
      <c r="AA300" s="1098"/>
      <c r="AB300" s="1098"/>
      <c r="AC300" s="1098"/>
      <c r="AD300" s="1098"/>
      <c r="AE300" s="1105"/>
      <c r="AF300" s="3876"/>
      <c r="AG300" s="3877"/>
      <c r="AH300" s="3877"/>
      <c r="AI300" s="3876"/>
      <c r="AJ300" s="3877"/>
      <c r="AK300" s="3877"/>
      <c r="AL300" s="1874"/>
      <c r="AM300" s="1714"/>
      <c r="AN300" s="1714"/>
      <c r="AO300" s="1714"/>
      <c r="AP300" s="1714"/>
      <c r="AQ300" s="1714"/>
      <c r="AR300" s="1714"/>
      <c r="AS300" s="1714"/>
      <c r="AT300" s="1714"/>
      <c r="AU300" s="1714"/>
      <c r="AV300" s="1714"/>
      <c r="AW300" s="1714"/>
      <c r="AX300" s="1714"/>
      <c r="AY300" s="1714"/>
      <c r="AZ300" s="1714"/>
      <c r="BA300" s="1714"/>
      <c r="BB300" s="1714"/>
      <c r="BC300" s="1714"/>
      <c r="BD300" s="1714"/>
      <c r="BE300" s="1714"/>
      <c r="BF300" s="1714"/>
    </row>
    <row r="301" spans="1:58" ht="11.25" customHeight="1">
      <c r="A301" s="1088" t="s">
        <v>1345</v>
      </c>
      <c r="D301" s="1082"/>
      <c r="E301" s="1092"/>
      <c r="F301" s="3895"/>
      <c r="G301" s="3853" t="s">
        <v>90</v>
      </c>
      <c r="H301" s="3885" t="s">
        <v>79</v>
      </c>
      <c r="I301" s="3886"/>
      <c r="J301" s="3883"/>
      <c r="K301" s="3887" t="s">
        <v>1480</v>
      </c>
      <c r="L301" s="3599" t="s">
        <v>6</v>
      </c>
      <c r="M301" s="3600"/>
      <c r="N301" s="1872"/>
      <c r="O301" s="1099" t="s">
        <v>421</v>
      </c>
      <c r="P301" s="1100"/>
      <c r="Q301" s="1100"/>
      <c r="R301" s="1100"/>
      <c r="S301" s="1100"/>
      <c r="T301" s="1100"/>
      <c r="U301" s="1100"/>
      <c r="V301" s="1100"/>
      <c r="W301" s="1100"/>
      <c r="X301" s="1100"/>
      <c r="Y301" s="1100"/>
      <c r="Z301" s="1100"/>
      <c r="AA301" s="1100"/>
      <c r="AB301" s="1100"/>
      <c r="AC301" s="1100"/>
      <c r="AD301" s="1100"/>
      <c r="AE301" s="1100"/>
      <c r="AF301" s="3876">
        <v>2019</v>
      </c>
      <c r="AG301" s="3877" t="s">
        <v>1447</v>
      </c>
      <c r="AH301" s="3877" t="s">
        <v>1460</v>
      </c>
      <c r="AI301" s="3876">
        <v>2019</v>
      </c>
      <c r="AJ301" s="3877" t="s">
        <v>1447</v>
      </c>
      <c r="AK301" s="3877" t="s">
        <v>1460</v>
      </c>
      <c r="AL301" s="1874"/>
      <c r="AM301" s="1714"/>
      <c r="AN301" s="1714"/>
      <c r="AO301" s="1714"/>
      <c r="AP301" s="1714"/>
      <c r="AQ301" s="1714"/>
      <c r="AR301" s="1714"/>
      <c r="AS301" s="1714"/>
      <c r="AT301" s="1714"/>
      <c r="AU301" s="1714"/>
      <c r="AV301" s="1714"/>
      <c r="AW301" s="1714"/>
      <c r="AX301" s="1714"/>
      <c r="AY301" s="1714"/>
      <c r="AZ301" s="1714"/>
      <c r="BA301" s="1714"/>
      <c r="BB301" s="1714"/>
      <c r="BC301" s="1714"/>
      <c r="BD301" s="1714"/>
      <c r="BE301" s="1714"/>
      <c r="BF301" s="1714"/>
    </row>
    <row r="302" spans="1:58" ht="11.25" customHeight="1">
      <c r="A302" s="1088" t="s">
        <v>1345</v>
      </c>
      <c r="D302" s="1082"/>
      <c r="E302" s="1092"/>
      <c r="F302" s="3895"/>
      <c r="G302" s="3875"/>
      <c r="H302" s="3885" t="s">
        <v>78</v>
      </c>
      <c r="I302" s="3886"/>
      <c r="J302" s="3883"/>
      <c r="K302" s="3887"/>
      <c r="L302" s="3599"/>
      <c r="M302" s="3600"/>
      <c r="N302" s="3878"/>
      <c r="O302" s="3879">
        <v>1</v>
      </c>
      <c r="P302" s="3880" t="s">
        <v>50</v>
      </c>
      <c r="Q302" s="3883" t="s">
        <v>1476</v>
      </c>
      <c r="R302" s="3884" t="s">
        <v>1438</v>
      </c>
      <c r="S302" s="3884" t="s">
        <v>92</v>
      </c>
      <c r="T302" s="3884" t="s">
        <v>92</v>
      </c>
      <c r="U302" s="3884" t="s">
        <v>93</v>
      </c>
      <c r="V302" s="3884" t="s">
        <v>1462</v>
      </c>
      <c r="W302" s="3884" t="s">
        <v>1463</v>
      </c>
      <c r="X302" s="3884" t="s">
        <v>1477</v>
      </c>
      <c r="Y302" s="3884" t="s">
        <v>1478</v>
      </c>
      <c r="Z302" s="1097"/>
      <c r="AA302" s="1098"/>
      <c r="AB302" s="1098"/>
      <c r="AC302" s="1102"/>
      <c r="AD302" s="1102"/>
      <c r="AE302" s="1103"/>
      <c r="AF302" s="3876"/>
      <c r="AG302" s="3877"/>
      <c r="AH302" s="3877"/>
      <c r="AI302" s="3876"/>
      <c r="AJ302" s="3877"/>
      <c r="AK302" s="3877"/>
      <c r="AL302" s="1874"/>
      <c r="AM302" s="1714"/>
      <c r="AN302" s="1714"/>
      <c r="AO302" s="1714"/>
      <c r="AP302" s="1714"/>
      <c r="AQ302" s="1714"/>
      <c r="AR302" s="1714"/>
      <c r="AS302" s="1714"/>
      <c r="AT302" s="1714"/>
      <c r="AU302" s="1714"/>
      <c r="AV302" s="1714"/>
      <c r="AW302" s="1714"/>
      <c r="AX302" s="1714"/>
      <c r="AY302" s="1714"/>
      <c r="AZ302" s="1714"/>
      <c r="BA302" s="1714"/>
      <c r="BB302" s="1714"/>
      <c r="BC302" s="1714"/>
      <c r="BD302" s="1714"/>
      <c r="BE302" s="1714"/>
      <c r="BF302" s="1714"/>
    </row>
    <row r="303" spans="1:58" ht="11.25" customHeight="1">
      <c r="A303" s="1088" t="s">
        <v>1345</v>
      </c>
      <c r="D303" s="1082"/>
      <c r="E303" s="1092"/>
      <c r="F303" s="3895"/>
      <c r="G303" s="3875"/>
      <c r="H303" s="3885" t="s">
        <v>78</v>
      </c>
      <c r="I303" s="3886"/>
      <c r="J303" s="3883"/>
      <c r="K303" s="3887"/>
      <c r="L303" s="3599"/>
      <c r="M303" s="3600"/>
      <c r="N303" s="3878"/>
      <c r="O303" s="3879"/>
      <c r="P303" s="3881"/>
      <c r="Q303" s="3883"/>
      <c r="R303" s="3874"/>
      <c r="S303" s="3884"/>
      <c r="T303" s="3874"/>
      <c r="U303" s="3874"/>
      <c r="V303" s="3874"/>
      <c r="W303" s="3874"/>
      <c r="X303" s="3874"/>
      <c r="Y303" s="3874"/>
      <c r="Z303" s="1719"/>
      <c r="AA303" s="1686">
        <v>1</v>
      </c>
      <c r="AB303" s="1101" t="s">
        <v>1453</v>
      </c>
      <c r="AC303" s="1091">
        <v>3808.1</v>
      </c>
      <c r="AD303" s="1101" t="str">
        <f>AB303</f>
        <v xml:space="preserve">      Амортизационные отчисления с выделением результатов переоценки основных средств и нематериальных активов</v>
      </c>
      <c r="AE303" s="1091">
        <v>0</v>
      </c>
      <c r="AF303" s="3876"/>
      <c r="AG303" s="3877"/>
      <c r="AH303" s="3877"/>
      <c r="AI303" s="3876"/>
      <c r="AJ303" s="3877"/>
      <c r="AK303" s="3877"/>
      <c r="AL303" s="1874"/>
      <c r="AM303" s="1714"/>
      <c r="AN303" s="1714"/>
      <c r="AO303" s="1714"/>
      <c r="AP303" s="1714"/>
      <c r="AQ303" s="1714"/>
      <c r="AR303" s="1714"/>
      <c r="AS303" s="1714"/>
      <c r="AT303" s="1714"/>
      <c r="AU303" s="1714"/>
      <c r="AV303" s="1714"/>
      <c r="AW303" s="1714"/>
      <c r="AX303" s="1714"/>
      <c r="AY303" s="1714"/>
      <c r="AZ303" s="1714"/>
      <c r="BA303" s="1714"/>
      <c r="BB303" s="1714"/>
      <c r="BC303" s="1714"/>
      <c r="BD303" s="1714"/>
      <c r="BE303" s="1714"/>
      <c r="BF303" s="1714"/>
    </row>
    <row r="304" spans="1:58" ht="11.25" customHeight="1">
      <c r="A304" s="1088" t="s">
        <v>1345</v>
      </c>
      <c r="D304" s="1082"/>
      <c r="E304" s="1092"/>
      <c r="F304" s="3875"/>
      <c r="G304" s="3875"/>
      <c r="H304" s="3875"/>
      <c r="I304" s="3875"/>
      <c r="J304" s="3875"/>
      <c r="K304" s="3875"/>
      <c r="L304" s="3875"/>
      <c r="M304" s="3875"/>
      <c r="N304" s="3875"/>
      <c r="O304" s="3875"/>
      <c r="P304" s="3875"/>
      <c r="Q304" s="3875"/>
      <c r="R304" s="3875"/>
      <c r="S304" s="3875"/>
      <c r="T304" s="3875"/>
      <c r="U304" s="3875"/>
      <c r="V304" s="3875"/>
      <c r="W304" s="3875"/>
      <c r="X304" s="3875"/>
      <c r="Y304" s="3875"/>
      <c r="Z304" s="617" t="s">
        <v>90</v>
      </c>
      <c r="AA304" s="1706" t="s">
        <v>89</v>
      </c>
      <c r="AB304" s="1101" t="s">
        <v>1473</v>
      </c>
      <c r="AC304" s="1091">
        <v>5624.15</v>
      </c>
      <c r="AD304" s="1101" t="str">
        <f>AB304</f>
        <v xml:space="preserve">  Кредиты</v>
      </c>
      <c r="AE304" s="1091">
        <v>0</v>
      </c>
      <c r="AF304" s="3902"/>
      <c r="AG304" s="3903"/>
      <c r="AH304" s="3903"/>
      <c r="AI304" s="3902"/>
      <c r="AJ304" s="3903"/>
      <c r="AK304" s="3904"/>
      <c r="AL304" s="1874"/>
      <c r="AM304" s="1714"/>
      <c r="AN304" s="1714"/>
      <c r="AO304" s="1714"/>
      <c r="AP304" s="1714"/>
      <c r="AQ304" s="1714"/>
      <c r="AR304" s="1714"/>
      <c r="AS304" s="1714"/>
      <c r="AT304" s="1714"/>
      <c r="AU304" s="1714"/>
      <c r="AV304" s="1714"/>
      <c r="AW304" s="1714"/>
      <c r="AX304" s="1714"/>
      <c r="AY304" s="1714"/>
      <c r="AZ304" s="1714"/>
      <c r="BA304" s="1714"/>
      <c r="BB304" s="1714"/>
      <c r="BC304" s="1714"/>
      <c r="BD304" s="1714"/>
      <c r="BE304" s="1714"/>
      <c r="BF304" s="1714"/>
    </row>
    <row r="305" spans="1:58" ht="11.25" customHeight="1">
      <c r="A305" s="1088" t="s">
        <v>1345</v>
      </c>
      <c r="D305" s="1082"/>
      <c r="E305" s="1092"/>
      <c r="F305" s="3895"/>
      <c r="G305" s="3875"/>
      <c r="H305" s="3885" t="s">
        <v>78</v>
      </c>
      <c r="I305" s="3886"/>
      <c r="J305" s="3883"/>
      <c r="K305" s="3887"/>
      <c r="L305" s="3599"/>
      <c r="M305" s="3600"/>
      <c r="N305" s="3878"/>
      <c r="O305" s="3879"/>
      <c r="P305" s="3882"/>
      <c r="Q305" s="3883"/>
      <c r="R305" s="3874"/>
      <c r="S305" s="3884"/>
      <c r="T305" s="3874"/>
      <c r="U305" s="3874"/>
      <c r="V305" s="3874"/>
      <c r="W305" s="3874"/>
      <c r="X305" s="3874"/>
      <c r="Y305" s="3874"/>
      <c r="Z305" s="1097"/>
      <c r="AA305" s="1098"/>
      <c r="AB305" s="1163" t="s">
        <v>1444</v>
      </c>
      <c r="AC305" s="1102"/>
      <c r="AD305" s="1102"/>
      <c r="AE305" s="1104"/>
      <c r="AF305" s="3876"/>
      <c r="AG305" s="3877"/>
      <c r="AH305" s="3877"/>
      <c r="AI305" s="3876"/>
      <c r="AJ305" s="3877"/>
      <c r="AK305" s="3877"/>
      <c r="AL305" s="1874"/>
      <c r="AM305" s="1714"/>
      <c r="AN305" s="1714"/>
      <c r="AO305" s="1714"/>
      <c r="AP305" s="1714"/>
      <c r="AQ305" s="1714"/>
      <c r="AR305" s="1714"/>
      <c r="AS305" s="1714"/>
      <c r="AT305" s="1714"/>
      <c r="AU305" s="1714"/>
      <c r="AV305" s="1714"/>
      <c r="AW305" s="1714"/>
      <c r="AX305" s="1714"/>
      <c r="AY305" s="1714"/>
      <c r="AZ305" s="1714"/>
      <c r="BA305" s="1714"/>
      <c r="BB305" s="1714"/>
      <c r="BC305" s="1714"/>
      <c r="BD305" s="1714"/>
      <c r="BE305" s="1714"/>
      <c r="BF305" s="1714"/>
    </row>
    <row r="306" spans="1:58" ht="11.25" customHeight="1">
      <c r="A306" s="1088" t="s">
        <v>1345</v>
      </c>
      <c r="D306" s="1082"/>
      <c r="E306" s="1092"/>
      <c r="F306" s="3895"/>
      <c r="G306" s="3875"/>
      <c r="H306" s="3885" t="s">
        <v>78</v>
      </c>
      <c r="I306" s="3886"/>
      <c r="J306" s="3883"/>
      <c r="K306" s="3887"/>
      <c r="L306" s="3599"/>
      <c r="M306" s="3600"/>
      <c r="N306" s="1097"/>
      <c r="O306" s="1098"/>
      <c r="P306" s="1090" t="s">
        <v>1445</v>
      </c>
      <c r="Q306" s="1098"/>
      <c r="R306" s="1098"/>
      <c r="S306" s="1098"/>
      <c r="T306" s="1098"/>
      <c r="U306" s="1098"/>
      <c r="V306" s="1098"/>
      <c r="W306" s="1098"/>
      <c r="X306" s="1098"/>
      <c r="Y306" s="1098"/>
      <c r="Z306" s="1098"/>
      <c r="AA306" s="1098"/>
      <c r="AB306" s="1098"/>
      <c r="AC306" s="1098"/>
      <c r="AD306" s="1098"/>
      <c r="AE306" s="1105"/>
      <c r="AF306" s="3876"/>
      <c r="AG306" s="3877"/>
      <c r="AH306" s="3877"/>
      <c r="AI306" s="3876"/>
      <c r="AJ306" s="3877"/>
      <c r="AK306" s="3877"/>
      <c r="AL306" s="1874"/>
      <c r="AM306" s="1714"/>
      <c r="AN306" s="1714"/>
      <c r="AO306" s="1714"/>
      <c r="AP306" s="1714"/>
      <c r="AQ306" s="1714"/>
      <c r="AR306" s="1714"/>
      <c r="AS306" s="1714"/>
      <c r="AT306" s="1714"/>
      <c r="AU306" s="1714"/>
      <c r="AV306" s="1714"/>
      <c r="AW306" s="1714"/>
      <c r="AX306" s="1714"/>
      <c r="AY306" s="1714"/>
      <c r="AZ306" s="1714"/>
      <c r="BA306" s="1714"/>
      <c r="BB306" s="1714"/>
      <c r="BC306" s="1714"/>
      <c r="BD306" s="1714"/>
      <c r="BE306" s="1714"/>
      <c r="BF306" s="1714"/>
    </row>
    <row r="307" spans="1:58" ht="11.25" customHeight="1">
      <c r="A307" s="1088" t="s">
        <v>1345</v>
      </c>
      <c r="D307" s="1082"/>
      <c r="E307" s="1092"/>
      <c r="F307" s="3895"/>
      <c r="G307" s="3853" t="s">
        <v>90</v>
      </c>
      <c r="H307" s="3885" t="s">
        <v>100</v>
      </c>
      <c r="I307" s="3886"/>
      <c r="J307" s="3883"/>
      <c r="K307" s="3887" t="s">
        <v>1483</v>
      </c>
      <c r="L307" s="3599" t="s">
        <v>6</v>
      </c>
      <c r="M307" s="3600"/>
      <c r="N307" s="1872"/>
      <c r="O307" s="1099" t="s">
        <v>421</v>
      </c>
      <c r="P307" s="1100"/>
      <c r="Q307" s="1100"/>
      <c r="R307" s="1100"/>
      <c r="S307" s="1100"/>
      <c r="T307" s="1100"/>
      <c r="U307" s="1100"/>
      <c r="V307" s="1100"/>
      <c r="W307" s="1100"/>
      <c r="X307" s="1100"/>
      <c r="Y307" s="1100"/>
      <c r="Z307" s="1100"/>
      <c r="AA307" s="1100"/>
      <c r="AB307" s="1100"/>
      <c r="AC307" s="1100"/>
      <c r="AD307" s="1100"/>
      <c r="AE307" s="1100"/>
      <c r="AF307" s="3876">
        <v>2024</v>
      </c>
      <c r="AG307" s="3877" t="s">
        <v>1447</v>
      </c>
      <c r="AH307" s="3877" t="s">
        <v>1484</v>
      </c>
      <c r="AI307" s="3876">
        <v>2024</v>
      </c>
      <c r="AJ307" s="3877" t="s">
        <v>1485</v>
      </c>
      <c r="AK307" s="3877" t="s">
        <v>1484</v>
      </c>
      <c r="AL307" s="1874"/>
      <c r="AM307" s="1714"/>
      <c r="AN307" s="1714"/>
      <c r="AO307" s="1714"/>
      <c r="AP307" s="1714"/>
      <c r="AQ307" s="1714"/>
      <c r="AR307" s="1714"/>
      <c r="AS307" s="1714"/>
      <c r="AT307" s="1714"/>
      <c r="AU307" s="1714"/>
      <c r="AV307" s="1714"/>
      <c r="AW307" s="1714"/>
      <c r="AX307" s="1714"/>
      <c r="AY307" s="1714"/>
      <c r="AZ307" s="1714"/>
      <c r="BA307" s="1714"/>
      <c r="BB307" s="1714"/>
      <c r="BC307" s="1714"/>
      <c r="BD307" s="1714"/>
      <c r="BE307" s="1714"/>
      <c r="BF307" s="1714"/>
    </row>
    <row r="308" spans="1:58" ht="11.25" customHeight="1">
      <c r="A308" s="1088" t="s">
        <v>1345</v>
      </c>
      <c r="D308" s="1082"/>
      <c r="E308" s="1092"/>
      <c r="F308" s="3895"/>
      <c r="G308" s="3875"/>
      <c r="H308" s="3885" t="s">
        <v>79</v>
      </c>
      <c r="I308" s="3886"/>
      <c r="J308" s="3883"/>
      <c r="K308" s="3887"/>
      <c r="L308" s="3599"/>
      <c r="M308" s="3600"/>
      <c r="N308" s="3878"/>
      <c r="O308" s="3879">
        <v>1</v>
      </c>
      <c r="P308" s="3880" t="s">
        <v>50</v>
      </c>
      <c r="Q308" s="3883" t="s">
        <v>1476</v>
      </c>
      <c r="R308" s="3884" t="s">
        <v>1438</v>
      </c>
      <c r="S308" s="3884" t="s">
        <v>92</v>
      </c>
      <c r="T308" s="3884" t="s">
        <v>92</v>
      </c>
      <c r="U308" s="3884" t="s">
        <v>93</v>
      </c>
      <c r="V308" s="3884" t="s">
        <v>1462</v>
      </c>
      <c r="W308" s="3884" t="s">
        <v>1463</v>
      </c>
      <c r="X308" s="3884" t="s">
        <v>1477</v>
      </c>
      <c r="Y308" s="3884" t="s">
        <v>1478</v>
      </c>
      <c r="Z308" s="1097"/>
      <c r="AA308" s="1098"/>
      <c r="AB308" s="1098"/>
      <c r="AC308" s="1102"/>
      <c r="AD308" s="1102"/>
      <c r="AE308" s="1103"/>
      <c r="AF308" s="3876"/>
      <c r="AG308" s="3877"/>
      <c r="AH308" s="3877"/>
      <c r="AI308" s="3876"/>
      <c r="AJ308" s="3877"/>
      <c r="AK308" s="3877"/>
      <c r="AL308" s="1874"/>
      <c r="AM308" s="1714"/>
      <c r="AN308" s="1714"/>
      <c r="AO308" s="1714"/>
      <c r="AP308" s="1714"/>
      <c r="AQ308" s="1714"/>
      <c r="AR308" s="1714"/>
      <c r="AS308" s="1714"/>
      <c r="AT308" s="1714"/>
      <c r="AU308" s="1714"/>
      <c r="AV308" s="1714"/>
      <c r="AW308" s="1714"/>
      <c r="AX308" s="1714"/>
      <c r="AY308" s="1714"/>
      <c r="AZ308" s="1714"/>
      <c r="BA308" s="1714"/>
      <c r="BB308" s="1714"/>
      <c r="BC308" s="1714"/>
      <c r="BD308" s="1714"/>
      <c r="BE308" s="1714"/>
      <c r="BF308" s="1714"/>
    </row>
    <row r="309" spans="1:58" ht="11.25" customHeight="1">
      <c r="A309" s="1088" t="s">
        <v>1345</v>
      </c>
      <c r="D309" s="1082"/>
      <c r="E309" s="1092"/>
      <c r="F309" s="3895"/>
      <c r="G309" s="3875"/>
      <c r="H309" s="3885" t="s">
        <v>79</v>
      </c>
      <c r="I309" s="3886"/>
      <c r="J309" s="3883"/>
      <c r="K309" s="3887"/>
      <c r="L309" s="3599"/>
      <c r="M309" s="3600"/>
      <c r="N309" s="3878"/>
      <c r="O309" s="3879"/>
      <c r="P309" s="3881"/>
      <c r="Q309" s="3883"/>
      <c r="R309" s="3874"/>
      <c r="S309" s="3884"/>
      <c r="T309" s="3874"/>
      <c r="U309" s="3874"/>
      <c r="V309" s="3874"/>
      <c r="W309" s="3874"/>
      <c r="X309" s="3874"/>
      <c r="Y309" s="3874"/>
      <c r="Z309" s="1719"/>
      <c r="AA309" s="1686">
        <v>1</v>
      </c>
      <c r="AB309" s="1101" t="s">
        <v>1473</v>
      </c>
      <c r="AC309" s="1091">
        <v>0</v>
      </c>
      <c r="AD309" s="1101" t="str">
        <f>AB309</f>
        <v xml:space="preserve">  Кредиты</v>
      </c>
      <c r="AE309" s="1091">
        <v>10213.209999999999</v>
      </c>
      <c r="AF309" s="3876"/>
      <c r="AG309" s="3877"/>
      <c r="AH309" s="3877"/>
      <c r="AI309" s="3876"/>
      <c r="AJ309" s="3877"/>
      <c r="AK309" s="3877"/>
      <c r="AL309" s="1874"/>
      <c r="AM309" s="1714"/>
      <c r="AN309" s="1714"/>
      <c r="AO309" s="1714"/>
      <c r="AP309" s="1714"/>
      <c r="AQ309" s="1714"/>
      <c r="AR309" s="1714"/>
      <c r="AS309" s="1714"/>
      <c r="AT309" s="1714"/>
      <c r="AU309" s="1714"/>
      <c r="AV309" s="1714"/>
      <c r="AW309" s="1714"/>
      <c r="AX309" s="1714"/>
      <c r="AY309" s="1714"/>
      <c r="AZ309" s="1714"/>
      <c r="BA309" s="1714"/>
      <c r="BB309" s="1714"/>
      <c r="BC309" s="1714"/>
      <c r="BD309" s="1714"/>
      <c r="BE309" s="1714"/>
      <c r="BF309" s="1714"/>
    </row>
    <row r="310" spans="1:58" ht="11.25" customHeight="1">
      <c r="A310" s="1088" t="s">
        <v>1345</v>
      </c>
      <c r="D310" s="1082"/>
      <c r="E310" s="1092"/>
      <c r="F310" s="3895"/>
      <c r="G310" s="3875"/>
      <c r="H310" s="3885" t="s">
        <v>79</v>
      </c>
      <c r="I310" s="3886"/>
      <c r="J310" s="3883"/>
      <c r="K310" s="3887"/>
      <c r="L310" s="3599"/>
      <c r="M310" s="3600"/>
      <c r="N310" s="3878"/>
      <c r="O310" s="3879"/>
      <c r="P310" s="3882"/>
      <c r="Q310" s="3883"/>
      <c r="R310" s="3874"/>
      <c r="S310" s="3884"/>
      <c r="T310" s="3874"/>
      <c r="U310" s="3874"/>
      <c r="V310" s="3874"/>
      <c r="W310" s="3874"/>
      <c r="X310" s="3874"/>
      <c r="Y310" s="3874"/>
      <c r="Z310" s="1097"/>
      <c r="AA310" s="1098"/>
      <c r="AB310" s="1163" t="s">
        <v>1444</v>
      </c>
      <c r="AC310" s="1102"/>
      <c r="AD310" s="1102"/>
      <c r="AE310" s="1104"/>
      <c r="AF310" s="3876"/>
      <c r="AG310" s="3877"/>
      <c r="AH310" s="3877"/>
      <c r="AI310" s="3876"/>
      <c r="AJ310" s="3877"/>
      <c r="AK310" s="3877"/>
      <c r="AL310" s="1874"/>
      <c r="AM310" s="1714"/>
      <c r="AN310" s="1714"/>
      <c r="AO310" s="1714"/>
      <c r="AP310" s="1714"/>
      <c r="AQ310" s="1714"/>
      <c r="AR310" s="1714"/>
      <c r="AS310" s="1714"/>
      <c r="AT310" s="1714"/>
      <c r="AU310" s="1714"/>
      <c r="AV310" s="1714"/>
      <c r="AW310" s="1714"/>
      <c r="AX310" s="1714"/>
      <c r="AY310" s="1714"/>
      <c r="AZ310" s="1714"/>
      <c r="BA310" s="1714"/>
      <c r="BB310" s="1714"/>
      <c r="BC310" s="1714"/>
      <c r="BD310" s="1714"/>
      <c r="BE310" s="1714"/>
      <c r="BF310" s="1714"/>
    </row>
    <row r="311" spans="1:58" ht="11.25" customHeight="1">
      <c r="A311" s="1088" t="s">
        <v>1345</v>
      </c>
      <c r="D311" s="1082"/>
      <c r="E311" s="1092"/>
      <c r="F311" s="3895"/>
      <c r="G311" s="3875"/>
      <c r="H311" s="3885" t="s">
        <v>79</v>
      </c>
      <c r="I311" s="3886"/>
      <c r="J311" s="3883"/>
      <c r="K311" s="3887"/>
      <c r="L311" s="3599"/>
      <c r="M311" s="3600"/>
      <c r="N311" s="1097"/>
      <c r="O311" s="1098"/>
      <c r="P311" s="1090" t="s">
        <v>1445</v>
      </c>
      <c r="Q311" s="1098"/>
      <c r="R311" s="1098"/>
      <c r="S311" s="1098"/>
      <c r="T311" s="1098"/>
      <c r="U311" s="1098"/>
      <c r="V311" s="1098"/>
      <c r="W311" s="1098"/>
      <c r="X311" s="1098"/>
      <c r="Y311" s="1098"/>
      <c r="Z311" s="1098"/>
      <c r="AA311" s="1098"/>
      <c r="AB311" s="1098"/>
      <c r="AC311" s="1098"/>
      <c r="AD311" s="1098"/>
      <c r="AE311" s="1105"/>
      <c r="AF311" s="3876"/>
      <c r="AG311" s="3877"/>
      <c r="AH311" s="3877"/>
      <c r="AI311" s="3876"/>
      <c r="AJ311" s="3877"/>
      <c r="AK311" s="3877"/>
      <c r="AL311" s="1874"/>
      <c r="AM311" s="1714"/>
      <c r="AN311" s="1714"/>
      <c r="AO311" s="1714"/>
      <c r="AP311" s="1714"/>
      <c r="AQ311" s="1714"/>
      <c r="AR311" s="1714"/>
      <c r="AS311" s="1714"/>
      <c r="AT311" s="1714"/>
      <c r="AU311" s="1714"/>
      <c r="AV311" s="1714"/>
      <c r="AW311" s="1714"/>
      <c r="AX311" s="1714"/>
      <c r="AY311" s="1714"/>
      <c r="AZ311" s="1714"/>
      <c r="BA311" s="1714"/>
      <c r="BB311" s="1714"/>
      <c r="BC311" s="1714"/>
      <c r="BD311" s="1714"/>
      <c r="BE311" s="1714"/>
      <c r="BF311" s="1714"/>
    </row>
    <row r="312" spans="1:58" ht="12" customHeight="1">
      <c r="A312" s="1088" t="s">
        <v>1345</v>
      </c>
      <c r="D312" s="1082"/>
      <c r="E312" s="1092"/>
      <c r="F312" s="3896"/>
      <c r="G312" s="1112"/>
      <c r="H312" s="1112"/>
      <c r="I312" s="3893" t="s">
        <v>1451</v>
      </c>
      <c r="J312" s="3893"/>
      <c r="K312" s="3893"/>
      <c r="L312" s="1095"/>
      <c r="M312" s="1095"/>
      <c r="N312" s="1096"/>
      <c r="O312" s="1096"/>
      <c r="P312" s="1096"/>
      <c r="Q312" s="1096"/>
      <c r="R312" s="1096"/>
      <c r="S312" s="1096"/>
      <c r="T312" s="1096"/>
      <c r="U312" s="1096"/>
      <c r="V312" s="1096"/>
      <c r="W312" s="1096"/>
      <c r="X312" s="1096"/>
      <c r="Y312" s="1096"/>
      <c r="Z312" s="1096"/>
      <c r="AA312" s="1096"/>
      <c r="AB312" s="1096"/>
      <c r="AC312" s="1096"/>
      <c r="AD312" s="1096"/>
      <c r="AE312" s="1096"/>
      <c r="AF312" s="1096"/>
      <c r="AG312" s="1095"/>
      <c r="AH312" s="1095"/>
      <c r="AI312" s="1096"/>
      <c r="AJ312" s="1095"/>
      <c r="AK312" s="1096"/>
      <c r="AL312" s="1874"/>
      <c r="AM312" s="1714"/>
      <c r="AN312" s="1714"/>
      <c r="AO312" s="1714"/>
      <c r="AP312" s="1714"/>
      <c r="AQ312" s="1714"/>
      <c r="AR312" s="1714"/>
      <c r="AS312" s="1714"/>
      <c r="AT312" s="1714"/>
      <c r="AU312" s="1714"/>
      <c r="AV312" s="1714"/>
      <c r="AW312" s="1714"/>
      <c r="AX312" s="1714"/>
      <c r="AY312" s="1714"/>
      <c r="AZ312" s="1714"/>
      <c r="BA312" s="1714"/>
      <c r="BB312" s="1714"/>
      <c r="BC312" s="1714"/>
      <c r="BD312" s="1714"/>
      <c r="BE312" s="1714"/>
      <c r="BF312" s="1714"/>
    </row>
    <row r="313" spans="1:58" ht="0.75" customHeight="1">
      <c r="A313" s="1088" t="s">
        <v>1345</v>
      </c>
      <c r="D313" s="1082"/>
      <c r="E313" s="1092"/>
      <c r="F313" s="3894">
        <v>2022</v>
      </c>
      <c r="G313" s="3885"/>
      <c r="H313" s="3898" t="s">
        <v>421</v>
      </c>
      <c r="I313" s="3899"/>
      <c r="J313" s="3891"/>
      <c r="K313" s="3891"/>
      <c r="L313" s="3892"/>
      <c r="M313" s="3743"/>
      <c r="N313" s="1922"/>
      <c r="O313" s="1921"/>
      <c r="P313" s="1922"/>
      <c r="Q313" s="1922"/>
      <c r="R313" s="1922"/>
      <c r="S313" s="1922"/>
      <c r="T313" s="1922"/>
      <c r="U313" s="1922"/>
      <c r="V313" s="1922"/>
      <c r="W313" s="1922"/>
      <c r="X313" s="1922"/>
      <c r="Y313" s="1922"/>
      <c r="Z313" s="1922"/>
      <c r="AA313" s="1922"/>
      <c r="AB313" s="1922"/>
      <c r="AC313" s="1922"/>
      <c r="AD313" s="1922"/>
      <c r="AE313" s="1922"/>
      <c r="AF313" s="3897"/>
      <c r="AG313" s="3892"/>
      <c r="AH313" s="3892"/>
      <c r="AI313" s="3897"/>
      <c r="AJ313" s="3892"/>
      <c r="AK313" s="3892"/>
      <c r="AL313" s="1874"/>
      <c r="AM313" s="1714"/>
      <c r="AN313" s="1714"/>
      <c r="AO313" s="1714"/>
      <c r="AP313" s="1714"/>
      <c r="AQ313" s="1714"/>
      <c r="AR313" s="1714"/>
      <c r="AS313" s="1714"/>
      <c r="AT313" s="1714"/>
      <c r="AU313" s="1714"/>
      <c r="AV313" s="1714"/>
      <c r="AW313" s="1714"/>
      <c r="AX313" s="1714"/>
      <c r="AY313" s="1714"/>
      <c r="AZ313" s="1714"/>
      <c r="BA313" s="1714"/>
      <c r="BB313" s="1714"/>
      <c r="BC313" s="1714"/>
      <c r="BD313" s="1714"/>
      <c r="BE313" s="1714"/>
      <c r="BF313" s="1714"/>
    </row>
    <row r="314" spans="1:58" ht="0.75" customHeight="1">
      <c r="A314" s="1088" t="s">
        <v>1345</v>
      </c>
      <c r="D314" s="1082"/>
      <c r="E314" s="1092"/>
      <c r="F314" s="3894"/>
      <c r="G314" s="3885"/>
      <c r="H314" s="3898"/>
      <c r="I314" s="3899"/>
      <c r="J314" s="3891"/>
      <c r="K314" s="3891"/>
      <c r="L314" s="3892"/>
      <c r="M314" s="3743"/>
      <c r="N314" s="3900"/>
      <c r="O314" s="3901"/>
      <c r="P314" s="3888"/>
      <c r="Q314" s="3891"/>
      <c r="R314" s="3891"/>
      <c r="S314" s="3891"/>
      <c r="T314" s="3891"/>
      <c r="U314" s="3891"/>
      <c r="V314" s="3891"/>
      <c r="W314" s="3891"/>
      <c r="X314" s="3891"/>
      <c r="Y314" s="3891"/>
      <c r="Z314" s="1923"/>
      <c r="AA314" s="1924"/>
      <c r="AB314" s="1924"/>
      <c r="AC314" s="1925"/>
      <c r="AD314" s="1925"/>
      <c r="AE314" s="1926"/>
      <c r="AF314" s="3897"/>
      <c r="AG314" s="3892"/>
      <c r="AH314" s="3892"/>
      <c r="AI314" s="3897"/>
      <c r="AJ314" s="3892"/>
      <c r="AK314" s="3892"/>
      <c r="AL314" s="1874"/>
      <c r="AM314" s="1714"/>
      <c r="AN314" s="1714"/>
      <c r="AO314" s="1714"/>
      <c r="AP314" s="1714"/>
      <c r="AQ314" s="1714"/>
      <c r="AR314" s="1714"/>
      <c r="AS314" s="1714"/>
      <c r="AT314" s="1714"/>
      <c r="AU314" s="1714"/>
      <c r="AV314" s="1714"/>
      <c r="AW314" s="1714"/>
      <c r="AX314" s="1714"/>
      <c r="AY314" s="1714"/>
      <c r="AZ314" s="1714"/>
      <c r="BA314" s="1714"/>
      <c r="BB314" s="1714"/>
      <c r="BC314" s="1714"/>
      <c r="BD314" s="1714"/>
      <c r="BE314" s="1714"/>
      <c r="BF314" s="1714"/>
    </row>
    <row r="315" spans="1:58" ht="0.75" customHeight="1">
      <c r="A315" s="1088" t="s">
        <v>1345</v>
      </c>
      <c r="D315" s="1082"/>
      <c r="E315" s="1092"/>
      <c r="F315" s="3894"/>
      <c r="G315" s="3885"/>
      <c r="H315" s="3898"/>
      <c r="I315" s="3899"/>
      <c r="J315" s="3891"/>
      <c r="K315" s="3891"/>
      <c r="L315" s="3892"/>
      <c r="M315" s="3743"/>
      <c r="N315" s="3900"/>
      <c r="O315" s="3901"/>
      <c r="P315" s="3889"/>
      <c r="Q315" s="3891"/>
      <c r="R315" s="3891"/>
      <c r="S315" s="3891"/>
      <c r="T315" s="3891"/>
      <c r="U315" s="3891"/>
      <c r="V315" s="3891"/>
      <c r="W315" s="3891"/>
      <c r="X315" s="3891"/>
      <c r="Y315" s="3891"/>
      <c r="Z315" s="1927"/>
      <c r="AA315" s="1928"/>
      <c r="AB315" s="1929"/>
      <c r="AC315" s="1930"/>
      <c r="AD315" s="1929"/>
      <c r="AE315" s="1930"/>
      <c r="AF315" s="3897"/>
      <c r="AG315" s="3892"/>
      <c r="AH315" s="3892"/>
      <c r="AI315" s="3897"/>
      <c r="AJ315" s="3892"/>
      <c r="AK315" s="3892"/>
      <c r="AL315" s="1874"/>
      <c r="AM315" s="1714"/>
      <c r="AN315" s="1714"/>
      <c r="AO315" s="1714"/>
      <c r="AP315" s="1714"/>
      <c r="AQ315" s="1714"/>
      <c r="AR315" s="1714"/>
      <c r="AS315" s="1714"/>
      <c r="AT315" s="1714"/>
      <c r="AU315" s="1714"/>
      <c r="AV315" s="1714"/>
      <c r="AW315" s="1714"/>
      <c r="AX315" s="1714"/>
      <c r="AY315" s="1714"/>
      <c r="AZ315" s="1714"/>
      <c r="BA315" s="1714"/>
      <c r="BB315" s="1714"/>
      <c r="BC315" s="1714"/>
      <c r="BD315" s="1714"/>
      <c r="BE315" s="1714"/>
      <c r="BF315" s="1714"/>
    </row>
    <row r="316" spans="1:58" ht="0.75" customHeight="1">
      <c r="A316" s="1088" t="s">
        <v>1345</v>
      </c>
      <c r="D316" s="1082"/>
      <c r="E316" s="1092"/>
      <c r="F316" s="3894"/>
      <c r="G316" s="3885"/>
      <c r="H316" s="3898"/>
      <c r="I316" s="3899"/>
      <c r="J316" s="3891"/>
      <c r="K316" s="3891"/>
      <c r="L316" s="3892"/>
      <c r="M316" s="3743"/>
      <c r="N316" s="3900"/>
      <c r="O316" s="3901"/>
      <c r="P316" s="3890"/>
      <c r="Q316" s="3891"/>
      <c r="R316" s="3891"/>
      <c r="S316" s="3891"/>
      <c r="T316" s="3891"/>
      <c r="U316" s="3891"/>
      <c r="V316" s="3891"/>
      <c r="W316" s="3891"/>
      <c r="X316" s="3891"/>
      <c r="Y316" s="3891"/>
      <c r="Z316" s="1923"/>
      <c r="AA316" s="1924"/>
      <c r="AB316" s="1931"/>
      <c r="AC316" s="1925"/>
      <c r="AD316" s="1925"/>
      <c r="AE316" s="1932"/>
      <c r="AF316" s="3897"/>
      <c r="AG316" s="3892"/>
      <c r="AH316" s="3892"/>
      <c r="AI316" s="3897"/>
      <c r="AJ316" s="3892"/>
      <c r="AK316" s="3892"/>
      <c r="AL316" s="1874"/>
      <c r="AM316" s="1714"/>
      <c r="AN316" s="1714"/>
      <c r="AO316" s="1714"/>
      <c r="AP316" s="1714"/>
      <c r="AQ316" s="1714"/>
      <c r="AR316" s="1714"/>
      <c r="AS316" s="1714"/>
      <c r="AT316" s="1714"/>
      <c r="AU316" s="1714"/>
      <c r="AV316" s="1714"/>
      <c r="AW316" s="1714"/>
      <c r="AX316" s="1714"/>
      <c r="AY316" s="1714"/>
      <c r="AZ316" s="1714"/>
      <c r="BA316" s="1714"/>
      <c r="BB316" s="1714"/>
      <c r="BC316" s="1714"/>
      <c r="BD316" s="1714"/>
      <c r="BE316" s="1714"/>
      <c r="BF316" s="1714"/>
    </row>
    <row r="317" spans="1:58" ht="0.75" customHeight="1">
      <c r="A317" s="1088" t="s">
        <v>1345</v>
      </c>
      <c r="D317" s="1082"/>
      <c r="E317" s="1092"/>
      <c r="F317" s="3894"/>
      <c r="G317" s="3885"/>
      <c r="H317" s="3898"/>
      <c r="I317" s="3899"/>
      <c r="J317" s="3891"/>
      <c r="K317" s="3891"/>
      <c r="L317" s="3892"/>
      <c r="M317" s="3743"/>
      <c r="N317" s="1924"/>
      <c r="O317" s="1924"/>
      <c r="P317" s="1931"/>
      <c r="Q317" s="1924"/>
      <c r="R317" s="1924"/>
      <c r="S317" s="1924"/>
      <c r="T317" s="1924"/>
      <c r="U317" s="1924"/>
      <c r="V317" s="1924"/>
      <c r="W317" s="1924"/>
      <c r="X317" s="1924"/>
      <c r="Y317" s="1924"/>
      <c r="Z317" s="1924"/>
      <c r="AA317" s="1924"/>
      <c r="AB317" s="1924"/>
      <c r="AC317" s="1924"/>
      <c r="AD317" s="1924"/>
      <c r="AE317" s="1933"/>
      <c r="AF317" s="3897"/>
      <c r="AG317" s="3892"/>
      <c r="AH317" s="3892"/>
      <c r="AI317" s="3897"/>
      <c r="AJ317" s="3892"/>
      <c r="AK317" s="3892"/>
      <c r="AL317" s="1874"/>
      <c r="AM317" s="1714"/>
      <c r="AN317" s="1714"/>
      <c r="AO317" s="1714"/>
      <c r="AP317" s="1714"/>
      <c r="AQ317" s="1714"/>
      <c r="AR317" s="1714"/>
      <c r="AS317" s="1714"/>
      <c r="AT317" s="1714"/>
      <c r="AU317" s="1714"/>
      <c r="AV317" s="1714"/>
      <c r="AW317" s="1714"/>
      <c r="AX317" s="1714"/>
      <c r="AY317" s="1714"/>
      <c r="AZ317" s="1714"/>
      <c r="BA317" s="1714"/>
      <c r="BB317" s="1714"/>
      <c r="BC317" s="1714"/>
      <c r="BD317" s="1714"/>
      <c r="BE317" s="1714"/>
      <c r="BF317" s="1714"/>
    </row>
    <row r="318" spans="1:58" ht="11.25" customHeight="1">
      <c r="A318" s="1088" t="s">
        <v>1345</v>
      </c>
      <c r="D318" s="1082"/>
      <c r="E318" s="1092"/>
      <c r="F318" s="3895"/>
      <c r="G318" s="3853" t="s">
        <v>90</v>
      </c>
      <c r="H318" s="3885" t="s">
        <v>164</v>
      </c>
      <c r="I318" s="3886"/>
      <c r="J318" s="3883"/>
      <c r="K318" s="3887" t="s">
        <v>1459</v>
      </c>
      <c r="L318" s="3599" t="s">
        <v>6</v>
      </c>
      <c r="M318" s="3600"/>
      <c r="N318" s="1872"/>
      <c r="O318" s="1099" t="s">
        <v>421</v>
      </c>
      <c r="P318" s="1100"/>
      <c r="Q318" s="1100"/>
      <c r="R318" s="1100"/>
      <c r="S318" s="1100"/>
      <c r="T318" s="1100"/>
      <c r="U318" s="1100"/>
      <c r="V318" s="1100"/>
      <c r="W318" s="1100"/>
      <c r="X318" s="1100"/>
      <c r="Y318" s="1100"/>
      <c r="Z318" s="1100"/>
      <c r="AA318" s="1100"/>
      <c r="AB318" s="1100"/>
      <c r="AC318" s="1100"/>
      <c r="AD318" s="1100"/>
      <c r="AE318" s="1100"/>
      <c r="AF318" s="3876">
        <v>2019</v>
      </c>
      <c r="AG318" s="3877" t="s">
        <v>1447</v>
      </c>
      <c r="AH318" s="3877" t="s">
        <v>1460</v>
      </c>
      <c r="AI318" s="3876">
        <v>2019</v>
      </c>
      <c r="AJ318" s="3877" t="s">
        <v>1447</v>
      </c>
      <c r="AK318" s="3877" t="s">
        <v>1460</v>
      </c>
      <c r="AL318" s="1874"/>
      <c r="AM318" s="1714"/>
      <c r="AN318" s="1714"/>
      <c r="AO318" s="1714"/>
      <c r="AP318" s="1714"/>
      <c r="AQ318" s="1714"/>
      <c r="AR318" s="1714"/>
      <c r="AS318" s="1714"/>
      <c r="AT318" s="1714"/>
      <c r="AU318" s="1714"/>
      <c r="AV318" s="1714"/>
      <c r="AW318" s="1714"/>
      <c r="AX318" s="1714"/>
      <c r="AY318" s="1714"/>
      <c r="AZ318" s="1714"/>
      <c r="BA318" s="1714"/>
      <c r="BB318" s="1714"/>
      <c r="BC318" s="1714"/>
      <c r="BD318" s="1714"/>
      <c r="BE318" s="1714"/>
      <c r="BF318" s="1714"/>
    </row>
    <row r="319" spans="1:58" ht="11.25" customHeight="1">
      <c r="A319" s="1088" t="s">
        <v>1345</v>
      </c>
      <c r="D319" s="1082"/>
      <c r="E319" s="1092"/>
      <c r="F319" s="3895"/>
      <c r="G319" s="3875"/>
      <c r="H319" s="3885" t="s">
        <v>421</v>
      </c>
      <c r="I319" s="3886"/>
      <c r="J319" s="3883"/>
      <c r="K319" s="3887"/>
      <c r="L319" s="3599"/>
      <c r="M319" s="3600"/>
      <c r="N319" s="3878"/>
      <c r="O319" s="3879">
        <v>1</v>
      </c>
      <c r="P319" s="3880" t="s">
        <v>50</v>
      </c>
      <c r="Q319" s="3883" t="s">
        <v>1461</v>
      </c>
      <c r="R319" s="3884" t="s">
        <v>1438</v>
      </c>
      <c r="S319" s="3884" t="s">
        <v>92</v>
      </c>
      <c r="T319" s="3884" t="s">
        <v>92</v>
      </c>
      <c r="U319" s="3884" t="s">
        <v>93</v>
      </c>
      <c r="V319" s="3884" t="s">
        <v>1462</v>
      </c>
      <c r="W319" s="3884" t="s">
        <v>1463</v>
      </c>
      <c r="X319" s="3884" t="s">
        <v>1464</v>
      </c>
      <c r="Y319" s="3884" t="s">
        <v>1465</v>
      </c>
      <c r="Z319" s="1097"/>
      <c r="AA319" s="1098"/>
      <c r="AB319" s="1098"/>
      <c r="AC319" s="1102"/>
      <c r="AD319" s="1102"/>
      <c r="AE319" s="1103"/>
      <c r="AF319" s="3876"/>
      <c r="AG319" s="3877"/>
      <c r="AH319" s="3877"/>
      <c r="AI319" s="3876"/>
      <c r="AJ319" s="3877"/>
      <c r="AK319" s="3877"/>
      <c r="AL319" s="1874"/>
      <c r="AM319" s="1714"/>
      <c r="AN319" s="1714"/>
      <c r="AO319" s="1714"/>
      <c r="AP319" s="1714"/>
      <c r="AQ319" s="1714"/>
      <c r="AR319" s="1714"/>
      <c r="AS319" s="1714"/>
      <c r="AT319" s="1714"/>
      <c r="AU319" s="1714"/>
      <c r="AV319" s="1714"/>
      <c r="AW319" s="1714"/>
      <c r="AX319" s="1714"/>
      <c r="AY319" s="1714"/>
      <c r="AZ319" s="1714"/>
      <c r="BA319" s="1714"/>
      <c r="BB319" s="1714"/>
      <c r="BC319" s="1714"/>
      <c r="BD319" s="1714"/>
      <c r="BE319" s="1714"/>
      <c r="BF319" s="1714"/>
    </row>
    <row r="320" spans="1:58" ht="11.25" customHeight="1">
      <c r="A320" s="1088" t="s">
        <v>1345</v>
      </c>
      <c r="D320" s="1082"/>
      <c r="E320" s="1092"/>
      <c r="F320" s="3895"/>
      <c r="G320" s="3875"/>
      <c r="H320" s="3885" t="s">
        <v>421</v>
      </c>
      <c r="I320" s="3886"/>
      <c r="J320" s="3883"/>
      <c r="K320" s="3887"/>
      <c r="L320" s="3599"/>
      <c r="M320" s="3600"/>
      <c r="N320" s="3878"/>
      <c r="O320" s="3879"/>
      <c r="P320" s="3881"/>
      <c r="Q320" s="3883"/>
      <c r="R320" s="3874"/>
      <c r="S320" s="3884"/>
      <c r="T320" s="3874"/>
      <c r="U320" s="3874"/>
      <c r="V320" s="3874"/>
      <c r="W320" s="3874"/>
      <c r="X320" s="3874"/>
      <c r="Y320" s="3874"/>
      <c r="Z320" s="1719"/>
      <c r="AA320" s="1686">
        <v>1</v>
      </c>
      <c r="AB320" s="1101" t="s">
        <v>1453</v>
      </c>
      <c r="AC320" s="1091">
        <v>42.24</v>
      </c>
      <c r="AD320" s="1101" t="str">
        <f>AB320</f>
        <v xml:space="preserve">      Амортизационные отчисления с выделением результатов переоценки основных средств и нематериальных активов</v>
      </c>
      <c r="AE320" s="1091">
        <v>0</v>
      </c>
      <c r="AF320" s="3876"/>
      <c r="AG320" s="3877"/>
      <c r="AH320" s="3877"/>
      <c r="AI320" s="3876"/>
      <c r="AJ320" s="3877"/>
      <c r="AK320" s="3877"/>
      <c r="AL320" s="1874"/>
      <c r="AM320" s="1714"/>
      <c r="AN320" s="1714"/>
      <c r="AO320" s="1714"/>
      <c r="AP320" s="1714"/>
      <c r="AQ320" s="1714"/>
      <c r="AR320" s="1714"/>
      <c r="AS320" s="1714"/>
      <c r="AT320" s="1714"/>
      <c r="AU320" s="1714"/>
      <c r="AV320" s="1714"/>
      <c r="AW320" s="1714"/>
      <c r="AX320" s="1714"/>
      <c r="AY320" s="1714"/>
      <c r="AZ320" s="1714"/>
      <c r="BA320" s="1714"/>
      <c r="BB320" s="1714"/>
      <c r="BC320" s="1714"/>
      <c r="BD320" s="1714"/>
      <c r="BE320" s="1714"/>
      <c r="BF320" s="1714"/>
    </row>
    <row r="321" spans="1:58" ht="11.25" customHeight="1">
      <c r="A321" s="1088" t="s">
        <v>1345</v>
      </c>
      <c r="D321" s="1082"/>
      <c r="E321" s="1092"/>
      <c r="F321" s="3895"/>
      <c r="G321" s="3875"/>
      <c r="H321" s="3885" t="s">
        <v>421</v>
      </c>
      <c r="I321" s="3886"/>
      <c r="J321" s="3883"/>
      <c r="K321" s="3887"/>
      <c r="L321" s="3599"/>
      <c r="M321" s="3600"/>
      <c r="N321" s="3878"/>
      <c r="O321" s="3879"/>
      <c r="P321" s="3882"/>
      <c r="Q321" s="3883"/>
      <c r="R321" s="3874"/>
      <c r="S321" s="3884"/>
      <c r="T321" s="3874"/>
      <c r="U321" s="3874"/>
      <c r="V321" s="3874"/>
      <c r="W321" s="3874"/>
      <c r="X321" s="3874"/>
      <c r="Y321" s="3874"/>
      <c r="Z321" s="1097"/>
      <c r="AA321" s="1098"/>
      <c r="AB321" s="1163" t="s">
        <v>1444</v>
      </c>
      <c r="AC321" s="1102"/>
      <c r="AD321" s="1102"/>
      <c r="AE321" s="1104"/>
      <c r="AF321" s="3876"/>
      <c r="AG321" s="3877"/>
      <c r="AH321" s="3877"/>
      <c r="AI321" s="3876"/>
      <c r="AJ321" s="3877"/>
      <c r="AK321" s="3877"/>
      <c r="AL321" s="1874"/>
      <c r="AM321" s="1714"/>
      <c r="AN321" s="1714"/>
      <c r="AO321" s="1714"/>
      <c r="AP321" s="1714"/>
      <c r="AQ321" s="1714"/>
      <c r="AR321" s="1714"/>
      <c r="AS321" s="1714"/>
      <c r="AT321" s="1714"/>
      <c r="AU321" s="1714"/>
      <c r="AV321" s="1714"/>
      <c r="AW321" s="1714"/>
      <c r="AX321" s="1714"/>
      <c r="AY321" s="1714"/>
      <c r="AZ321" s="1714"/>
      <c r="BA321" s="1714"/>
      <c r="BB321" s="1714"/>
      <c r="BC321" s="1714"/>
      <c r="BD321" s="1714"/>
      <c r="BE321" s="1714"/>
      <c r="BF321" s="1714"/>
    </row>
    <row r="322" spans="1:58" ht="11.25" customHeight="1">
      <c r="A322" s="1088" t="s">
        <v>1345</v>
      </c>
      <c r="D322" s="1082"/>
      <c r="E322" s="1092"/>
      <c r="F322" s="3895"/>
      <c r="G322" s="3875"/>
      <c r="H322" s="3885" t="s">
        <v>421</v>
      </c>
      <c r="I322" s="3886"/>
      <c r="J322" s="3883"/>
      <c r="K322" s="3887"/>
      <c r="L322" s="3599"/>
      <c r="M322" s="3600"/>
      <c r="N322" s="1097"/>
      <c r="O322" s="1098"/>
      <c r="P322" s="1090" t="s">
        <v>1445</v>
      </c>
      <c r="Q322" s="1098"/>
      <c r="R322" s="1098"/>
      <c r="S322" s="1098"/>
      <c r="T322" s="1098"/>
      <c r="U322" s="1098"/>
      <c r="V322" s="1098"/>
      <c r="W322" s="1098"/>
      <c r="X322" s="1098"/>
      <c r="Y322" s="1098"/>
      <c r="Z322" s="1098"/>
      <c r="AA322" s="1098"/>
      <c r="AB322" s="1098"/>
      <c r="AC322" s="1098"/>
      <c r="AD322" s="1098"/>
      <c r="AE322" s="1105"/>
      <c r="AF322" s="3876"/>
      <c r="AG322" s="3877"/>
      <c r="AH322" s="3877"/>
      <c r="AI322" s="3876"/>
      <c r="AJ322" s="3877"/>
      <c r="AK322" s="3877"/>
      <c r="AL322" s="1874"/>
      <c r="AM322" s="1714"/>
      <c r="AN322" s="1714"/>
      <c r="AO322" s="1714"/>
      <c r="AP322" s="1714"/>
      <c r="AQ322" s="1714"/>
      <c r="AR322" s="1714"/>
      <c r="AS322" s="1714"/>
      <c r="AT322" s="1714"/>
      <c r="AU322" s="1714"/>
      <c r="AV322" s="1714"/>
      <c r="AW322" s="1714"/>
      <c r="AX322" s="1714"/>
      <c r="AY322" s="1714"/>
      <c r="AZ322" s="1714"/>
      <c r="BA322" s="1714"/>
      <c r="BB322" s="1714"/>
      <c r="BC322" s="1714"/>
      <c r="BD322" s="1714"/>
      <c r="BE322" s="1714"/>
      <c r="BF322" s="1714"/>
    </row>
    <row r="323" spans="1:58" ht="11.25" customHeight="1">
      <c r="A323" s="1088" t="s">
        <v>1345</v>
      </c>
      <c r="D323" s="1082"/>
      <c r="E323" s="1092"/>
      <c r="F323" s="3895"/>
      <c r="G323" s="3853" t="s">
        <v>90</v>
      </c>
      <c r="H323" s="3885" t="s">
        <v>89</v>
      </c>
      <c r="I323" s="3886"/>
      <c r="J323" s="3883"/>
      <c r="K323" s="3887" t="s">
        <v>1466</v>
      </c>
      <c r="L323" s="3599" t="s">
        <v>6</v>
      </c>
      <c r="M323" s="3600"/>
      <c r="N323" s="1872"/>
      <c r="O323" s="1099" t="s">
        <v>421</v>
      </c>
      <c r="P323" s="1100"/>
      <c r="Q323" s="1100"/>
      <c r="R323" s="1100"/>
      <c r="S323" s="1100"/>
      <c r="T323" s="1100"/>
      <c r="U323" s="1100"/>
      <c r="V323" s="1100"/>
      <c r="W323" s="1100"/>
      <c r="X323" s="1100"/>
      <c r="Y323" s="1100"/>
      <c r="Z323" s="1100"/>
      <c r="AA323" s="1100"/>
      <c r="AB323" s="1100"/>
      <c r="AC323" s="1100"/>
      <c r="AD323" s="1100"/>
      <c r="AE323" s="1100"/>
      <c r="AF323" s="3876">
        <v>2019</v>
      </c>
      <c r="AG323" s="3877" t="s">
        <v>1447</v>
      </c>
      <c r="AH323" s="3877" t="s">
        <v>1460</v>
      </c>
      <c r="AI323" s="3876">
        <v>2019</v>
      </c>
      <c r="AJ323" s="3877" t="s">
        <v>1447</v>
      </c>
      <c r="AK323" s="3877" t="s">
        <v>1460</v>
      </c>
      <c r="AL323" s="1874"/>
      <c r="AM323" s="1714"/>
      <c r="AN323" s="1714"/>
      <c r="AO323" s="1714"/>
      <c r="AP323" s="1714"/>
      <c r="AQ323" s="1714"/>
      <c r="AR323" s="1714"/>
      <c r="AS323" s="1714"/>
      <c r="AT323" s="1714"/>
      <c r="AU323" s="1714"/>
      <c r="AV323" s="1714"/>
      <c r="AW323" s="1714"/>
      <c r="AX323" s="1714"/>
      <c r="AY323" s="1714"/>
      <c r="AZ323" s="1714"/>
      <c r="BA323" s="1714"/>
      <c r="BB323" s="1714"/>
      <c r="BC323" s="1714"/>
      <c r="BD323" s="1714"/>
      <c r="BE323" s="1714"/>
      <c r="BF323" s="1714"/>
    </row>
    <row r="324" spans="1:58" ht="11.25" customHeight="1">
      <c r="A324" s="1088" t="s">
        <v>1345</v>
      </c>
      <c r="D324" s="1082"/>
      <c r="E324" s="1092"/>
      <c r="F324" s="3895"/>
      <c r="G324" s="3875"/>
      <c r="H324" s="3885" t="s">
        <v>164</v>
      </c>
      <c r="I324" s="3886"/>
      <c r="J324" s="3883"/>
      <c r="K324" s="3887"/>
      <c r="L324" s="3599"/>
      <c r="M324" s="3600"/>
      <c r="N324" s="3878"/>
      <c r="O324" s="3879">
        <v>1</v>
      </c>
      <c r="P324" s="3880" t="s">
        <v>50</v>
      </c>
      <c r="Q324" s="3883" t="s">
        <v>1467</v>
      </c>
      <c r="R324" s="3884" t="s">
        <v>1438</v>
      </c>
      <c r="S324" s="3884" t="s">
        <v>92</v>
      </c>
      <c r="T324" s="3884" t="s">
        <v>92</v>
      </c>
      <c r="U324" s="3884" t="s">
        <v>93</v>
      </c>
      <c r="V324" s="3884" t="s">
        <v>1462</v>
      </c>
      <c r="W324" s="3884" t="s">
        <v>1463</v>
      </c>
      <c r="X324" s="3884" t="s">
        <v>1468</v>
      </c>
      <c r="Y324" s="3884" t="s">
        <v>1469</v>
      </c>
      <c r="Z324" s="1097"/>
      <c r="AA324" s="1098"/>
      <c r="AB324" s="1098"/>
      <c r="AC324" s="1102"/>
      <c r="AD324" s="1102"/>
      <c r="AE324" s="1103"/>
      <c r="AF324" s="3876"/>
      <c r="AG324" s="3877"/>
      <c r="AH324" s="3877"/>
      <c r="AI324" s="3876"/>
      <c r="AJ324" s="3877"/>
      <c r="AK324" s="3877"/>
      <c r="AL324" s="1874"/>
      <c r="AM324" s="1714"/>
      <c r="AN324" s="1714"/>
      <c r="AO324" s="1714"/>
      <c r="AP324" s="1714"/>
      <c r="AQ324" s="1714"/>
      <c r="AR324" s="1714"/>
      <c r="AS324" s="1714"/>
      <c r="AT324" s="1714"/>
      <c r="AU324" s="1714"/>
      <c r="AV324" s="1714"/>
      <c r="AW324" s="1714"/>
      <c r="AX324" s="1714"/>
      <c r="AY324" s="1714"/>
      <c r="AZ324" s="1714"/>
      <c r="BA324" s="1714"/>
      <c r="BB324" s="1714"/>
      <c r="BC324" s="1714"/>
      <c r="BD324" s="1714"/>
      <c r="BE324" s="1714"/>
      <c r="BF324" s="1714"/>
    </row>
    <row r="325" spans="1:58" ht="11.25" customHeight="1">
      <c r="A325" s="1088" t="s">
        <v>1345</v>
      </c>
      <c r="D325" s="1082"/>
      <c r="E325" s="1092"/>
      <c r="F325" s="3895"/>
      <c r="G325" s="3875"/>
      <c r="H325" s="3885" t="s">
        <v>164</v>
      </c>
      <c r="I325" s="3886"/>
      <c r="J325" s="3883"/>
      <c r="K325" s="3887"/>
      <c r="L325" s="3599"/>
      <c r="M325" s="3600"/>
      <c r="N325" s="3878"/>
      <c r="O325" s="3879"/>
      <c r="P325" s="3881"/>
      <c r="Q325" s="3883"/>
      <c r="R325" s="3874"/>
      <c r="S325" s="3884"/>
      <c r="T325" s="3874"/>
      <c r="U325" s="3874"/>
      <c r="V325" s="3874"/>
      <c r="W325" s="3874"/>
      <c r="X325" s="3874"/>
      <c r="Y325" s="3874"/>
      <c r="Z325" s="1719"/>
      <c r="AA325" s="1686">
        <v>1</v>
      </c>
      <c r="AB325" s="1101" t="s">
        <v>1453</v>
      </c>
      <c r="AC325" s="1091">
        <v>14494.91</v>
      </c>
      <c r="AD325" s="1101" t="str">
        <f>AB325</f>
        <v xml:space="preserve">      Амортизационные отчисления с выделением результатов переоценки основных средств и нематериальных активов</v>
      </c>
      <c r="AE325" s="1091">
        <v>0</v>
      </c>
      <c r="AF325" s="3876"/>
      <c r="AG325" s="3877"/>
      <c r="AH325" s="3877"/>
      <c r="AI325" s="3876"/>
      <c r="AJ325" s="3877"/>
      <c r="AK325" s="3877"/>
      <c r="AL325" s="1874"/>
      <c r="AM325" s="1714"/>
      <c r="AN325" s="1714"/>
      <c r="AO325" s="1714"/>
      <c r="AP325" s="1714"/>
      <c r="AQ325" s="1714"/>
      <c r="AR325" s="1714"/>
      <c r="AS325" s="1714"/>
      <c r="AT325" s="1714"/>
      <c r="AU325" s="1714"/>
      <c r="AV325" s="1714"/>
      <c r="AW325" s="1714"/>
      <c r="AX325" s="1714"/>
      <c r="AY325" s="1714"/>
      <c r="AZ325" s="1714"/>
      <c r="BA325" s="1714"/>
      <c r="BB325" s="1714"/>
      <c r="BC325" s="1714"/>
      <c r="BD325" s="1714"/>
      <c r="BE325" s="1714"/>
      <c r="BF325" s="1714"/>
    </row>
    <row r="326" spans="1:58" ht="11.25" customHeight="1">
      <c r="A326" s="1088" t="s">
        <v>1345</v>
      </c>
      <c r="D326" s="1082"/>
      <c r="E326" s="1092"/>
      <c r="F326" s="3875"/>
      <c r="G326" s="3875"/>
      <c r="H326" s="3875"/>
      <c r="I326" s="3875"/>
      <c r="J326" s="3875"/>
      <c r="K326" s="3875"/>
      <c r="L326" s="3875"/>
      <c r="M326" s="3875"/>
      <c r="N326" s="3875"/>
      <c r="O326" s="3875"/>
      <c r="P326" s="3875"/>
      <c r="Q326" s="3875"/>
      <c r="R326" s="3875"/>
      <c r="S326" s="3875"/>
      <c r="T326" s="3875"/>
      <c r="U326" s="3875"/>
      <c r="V326" s="3875"/>
      <c r="W326" s="3875"/>
      <c r="X326" s="3875"/>
      <c r="Y326" s="3875"/>
      <c r="Z326" s="617" t="s">
        <v>90</v>
      </c>
      <c r="AA326" s="1706" t="s">
        <v>89</v>
      </c>
      <c r="AB326" s="1101" t="s">
        <v>1473</v>
      </c>
      <c r="AC326" s="1091">
        <v>14772.83</v>
      </c>
      <c r="AD326" s="1101" t="str">
        <f>AB326</f>
        <v xml:space="preserve">  Кредиты</v>
      </c>
      <c r="AE326" s="1091">
        <v>0</v>
      </c>
      <c r="AF326" s="3902"/>
      <c r="AG326" s="3903"/>
      <c r="AH326" s="3903"/>
      <c r="AI326" s="3902"/>
      <c r="AJ326" s="3903"/>
      <c r="AK326" s="3904"/>
      <c r="AL326" s="1874"/>
      <c r="AM326" s="1714"/>
      <c r="AN326" s="1714"/>
      <c r="AO326" s="1714"/>
      <c r="AP326" s="1714"/>
      <c r="AQ326" s="1714"/>
      <c r="AR326" s="1714"/>
      <c r="AS326" s="1714"/>
      <c r="AT326" s="1714"/>
      <c r="AU326" s="1714"/>
      <c r="AV326" s="1714"/>
      <c r="AW326" s="1714"/>
      <c r="AX326" s="1714"/>
      <c r="AY326" s="1714"/>
      <c r="AZ326" s="1714"/>
      <c r="BA326" s="1714"/>
      <c r="BB326" s="1714"/>
      <c r="BC326" s="1714"/>
      <c r="BD326" s="1714"/>
      <c r="BE326" s="1714"/>
      <c r="BF326" s="1714"/>
    </row>
    <row r="327" spans="1:58" ht="11.25" customHeight="1">
      <c r="A327" s="1088" t="s">
        <v>1345</v>
      </c>
      <c r="D327" s="1082"/>
      <c r="E327" s="1092"/>
      <c r="F327" s="3895"/>
      <c r="G327" s="3875"/>
      <c r="H327" s="3885" t="s">
        <v>164</v>
      </c>
      <c r="I327" s="3886"/>
      <c r="J327" s="3883"/>
      <c r="K327" s="3887"/>
      <c r="L327" s="3599"/>
      <c r="M327" s="3600"/>
      <c r="N327" s="3878"/>
      <c r="O327" s="3879"/>
      <c r="P327" s="3882"/>
      <c r="Q327" s="3883"/>
      <c r="R327" s="3874"/>
      <c r="S327" s="3884"/>
      <c r="T327" s="3874"/>
      <c r="U327" s="3874"/>
      <c r="V327" s="3874"/>
      <c r="W327" s="3874"/>
      <c r="X327" s="3874"/>
      <c r="Y327" s="3874"/>
      <c r="Z327" s="1097"/>
      <c r="AA327" s="1098"/>
      <c r="AB327" s="1163" t="s">
        <v>1444</v>
      </c>
      <c r="AC327" s="1102"/>
      <c r="AD327" s="1102"/>
      <c r="AE327" s="1104"/>
      <c r="AF327" s="3876"/>
      <c r="AG327" s="3877"/>
      <c r="AH327" s="3877"/>
      <c r="AI327" s="3876"/>
      <c r="AJ327" s="3877"/>
      <c r="AK327" s="3877"/>
      <c r="AL327" s="1874"/>
      <c r="AM327" s="1714"/>
      <c r="AN327" s="1714"/>
      <c r="AO327" s="1714"/>
      <c r="AP327" s="1714"/>
      <c r="AQ327" s="1714"/>
      <c r="AR327" s="1714"/>
      <c r="AS327" s="1714"/>
      <c r="AT327" s="1714"/>
      <c r="AU327" s="1714"/>
      <c r="AV327" s="1714"/>
      <c r="AW327" s="1714"/>
      <c r="AX327" s="1714"/>
      <c r="AY327" s="1714"/>
      <c r="AZ327" s="1714"/>
      <c r="BA327" s="1714"/>
      <c r="BB327" s="1714"/>
      <c r="BC327" s="1714"/>
      <c r="BD327" s="1714"/>
      <c r="BE327" s="1714"/>
      <c r="BF327" s="1714"/>
    </row>
    <row r="328" spans="1:58" ht="11.25" customHeight="1">
      <c r="A328" s="1088" t="s">
        <v>1345</v>
      </c>
      <c r="D328" s="1082"/>
      <c r="E328" s="1092"/>
      <c r="F328" s="3895"/>
      <c r="G328" s="3875"/>
      <c r="H328" s="3885" t="s">
        <v>164</v>
      </c>
      <c r="I328" s="3886"/>
      <c r="J328" s="3883"/>
      <c r="K328" s="3887"/>
      <c r="L328" s="3599"/>
      <c r="M328" s="3600"/>
      <c r="N328" s="1097"/>
      <c r="O328" s="1098"/>
      <c r="P328" s="1090" t="s">
        <v>1445</v>
      </c>
      <c r="Q328" s="1098"/>
      <c r="R328" s="1098"/>
      <c r="S328" s="1098"/>
      <c r="T328" s="1098"/>
      <c r="U328" s="1098"/>
      <c r="V328" s="1098"/>
      <c r="W328" s="1098"/>
      <c r="X328" s="1098"/>
      <c r="Y328" s="1098"/>
      <c r="Z328" s="1098"/>
      <c r="AA328" s="1098"/>
      <c r="AB328" s="1098"/>
      <c r="AC328" s="1098"/>
      <c r="AD328" s="1098"/>
      <c r="AE328" s="1105"/>
      <c r="AF328" s="3876"/>
      <c r="AG328" s="3877"/>
      <c r="AH328" s="3877"/>
      <c r="AI328" s="3876"/>
      <c r="AJ328" s="3877"/>
      <c r="AK328" s="3877"/>
      <c r="AL328" s="1874"/>
      <c r="AM328" s="1714"/>
      <c r="AN328" s="1714"/>
      <c r="AO328" s="1714"/>
      <c r="AP328" s="1714"/>
      <c r="AQ328" s="1714"/>
      <c r="AR328" s="1714"/>
      <c r="AS328" s="1714"/>
      <c r="AT328" s="1714"/>
      <c r="AU328" s="1714"/>
      <c r="AV328" s="1714"/>
      <c r="AW328" s="1714"/>
      <c r="AX328" s="1714"/>
      <c r="AY328" s="1714"/>
      <c r="AZ328" s="1714"/>
      <c r="BA328" s="1714"/>
      <c r="BB328" s="1714"/>
      <c r="BC328" s="1714"/>
      <c r="BD328" s="1714"/>
      <c r="BE328" s="1714"/>
      <c r="BF328" s="1714"/>
    </row>
    <row r="329" spans="1:58" ht="11.25" customHeight="1">
      <c r="A329" s="1088" t="s">
        <v>1345</v>
      </c>
      <c r="D329" s="1082"/>
      <c r="E329" s="1092"/>
      <c r="F329" s="3895"/>
      <c r="G329" s="3853" t="s">
        <v>90</v>
      </c>
      <c r="H329" s="3885" t="s">
        <v>78</v>
      </c>
      <c r="I329" s="3886"/>
      <c r="J329" s="3883"/>
      <c r="K329" s="3887" t="s">
        <v>1470</v>
      </c>
      <c r="L329" s="3599" t="s">
        <v>6</v>
      </c>
      <c r="M329" s="3600"/>
      <c r="N329" s="1872"/>
      <c r="O329" s="1099" t="s">
        <v>421</v>
      </c>
      <c r="P329" s="1100"/>
      <c r="Q329" s="1100"/>
      <c r="R329" s="1100"/>
      <c r="S329" s="1100"/>
      <c r="T329" s="1100"/>
      <c r="U329" s="1100"/>
      <c r="V329" s="1100"/>
      <c r="W329" s="1100"/>
      <c r="X329" s="1100"/>
      <c r="Y329" s="1100"/>
      <c r="Z329" s="1100"/>
      <c r="AA329" s="1100"/>
      <c r="AB329" s="1100"/>
      <c r="AC329" s="1100"/>
      <c r="AD329" s="1100"/>
      <c r="AE329" s="1100"/>
      <c r="AF329" s="3876">
        <v>2019</v>
      </c>
      <c r="AG329" s="3877" t="s">
        <v>1447</v>
      </c>
      <c r="AH329" s="3877" t="s">
        <v>1460</v>
      </c>
      <c r="AI329" s="3876">
        <v>2019</v>
      </c>
      <c r="AJ329" s="3877" t="s">
        <v>1435</v>
      </c>
      <c r="AK329" s="3877" t="s">
        <v>1460</v>
      </c>
      <c r="AL329" s="1874"/>
      <c r="AM329" s="1714"/>
      <c r="AN329" s="1714"/>
      <c r="AO329" s="1714"/>
      <c r="AP329" s="1714"/>
      <c r="AQ329" s="1714"/>
      <c r="AR329" s="1714"/>
      <c r="AS329" s="1714"/>
      <c r="AT329" s="1714"/>
      <c r="AU329" s="1714"/>
      <c r="AV329" s="1714"/>
      <c r="AW329" s="1714"/>
      <c r="AX329" s="1714"/>
      <c r="AY329" s="1714"/>
      <c r="AZ329" s="1714"/>
      <c r="BA329" s="1714"/>
      <c r="BB329" s="1714"/>
      <c r="BC329" s="1714"/>
      <c r="BD329" s="1714"/>
      <c r="BE329" s="1714"/>
      <c r="BF329" s="1714"/>
    </row>
    <row r="330" spans="1:58" ht="11.25" customHeight="1">
      <c r="A330" s="1088" t="s">
        <v>1345</v>
      </c>
      <c r="D330" s="1082"/>
      <c r="E330" s="1092"/>
      <c r="F330" s="3895"/>
      <c r="G330" s="3875"/>
      <c r="H330" s="3885" t="s">
        <v>89</v>
      </c>
      <c r="I330" s="3886"/>
      <c r="J330" s="3883"/>
      <c r="K330" s="3887"/>
      <c r="L330" s="3599"/>
      <c r="M330" s="3600"/>
      <c r="N330" s="3878"/>
      <c r="O330" s="3879">
        <v>1</v>
      </c>
      <c r="P330" s="3880" t="s">
        <v>50</v>
      </c>
      <c r="Q330" s="3883" t="s">
        <v>1471</v>
      </c>
      <c r="R330" s="3884" t="s">
        <v>1438</v>
      </c>
      <c r="S330" s="3884" t="s">
        <v>92</v>
      </c>
      <c r="T330" s="3884" t="s">
        <v>92</v>
      </c>
      <c r="U330" s="3884" t="s">
        <v>93</v>
      </c>
      <c r="V330" s="3884" t="s">
        <v>1462</v>
      </c>
      <c r="W330" s="3884" t="s">
        <v>1463</v>
      </c>
      <c r="X330" s="3884" t="s">
        <v>1472</v>
      </c>
      <c r="Y330" s="3884" t="s">
        <v>1442</v>
      </c>
      <c r="Z330" s="1097"/>
      <c r="AA330" s="1098"/>
      <c r="AB330" s="1098"/>
      <c r="AC330" s="1102"/>
      <c r="AD330" s="1102"/>
      <c r="AE330" s="1103"/>
      <c r="AF330" s="3876"/>
      <c r="AG330" s="3877"/>
      <c r="AH330" s="3877"/>
      <c r="AI330" s="3876"/>
      <c r="AJ330" s="3877"/>
      <c r="AK330" s="3877"/>
      <c r="AL330" s="1874"/>
      <c r="AM330" s="1714"/>
      <c r="AN330" s="1714"/>
      <c r="AO330" s="1714"/>
      <c r="AP330" s="1714"/>
      <c r="AQ330" s="1714"/>
      <c r="AR330" s="1714"/>
      <c r="AS330" s="1714"/>
      <c r="AT330" s="1714"/>
      <c r="AU330" s="1714"/>
      <c r="AV330" s="1714"/>
      <c r="AW330" s="1714"/>
      <c r="AX330" s="1714"/>
      <c r="AY330" s="1714"/>
      <c r="AZ330" s="1714"/>
      <c r="BA330" s="1714"/>
      <c r="BB330" s="1714"/>
      <c r="BC330" s="1714"/>
      <c r="BD330" s="1714"/>
      <c r="BE330" s="1714"/>
      <c r="BF330" s="1714"/>
    </row>
    <row r="331" spans="1:58" ht="11.25" customHeight="1">
      <c r="A331" s="1088" t="s">
        <v>1345</v>
      </c>
      <c r="D331" s="1082"/>
      <c r="E331" s="1092"/>
      <c r="F331" s="3895"/>
      <c r="G331" s="3875"/>
      <c r="H331" s="3885" t="s">
        <v>89</v>
      </c>
      <c r="I331" s="3886"/>
      <c r="J331" s="3883"/>
      <c r="K331" s="3887"/>
      <c r="L331" s="3599"/>
      <c r="M331" s="3600"/>
      <c r="N331" s="3878"/>
      <c r="O331" s="3879"/>
      <c r="P331" s="3881"/>
      <c r="Q331" s="3883"/>
      <c r="R331" s="3874"/>
      <c r="S331" s="3884"/>
      <c r="T331" s="3874"/>
      <c r="U331" s="3874"/>
      <c r="V331" s="3874"/>
      <c r="W331" s="3874"/>
      <c r="X331" s="3874"/>
      <c r="Y331" s="3874"/>
      <c r="Z331" s="1719"/>
      <c r="AA331" s="1686">
        <v>1</v>
      </c>
      <c r="AB331" s="1101" t="s">
        <v>1473</v>
      </c>
      <c r="AC331" s="1091">
        <v>450.45</v>
      </c>
      <c r="AD331" s="1101" t="str">
        <f>AB331</f>
        <v xml:space="preserve">  Кредиты</v>
      </c>
      <c r="AE331" s="1091">
        <v>0</v>
      </c>
      <c r="AF331" s="3876"/>
      <c r="AG331" s="3877"/>
      <c r="AH331" s="3877"/>
      <c r="AI331" s="3876"/>
      <c r="AJ331" s="3877"/>
      <c r="AK331" s="3877"/>
      <c r="AL331" s="1874"/>
      <c r="AM331" s="1714"/>
      <c r="AN331" s="1714"/>
      <c r="AO331" s="1714"/>
      <c r="AP331" s="1714"/>
      <c r="AQ331" s="1714"/>
      <c r="AR331" s="1714"/>
      <c r="AS331" s="1714"/>
      <c r="AT331" s="1714"/>
      <c r="AU331" s="1714"/>
      <c r="AV331" s="1714"/>
      <c r="AW331" s="1714"/>
      <c r="AX331" s="1714"/>
      <c r="AY331" s="1714"/>
      <c r="AZ331" s="1714"/>
      <c r="BA331" s="1714"/>
      <c r="BB331" s="1714"/>
      <c r="BC331" s="1714"/>
      <c r="BD331" s="1714"/>
      <c r="BE331" s="1714"/>
      <c r="BF331" s="1714"/>
    </row>
    <row r="332" spans="1:58" ht="11.25" customHeight="1">
      <c r="A332" s="1088" t="s">
        <v>1345</v>
      </c>
      <c r="D332" s="1082"/>
      <c r="E332" s="1092"/>
      <c r="F332" s="3895"/>
      <c r="G332" s="3875"/>
      <c r="H332" s="3885" t="s">
        <v>89</v>
      </c>
      <c r="I332" s="3886"/>
      <c r="J332" s="3883"/>
      <c r="K332" s="3887"/>
      <c r="L332" s="3599"/>
      <c r="M332" s="3600"/>
      <c r="N332" s="3878"/>
      <c r="O332" s="3879"/>
      <c r="P332" s="3882"/>
      <c r="Q332" s="3883"/>
      <c r="R332" s="3874"/>
      <c r="S332" s="3884"/>
      <c r="T332" s="3874"/>
      <c r="U332" s="3874"/>
      <c r="V332" s="3874"/>
      <c r="W332" s="3874"/>
      <c r="X332" s="3874"/>
      <c r="Y332" s="3874"/>
      <c r="Z332" s="1097"/>
      <c r="AA332" s="1098"/>
      <c r="AB332" s="1163" t="s">
        <v>1444</v>
      </c>
      <c r="AC332" s="1102"/>
      <c r="AD332" s="1102"/>
      <c r="AE332" s="1104"/>
      <c r="AF332" s="3876"/>
      <c r="AG332" s="3877"/>
      <c r="AH332" s="3877"/>
      <c r="AI332" s="3876"/>
      <c r="AJ332" s="3877"/>
      <c r="AK332" s="3877"/>
      <c r="AL332" s="1874"/>
      <c r="AM332" s="1714"/>
      <c r="AN332" s="1714"/>
      <c r="AO332" s="1714"/>
      <c r="AP332" s="1714"/>
      <c r="AQ332" s="1714"/>
      <c r="AR332" s="1714"/>
      <c r="AS332" s="1714"/>
      <c r="AT332" s="1714"/>
      <c r="AU332" s="1714"/>
      <c r="AV332" s="1714"/>
      <c r="AW332" s="1714"/>
      <c r="AX332" s="1714"/>
      <c r="AY332" s="1714"/>
      <c r="AZ332" s="1714"/>
      <c r="BA332" s="1714"/>
      <c r="BB332" s="1714"/>
      <c r="BC332" s="1714"/>
      <c r="BD332" s="1714"/>
      <c r="BE332" s="1714"/>
      <c r="BF332" s="1714"/>
    </row>
    <row r="333" spans="1:58" ht="11.25" customHeight="1">
      <c r="A333" s="1088" t="s">
        <v>1345</v>
      </c>
      <c r="D333" s="1082"/>
      <c r="E333" s="1092"/>
      <c r="F333" s="3895"/>
      <c r="G333" s="3875"/>
      <c r="H333" s="3885" t="s">
        <v>89</v>
      </c>
      <c r="I333" s="3886"/>
      <c r="J333" s="3883"/>
      <c r="K333" s="3887"/>
      <c r="L333" s="3599"/>
      <c r="M333" s="3600"/>
      <c r="N333" s="1097"/>
      <c r="O333" s="1098"/>
      <c r="P333" s="1090" t="s">
        <v>1445</v>
      </c>
      <c r="Q333" s="1098"/>
      <c r="R333" s="1098"/>
      <c r="S333" s="1098"/>
      <c r="T333" s="1098"/>
      <c r="U333" s="1098"/>
      <c r="V333" s="1098"/>
      <c r="W333" s="1098"/>
      <c r="X333" s="1098"/>
      <c r="Y333" s="1098"/>
      <c r="Z333" s="1098"/>
      <c r="AA333" s="1098"/>
      <c r="AB333" s="1098"/>
      <c r="AC333" s="1098"/>
      <c r="AD333" s="1098"/>
      <c r="AE333" s="1105"/>
      <c r="AF333" s="3876"/>
      <c r="AG333" s="3877"/>
      <c r="AH333" s="3877"/>
      <c r="AI333" s="3876"/>
      <c r="AJ333" s="3877"/>
      <c r="AK333" s="3877"/>
      <c r="AL333" s="1874"/>
      <c r="AM333" s="1714"/>
      <c r="AN333" s="1714"/>
      <c r="AO333" s="1714"/>
      <c r="AP333" s="1714"/>
      <c r="AQ333" s="1714"/>
      <c r="AR333" s="1714"/>
      <c r="AS333" s="1714"/>
      <c r="AT333" s="1714"/>
      <c r="AU333" s="1714"/>
      <c r="AV333" s="1714"/>
      <c r="AW333" s="1714"/>
      <c r="AX333" s="1714"/>
      <c r="AY333" s="1714"/>
      <c r="AZ333" s="1714"/>
      <c r="BA333" s="1714"/>
      <c r="BB333" s="1714"/>
      <c r="BC333" s="1714"/>
      <c r="BD333" s="1714"/>
      <c r="BE333" s="1714"/>
      <c r="BF333" s="1714"/>
    </row>
    <row r="334" spans="1:58" ht="11.25" customHeight="1">
      <c r="A334" s="1088" t="s">
        <v>1345</v>
      </c>
      <c r="D334" s="1082"/>
      <c r="E334" s="1092"/>
      <c r="F334" s="3895"/>
      <c r="G334" s="3853" t="s">
        <v>90</v>
      </c>
      <c r="H334" s="3885" t="s">
        <v>79</v>
      </c>
      <c r="I334" s="3886"/>
      <c r="J334" s="3883"/>
      <c r="K334" s="3887" t="s">
        <v>1480</v>
      </c>
      <c r="L334" s="3599" t="s">
        <v>6</v>
      </c>
      <c r="M334" s="3600"/>
      <c r="N334" s="1872"/>
      <c r="O334" s="1099" t="s">
        <v>421</v>
      </c>
      <c r="P334" s="1100"/>
      <c r="Q334" s="1100"/>
      <c r="R334" s="1100"/>
      <c r="S334" s="1100"/>
      <c r="T334" s="1100"/>
      <c r="U334" s="1100"/>
      <c r="V334" s="1100"/>
      <c r="W334" s="1100"/>
      <c r="X334" s="1100"/>
      <c r="Y334" s="1100"/>
      <c r="Z334" s="1100"/>
      <c r="AA334" s="1100"/>
      <c r="AB334" s="1100"/>
      <c r="AC334" s="1100"/>
      <c r="AD334" s="1100"/>
      <c r="AE334" s="1100"/>
      <c r="AF334" s="3876">
        <v>2019</v>
      </c>
      <c r="AG334" s="3877" t="s">
        <v>1447</v>
      </c>
      <c r="AH334" s="3877" t="s">
        <v>1460</v>
      </c>
      <c r="AI334" s="3876">
        <v>2019</v>
      </c>
      <c r="AJ334" s="3877" t="s">
        <v>1447</v>
      </c>
      <c r="AK334" s="3877" t="s">
        <v>1460</v>
      </c>
      <c r="AL334" s="1874"/>
      <c r="AM334" s="1714"/>
      <c r="AN334" s="1714"/>
      <c r="AO334" s="1714"/>
      <c r="AP334" s="1714"/>
      <c r="AQ334" s="1714"/>
      <c r="AR334" s="1714"/>
      <c r="AS334" s="1714"/>
      <c r="AT334" s="1714"/>
      <c r="AU334" s="1714"/>
      <c r="AV334" s="1714"/>
      <c r="AW334" s="1714"/>
      <c r="AX334" s="1714"/>
      <c r="AY334" s="1714"/>
      <c r="AZ334" s="1714"/>
      <c r="BA334" s="1714"/>
      <c r="BB334" s="1714"/>
      <c r="BC334" s="1714"/>
      <c r="BD334" s="1714"/>
      <c r="BE334" s="1714"/>
      <c r="BF334" s="1714"/>
    </row>
    <row r="335" spans="1:58" ht="11.25" customHeight="1">
      <c r="A335" s="1088" t="s">
        <v>1345</v>
      </c>
      <c r="D335" s="1082"/>
      <c r="E335" s="1092"/>
      <c r="F335" s="3895"/>
      <c r="G335" s="3875"/>
      <c r="H335" s="3885" t="s">
        <v>78</v>
      </c>
      <c r="I335" s="3886"/>
      <c r="J335" s="3883"/>
      <c r="K335" s="3887"/>
      <c r="L335" s="3599"/>
      <c r="M335" s="3600"/>
      <c r="N335" s="3878"/>
      <c r="O335" s="3879">
        <v>1</v>
      </c>
      <c r="P335" s="3880" t="s">
        <v>50</v>
      </c>
      <c r="Q335" s="3883" t="s">
        <v>1476</v>
      </c>
      <c r="R335" s="3884" t="s">
        <v>1438</v>
      </c>
      <c r="S335" s="3884" t="s">
        <v>92</v>
      </c>
      <c r="T335" s="3884" t="s">
        <v>92</v>
      </c>
      <c r="U335" s="3884" t="s">
        <v>93</v>
      </c>
      <c r="V335" s="3884" t="s">
        <v>1462</v>
      </c>
      <c r="W335" s="3884" t="s">
        <v>1463</v>
      </c>
      <c r="X335" s="3884" t="s">
        <v>1477</v>
      </c>
      <c r="Y335" s="3884" t="s">
        <v>1478</v>
      </c>
      <c r="Z335" s="1097"/>
      <c r="AA335" s="1098"/>
      <c r="AB335" s="1098"/>
      <c r="AC335" s="1102"/>
      <c r="AD335" s="1102"/>
      <c r="AE335" s="1103"/>
      <c r="AF335" s="3876"/>
      <c r="AG335" s="3877"/>
      <c r="AH335" s="3877"/>
      <c r="AI335" s="3876"/>
      <c r="AJ335" s="3877"/>
      <c r="AK335" s="3877"/>
      <c r="AL335" s="1874"/>
      <c r="AM335" s="1714"/>
      <c r="AN335" s="1714"/>
      <c r="AO335" s="1714"/>
      <c r="AP335" s="1714"/>
      <c r="AQ335" s="1714"/>
      <c r="AR335" s="1714"/>
      <c r="AS335" s="1714"/>
      <c r="AT335" s="1714"/>
      <c r="AU335" s="1714"/>
      <c r="AV335" s="1714"/>
      <c r="AW335" s="1714"/>
      <c r="AX335" s="1714"/>
      <c r="AY335" s="1714"/>
      <c r="AZ335" s="1714"/>
      <c r="BA335" s="1714"/>
      <c r="BB335" s="1714"/>
      <c r="BC335" s="1714"/>
      <c r="BD335" s="1714"/>
      <c r="BE335" s="1714"/>
      <c r="BF335" s="1714"/>
    </row>
    <row r="336" spans="1:58" ht="11.25" customHeight="1">
      <c r="A336" s="1088" t="s">
        <v>1345</v>
      </c>
      <c r="D336" s="1082"/>
      <c r="E336" s="1092"/>
      <c r="F336" s="3895"/>
      <c r="G336" s="3875"/>
      <c r="H336" s="3885" t="s">
        <v>78</v>
      </c>
      <c r="I336" s="3886"/>
      <c r="J336" s="3883"/>
      <c r="K336" s="3887"/>
      <c r="L336" s="3599"/>
      <c r="M336" s="3600"/>
      <c r="N336" s="3878"/>
      <c r="O336" s="3879"/>
      <c r="P336" s="3881"/>
      <c r="Q336" s="3883"/>
      <c r="R336" s="3874"/>
      <c r="S336" s="3884"/>
      <c r="T336" s="3874"/>
      <c r="U336" s="3874"/>
      <c r="V336" s="3874"/>
      <c r="W336" s="3874"/>
      <c r="X336" s="3874"/>
      <c r="Y336" s="3874"/>
      <c r="Z336" s="1719"/>
      <c r="AA336" s="1686">
        <v>1</v>
      </c>
      <c r="AB336" s="1101" t="s">
        <v>1453</v>
      </c>
      <c r="AC336" s="1091">
        <v>798.21</v>
      </c>
      <c r="AD336" s="1101" t="str">
        <f>AB336</f>
        <v xml:space="preserve">      Амортизационные отчисления с выделением результатов переоценки основных средств и нематериальных активов</v>
      </c>
      <c r="AE336" s="1091">
        <v>0</v>
      </c>
      <c r="AF336" s="3876"/>
      <c r="AG336" s="3877"/>
      <c r="AH336" s="3877"/>
      <c r="AI336" s="3876"/>
      <c r="AJ336" s="3877"/>
      <c r="AK336" s="3877"/>
      <c r="AL336" s="1874"/>
      <c r="AM336" s="1714"/>
      <c r="AN336" s="1714"/>
      <c r="AO336" s="1714"/>
      <c r="AP336" s="1714"/>
      <c r="AQ336" s="1714"/>
      <c r="AR336" s="1714"/>
      <c r="AS336" s="1714"/>
      <c r="AT336" s="1714"/>
      <c r="AU336" s="1714"/>
      <c r="AV336" s="1714"/>
      <c r="AW336" s="1714"/>
      <c r="AX336" s="1714"/>
      <c r="AY336" s="1714"/>
      <c r="AZ336" s="1714"/>
      <c r="BA336" s="1714"/>
      <c r="BB336" s="1714"/>
      <c r="BC336" s="1714"/>
      <c r="BD336" s="1714"/>
      <c r="BE336" s="1714"/>
      <c r="BF336" s="1714"/>
    </row>
    <row r="337" spans="1:58" ht="11.25" customHeight="1">
      <c r="A337" s="1088" t="s">
        <v>1345</v>
      </c>
      <c r="D337" s="1082"/>
      <c r="E337" s="1092"/>
      <c r="F337" s="3895"/>
      <c r="G337" s="3875"/>
      <c r="H337" s="3885" t="s">
        <v>78</v>
      </c>
      <c r="I337" s="3886"/>
      <c r="J337" s="3883"/>
      <c r="K337" s="3887"/>
      <c r="L337" s="3599"/>
      <c r="M337" s="3600"/>
      <c r="N337" s="3878"/>
      <c r="O337" s="3879"/>
      <c r="P337" s="3882"/>
      <c r="Q337" s="3883"/>
      <c r="R337" s="3874"/>
      <c r="S337" s="3884"/>
      <c r="T337" s="3874"/>
      <c r="U337" s="3874"/>
      <c r="V337" s="3874"/>
      <c r="W337" s="3874"/>
      <c r="X337" s="3874"/>
      <c r="Y337" s="3874"/>
      <c r="Z337" s="1097"/>
      <c r="AA337" s="1098"/>
      <c r="AB337" s="1163" t="s">
        <v>1444</v>
      </c>
      <c r="AC337" s="1102"/>
      <c r="AD337" s="1102"/>
      <c r="AE337" s="1104"/>
      <c r="AF337" s="3876"/>
      <c r="AG337" s="3877"/>
      <c r="AH337" s="3877"/>
      <c r="AI337" s="3876"/>
      <c r="AJ337" s="3877"/>
      <c r="AK337" s="3877"/>
      <c r="AL337" s="1874"/>
      <c r="AM337" s="1714"/>
      <c r="AN337" s="1714"/>
      <c r="AO337" s="1714"/>
      <c r="AP337" s="1714"/>
      <c r="AQ337" s="1714"/>
      <c r="AR337" s="1714"/>
      <c r="AS337" s="1714"/>
      <c r="AT337" s="1714"/>
      <c r="AU337" s="1714"/>
      <c r="AV337" s="1714"/>
      <c r="AW337" s="1714"/>
      <c r="AX337" s="1714"/>
      <c r="AY337" s="1714"/>
      <c r="AZ337" s="1714"/>
      <c r="BA337" s="1714"/>
      <c r="BB337" s="1714"/>
      <c r="BC337" s="1714"/>
      <c r="BD337" s="1714"/>
      <c r="BE337" s="1714"/>
      <c r="BF337" s="1714"/>
    </row>
    <row r="338" spans="1:58" ht="11.25" customHeight="1">
      <c r="A338" s="1088" t="s">
        <v>1345</v>
      </c>
      <c r="D338" s="1082"/>
      <c r="E338" s="1092"/>
      <c r="F338" s="3895"/>
      <c r="G338" s="3875"/>
      <c r="H338" s="3885" t="s">
        <v>78</v>
      </c>
      <c r="I338" s="3886"/>
      <c r="J338" s="3883"/>
      <c r="K338" s="3887"/>
      <c r="L338" s="3599"/>
      <c r="M338" s="3600"/>
      <c r="N338" s="1097"/>
      <c r="O338" s="1098"/>
      <c r="P338" s="1090" t="s">
        <v>1445</v>
      </c>
      <c r="Q338" s="1098"/>
      <c r="R338" s="1098"/>
      <c r="S338" s="1098"/>
      <c r="T338" s="1098"/>
      <c r="U338" s="1098"/>
      <c r="V338" s="1098"/>
      <c r="W338" s="1098"/>
      <c r="X338" s="1098"/>
      <c r="Y338" s="1098"/>
      <c r="Z338" s="1098"/>
      <c r="AA338" s="1098"/>
      <c r="AB338" s="1098"/>
      <c r="AC338" s="1098"/>
      <c r="AD338" s="1098"/>
      <c r="AE338" s="1105"/>
      <c r="AF338" s="3876"/>
      <c r="AG338" s="3877"/>
      <c r="AH338" s="3877"/>
      <c r="AI338" s="3876"/>
      <c r="AJ338" s="3877"/>
      <c r="AK338" s="3877"/>
      <c r="AL338" s="1874"/>
      <c r="AM338" s="1714"/>
      <c r="AN338" s="1714"/>
      <c r="AO338" s="1714"/>
      <c r="AP338" s="1714"/>
      <c r="AQ338" s="1714"/>
      <c r="AR338" s="1714"/>
      <c r="AS338" s="1714"/>
      <c r="AT338" s="1714"/>
      <c r="AU338" s="1714"/>
      <c r="AV338" s="1714"/>
      <c r="AW338" s="1714"/>
      <c r="AX338" s="1714"/>
      <c r="AY338" s="1714"/>
      <c r="AZ338" s="1714"/>
      <c r="BA338" s="1714"/>
      <c r="BB338" s="1714"/>
      <c r="BC338" s="1714"/>
      <c r="BD338" s="1714"/>
      <c r="BE338" s="1714"/>
      <c r="BF338" s="1714"/>
    </row>
    <row r="339" spans="1:58" ht="11.25" customHeight="1">
      <c r="A339" s="1088" t="s">
        <v>1345</v>
      </c>
      <c r="D339" s="1082"/>
      <c r="E339" s="1092"/>
      <c r="F339" s="3895"/>
      <c r="G339" s="3853" t="s">
        <v>90</v>
      </c>
      <c r="H339" s="3885" t="s">
        <v>100</v>
      </c>
      <c r="I339" s="3886"/>
      <c r="J339" s="3883"/>
      <c r="K339" s="3887" t="s">
        <v>1483</v>
      </c>
      <c r="L339" s="3599" t="s">
        <v>6</v>
      </c>
      <c r="M339" s="3600"/>
      <c r="N339" s="1872"/>
      <c r="O339" s="1099" t="s">
        <v>421</v>
      </c>
      <c r="P339" s="1100"/>
      <c r="Q339" s="1100"/>
      <c r="R339" s="1100"/>
      <c r="S339" s="1100"/>
      <c r="T339" s="1100"/>
      <c r="U339" s="1100"/>
      <c r="V339" s="1100"/>
      <c r="W339" s="1100"/>
      <c r="X339" s="1100"/>
      <c r="Y339" s="1100"/>
      <c r="Z339" s="1100"/>
      <c r="AA339" s="1100"/>
      <c r="AB339" s="1100"/>
      <c r="AC339" s="1100"/>
      <c r="AD339" s="1100"/>
      <c r="AE339" s="1100"/>
      <c r="AF339" s="3876">
        <v>2024</v>
      </c>
      <c r="AG339" s="3877" t="s">
        <v>1447</v>
      </c>
      <c r="AH339" s="3877" t="s">
        <v>1484</v>
      </c>
      <c r="AI339" s="3876">
        <v>2024</v>
      </c>
      <c r="AJ339" s="3877" t="s">
        <v>1485</v>
      </c>
      <c r="AK339" s="3877" t="s">
        <v>1484</v>
      </c>
      <c r="AL339" s="1874"/>
      <c r="AM339" s="1714"/>
      <c r="AN339" s="1714"/>
      <c r="AO339" s="1714"/>
      <c r="AP339" s="1714"/>
      <c r="AQ339" s="1714"/>
      <c r="AR339" s="1714"/>
      <c r="AS339" s="1714"/>
      <c r="AT339" s="1714"/>
      <c r="AU339" s="1714"/>
      <c r="AV339" s="1714"/>
      <c r="AW339" s="1714"/>
      <c r="AX339" s="1714"/>
      <c r="AY339" s="1714"/>
      <c r="AZ339" s="1714"/>
      <c r="BA339" s="1714"/>
      <c r="BB339" s="1714"/>
      <c r="BC339" s="1714"/>
      <c r="BD339" s="1714"/>
      <c r="BE339" s="1714"/>
      <c r="BF339" s="1714"/>
    </row>
    <row r="340" spans="1:58" ht="11.25" customHeight="1">
      <c r="A340" s="1088" t="s">
        <v>1345</v>
      </c>
      <c r="D340" s="1082"/>
      <c r="E340" s="1092"/>
      <c r="F340" s="3895"/>
      <c r="G340" s="3875"/>
      <c r="H340" s="3885" t="s">
        <v>79</v>
      </c>
      <c r="I340" s="3886"/>
      <c r="J340" s="3883"/>
      <c r="K340" s="3887"/>
      <c r="L340" s="3599"/>
      <c r="M340" s="3600"/>
      <c r="N340" s="3878"/>
      <c r="O340" s="3879">
        <v>1</v>
      </c>
      <c r="P340" s="3880" t="s">
        <v>50</v>
      </c>
      <c r="Q340" s="3883" t="s">
        <v>1476</v>
      </c>
      <c r="R340" s="3884" t="s">
        <v>1438</v>
      </c>
      <c r="S340" s="3884" t="s">
        <v>92</v>
      </c>
      <c r="T340" s="3884" t="s">
        <v>92</v>
      </c>
      <c r="U340" s="3884" t="s">
        <v>93</v>
      </c>
      <c r="V340" s="3884" t="s">
        <v>1462</v>
      </c>
      <c r="W340" s="3884" t="s">
        <v>1463</v>
      </c>
      <c r="X340" s="3884" t="s">
        <v>1477</v>
      </c>
      <c r="Y340" s="3884" t="s">
        <v>1478</v>
      </c>
      <c r="Z340" s="1097"/>
      <c r="AA340" s="1098"/>
      <c r="AB340" s="1098"/>
      <c r="AC340" s="1102"/>
      <c r="AD340" s="1102"/>
      <c r="AE340" s="1103"/>
      <c r="AF340" s="3876"/>
      <c r="AG340" s="3877"/>
      <c r="AH340" s="3877"/>
      <c r="AI340" s="3876"/>
      <c r="AJ340" s="3877"/>
      <c r="AK340" s="3877"/>
      <c r="AL340" s="1874"/>
      <c r="AM340" s="1714"/>
      <c r="AN340" s="1714"/>
      <c r="AO340" s="1714"/>
      <c r="AP340" s="1714"/>
      <c r="AQ340" s="1714"/>
      <c r="AR340" s="1714"/>
      <c r="AS340" s="1714"/>
      <c r="AT340" s="1714"/>
      <c r="AU340" s="1714"/>
      <c r="AV340" s="1714"/>
      <c r="AW340" s="1714"/>
      <c r="AX340" s="1714"/>
      <c r="AY340" s="1714"/>
      <c r="AZ340" s="1714"/>
      <c r="BA340" s="1714"/>
      <c r="BB340" s="1714"/>
      <c r="BC340" s="1714"/>
      <c r="BD340" s="1714"/>
      <c r="BE340" s="1714"/>
      <c r="BF340" s="1714"/>
    </row>
    <row r="341" spans="1:58" ht="11.25" customHeight="1">
      <c r="A341" s="1088" t="s">
        <v>1345</v>
      </c>
      <c r="D341" s="1082"/>
      <c r="E341" s="1092"/>
      <c r="F341" s="3895"/>
      <c r="G341" s="3875"/>
      <c r="H341" s="3885" t="s">
        <v>79</v>
      </c>
      <c r="I341" s="3886"/>
      <c r="J341" s="3883"/>
      <c r="K341" s="3887"/>
      <c r="L341" s="3599"/>
      <c r="M341" s="3600"/>
      <c r="N341" s="3878"/>
      <c r="O341" s="3879"/>
      <c r="P341" s="3881"/>
      <c r="Q341" s="3883"/>
      <c r="R341" s="3874"/>
      <c r="S341" s="3884"/>
      <c r="T341" s="3874"/>
      <c r="U341" s="3874"/>
      <c r="V341" s="3874"/>
      <c r="W341" s="3874"/>
      <c r="X341" s="3874"/>
      <c r="Y341" s="3874"/>
      <c r="Z341" s="1719"/>
      <c r="AA341" s="1686">
        <v>1</v>
      </c>
      <c r="AB341" s="1101" t="s">
        <v>1443</v>
      </c>
      <c r="AC341" s="1091">
        <v>0</v>
      </c>
      <c r="AD341" s="1101" t="str">
        <f>AB341</f>
        <v xml:space="preserve">  Прибыль направляемая на инвестиции</v>
      </c>
      <c r="AE341" s="1091">
        <v>17756.189999999999</v>
      </c>
      <c r="AF341" s="3876"/>
      <c r="AG341" s="3877"/>
      <c r="AH341" s="3877"/>
      <c r="AI341" s="3876"/>
      <c r="AJ341" s="3877"/>
      <c r="AK341" s="3877"/>
      <c r="AL341" s="1874"/>
      <c r="AM341" s="1714"/>
      <c r="AN341" s="1714"/>
      <c r="AO341" s="1714"/>
      <c r="AP341" s="1714"/>
      <c r="AQ341" s="1714"/>
      <c r="AR341" s="1714"/>
      <c r="AS341" s="1714"/>
      <c r="AT341" s="1714"/>
      <c r="AU341" s="1714"/>
      <c r="AV341" s="1714"/>
      <c r="AW341" s="1714"/>
      <c r="AX341" s="1714"/>
      <c r="AY341" s="1714"/>
      <c r="AZ341" s="1714"/>
      <c r="BA341" s="1714"/>
      <c r="BB341" s="1714"/>
      <c r="BC341" s="1714"/>
      <c r="BD341" s="1714"/>
      <c r="BE341" s="1714"/>
      <c r="BF341" s="1714"/>
    </row>
    <row r="342" spans="1:58" ht="11.25" customHeight="1">
      <c r="A342" s="1088" t="s">
        <v>1345</v>
      </c>
      <c r="D342" s="1082"/>
      <c r="E342" s="1092"/>
      <c r="F342" s="3895"/>
      <c r="G342" s="3875"/>
      <c r="H342" s="3885" t="s">
        <v>79</v>
      </c>
      <c r="I342" s="3886"/>
      <c r="J342" s="3883"/>
      <c r="K342" s="3887"/>
      <c r="L342" s="3599"/>
      <c r="M342" s="3600"/>
      <c r="N342" s="3878"/>
      <c r="O342" s="3879"/>
      <c r="P342" s="3882"/>
      <c r="Q342" s="3883"/>
      <c r="R342" s="3874"/>
      <c r="S342" s="3884"/>
      <c r="T342" s="3874"/>
      <c r="U342" s="3874"/>
      <c r="V342" s="3874"/>
      <c r="W342" s="3874"/>
      <c r="X342" s="3874"/>
      <c r="Y342" s="3874"/>
      <c r="Z342" s="1097"/>
      <c r="AA342" s="1098"/>
      <c r="AB342" s="1163" t="s">
        <v>1444</v>
      </c>
      <c r="AC342" s="1102"/>
      <c r="AD342" s="1102"/>
      <c r="AE342" s="1104"/>
      <c r="AF342" s="3876"/>
      <c r="AG342" s="3877"/>
      <c r="AH342" s="3877"/>
      <c r="AI342" s="3876"/>
      <c r="AJ342" s="3877"/>
      <c r="AK342" s="3877"/>
      <c r="AL342" s="1874"/>
      <c r="AM342" s="1714"/>
      <c r="AN342" s="1714"/>
      <c r="AO342" s="1714"/>
      <c r="AP342" s="1714"/>
      <c r="AQ342" s="1714"/>
      <c r="AR342" s="1714"/>
      <c r="AS342" s="1714"/>
      <c r="AT342" s="1714"/>
      <c r="AU342" s="1714"/>
      <c r="AV342" s="1714"/>
      <c r="AW342" s="1714"/>
      <c r="AX342" s="1714"/>
      <c r="AY342" s="1714"/>
      <c r="AZ342" s="1714"/>
      <c r="BA342" s="1714"/>
      <c r="BB342" s="1714"/>
      <c r="BC342" s="1714"/>
      <c r="BD342" s="1714"/>
      <c r="BE342" s="1714"/>
      <c r="BF342" s="1714"/>
    </row>
    <row r="343" spans="1:58" ht="11.25" customHeight="1">
      <c r="A343" s="1088" t="s">
        <v>1345</v>
      </c>
      <c r="D343" s="1082"/>
      <c r="E343" s="1092"/>
      <c r="F343" s="3895"/>
      <c r="G343" s="3875"/>
      <c r="H343" s="3885" t="s">
        <v>79</v>
      </c>
      <c r="I343" s="3886"/>
      <c r="J343" s="3883"/>
      <c r="K343" s="3887"/>
      <c r="L343" s="3599"/>
      <c r="M343" s="3600"/>
      <c r="N343" s="1097"/>
      <c r="O343" s="1098"/>
      <c r="P343" s="1090" t="s">
        <v>1445</v>
      </c>
      <c r="Q343" s="1098"/>
      <c r="R343" s="1098"/>
      <c r="S343" s="1098"/>
      <c r="T343" s="1098"/>
      <c r="U343" s="1098"/>
      <c r="V343" s="1098"/>
      <c r="W343" s="1098"/>
      <c r="X343" s="1098"/>
      <c r="Y343" s="1098"/>
      <c r="Z343" s="1098"/>
      <c r="AA343" s="1098"/>
      <c r="AB343" s="1098"/>
      <c r="AC343" s="1098"/>
      <c r="AD343" s="1098"/>
      <c r="AE343" s="1105"/>
      <c r="AF343" s="3876"/>
      <c r="AG343" s="3877"/>
      <c r="AH343" s="3877"/>
      <c r="AI343" s="3876"/>
      <c r="AJ343" s="3877"/>
      <c r="AK343" s="3877"/>
      <c r="AL343" s="1874"/>
      <c r="AM343" s="1714"/>
      <c r="AN343" s="1714"/>
      <c r="AO343" s="1714"/>
      <c r="AP343" s="1714"/>
      <c r="AQ343" s="1714"/>
      <c r="AR343" s="1714"/>
      <c r="AS343" s="1714"/>
      <c r="AT343" s="1714"/>
      <c r="AU343" s="1714"/>
      <c r="AV343" s="1714"/>
      <c r="AW343" s="1714"/>
      <c r="AX343" s="1714"/>
      <c r="AY343" s="1714"/>
      <c r="AZ343" s="1714"/>
      <c r="BA343" s="1714"/>
      <c r="BB343" s="1714"/>
      <c r="BC343" s="1714"/>
      <c r="BD343" s="1714"/>
      <c r="BE343" s="1714"/>
      <c r="BF343" s="1714"/>
    </row>
    <row r="344" spans="1:58" ht="12" customHeight="1">
      <c r="A344" s="1088" t="s">
        <v>1345</v>
      </c>
      <c r="D344" s="1082"/>
      <c r="E344" s="1092"/>
      <c r="F344" s="3896"/>
      <c r="G344" s="1112"/>
      <c r="H344" s="1112"/>
      <c r="I344" s="3893" t="s">
        <v>1451</v>
      </c>
      <c r="J344" s="3893"/>
      <c r="K344" s="3893"/>
      <c r="L344" s="1095"/>
      <c r="M344" s="1095"/>
      <c r="N344" s="1096"/>
      <c r="O344" s="1096"/>
      <c r="P344" s="1096"/>
      <c r="Q344" s="1096"/>
      <c r="R344" s="1096"/>
      <c r="S344" s="1096"/>
      <c r="T344" s="1096"/>
      <c r="U344" s="1096"/>
      <c r="V344" s="1096"/>
      <c r="W344" s="1096"/>
      <c r="X344" s="1096"/>
      <c r="Y344" s="1096"/>
      <c r="Z344" s="1096"/>
      <c r="AA344" s="1096"/>
      <c r="AB344" s="1096"/>
      <c r="AC344" s="1096"/>
      <c r="AD344" s="1096"/>
      <c r="AE344" s="1096"/>
      <c r="AF344" s="1096"/>
      <c r="AG344" s="1095"/>
      <c r="AH344" s="1095"/>
      <c r="AI344" s="1096"/>
      <c r="AJ344" s="1095"/>
      <c r="AK344" s="1096"/>
      <c r="AL344" s="1874"/>
      <c r="AM344" s="1714"/>
      <c r="AN344" s="1714"/>
      <c r="AO344" s="1714"/>
      <c r="AP344" s="1714"/>
      <c r="AQ344" s="1714"/>
      <c r="AR344" s="1714"/>
      <c r="AS344" s="1714"/>
      <c r="AT344" s="1714"/>
      <c r="AU344" s="1714"/>
      <c r="AV344" s="1714"/>
      <c r="AW344" s="1714"/>
      <c r="AX344" s="1714"/>
      <c r="AY344" s="1714"/>
      <c r="AZ344" s="1714"/>
      <c r="BA344" s="1714"/>
      <c r="BB344" s="1714"/>
      <c r="BC344" s="1714"/>
      <c r="BD344" s="1714"/>
      <c r="BE344" s="1714"/>
      <c r="BF344" s="1714"/>
    </row>
    <row r="345" spans="1:58" ht="0.75" customHeight="1">
      <c r="A345" s="1088" t="s">
        <v>1345</v>
      </c>
      <c r="D345" s="1082"/>
      <c r="E345" s="1092"/>
      <c r="F345" s="3894">
        <v>2023</v>
      </c>
      <c r="G345" s="3885"/>
      <c r="H345" s="3898" t="s">
        <v>421</v>
      </c>
      <c r="I345" s="3899"/>
      <c r="J345" s="3891"/>
      <c r="K345" s="3891"/>
      <c r="L345" s="3892"/>
      <c r="M345" s="3743"/>
      <c r="N345" s="1922"/>
      <c r="O345" s="1921"/>
      <c r="P345" s="1922"/>
      <c r="Q345" s="1922"/>
      <c r="R345" s="1922"/>
      <c r="S345" s="1922"/>
      <c r="T345" s="1922"/>
      <c r="U345" s="1922"/>
      <c r="V345" s="1922"/>
      <c r="W345" s="1922"/>
      <c r="X345" s="1922"/>
      <c r="Y345" s="1922"/>
      <c r="Z345" s="1922"/>
      <c r="AA345" s="1922"/>
      <c r="AB345" s="1922"/>
      <c r="AC345" s="1922"/>
      <c r="AD345" s="1922"/>
      <c r="AE345" s="1922"/>
      <c r="AF345" s="3897"/>
      <c r="AG345" s="3892"/>
      <c r="AH345" s="3892"/>
      <c r="AI345" s="3897"/>
      <c r="AJ345" s="3892"/>
      <c r="AK345" s="3892"/>
      <c r="AL345" s="1874"/>
      <c r="AM345" s="1714"/>
      <c r="AN345" s="1714"/>
      <c r="AO345" s="1714"/>
      <c r="AP345" s="1714"/>
      <c r="AQ345" s="1714"/>
      <c r="AR345" s="1714"/>
      <c r="AS345" s="1714"/>
      <c r="AT345" s="1714"/>
      <c r="AU345" s="1714"/>
      <c r="AV345" s="1714"/>
      <c r="AW345" s="1714"/>
      <c r="AX345" s="1714"/>
      <c r="AY345" s="1714"/>
      <c r="AZ345" s="1714"/>
      <c r="BA345" s="1714"/>
      <c r="BB345" s="1714"/>
      <c r="BC345" s="1714"/>
      <c r="BD345" s="1714"/>
      <c r="BE345" s="1714"/>
      <c r="BF345" s="1714"/>
    </row>
    <row r="346" spans="1:58" ht="0.75" customHeight="1">
      <c r="A346" s="1088" t="s">
        <v>1345</v>
      </c>
      <c r="D346" s="1082"/>
      <c r="E346" s="1092"/>
      <c r="F346" s="3894"/>
      <c r="G346" s="3885"/>
      <c r="H346" s="3898"/>
      <c r="I346" s="3899"/>
      <c r="J346" s="3891"/>
      <c r="K346" s="3891"/>
      <c r="L346" s="3892"/>
      <c r="M346" s="3743"/>
      <c r="N346" s="3900"/>
      <c r="O346" s="3901"/>
      <c r="P346" s="3888"/>
      <c r="Q346" s="3891"/>
      <c r="R346" s="3891"/>
      <c r="S346" s="3891"/>
      <c r="T346" s="3891"/>
      <c r="U346" s="3891"/>
      <c r="V346" s="3891"/>
      <c r="W346" s="3891"/>
      <c r="X346" s="3891"/>
      <c r="Y346" s="3891"/>
      <c r="Z346" s="1923"/>
      <c r="AA346" s="1924"/>
      <c r="AB346" s="1924"/>
      <c r="AC346" s="1925"/>
      <c r="AD346" s="1925"/>
      <c r="AE346" s="1926"/>
      <c r="AF346" s="3897"/>
      <c r="AG346" s="3892"/>
      <c r="AH346" s="3892"/>
      <c r="AI346" s="3897"/>
      <c r="AJ346" s="3892"/>
      <c r="AK346" s="3892"/>
      <c r="AL346" s="1874"/>
      <c r="AM346" s="1714"/>
      <c r="AN346" s="1714"/>
      <c r="AO346" s="1714"/>
      <c r="AP346" s="1714"/>
      <c r="AQ346" s="1714"/>
      <c r="AR346" s="1714"/>
      <c r="AS346" s="1714"/>
      <c r="AT346" s="1714"/>
      <c r="AU346" s="1714"/>
      <c r="AV346" s="1714"/>
      <c r="AW346" s="1714"/>
      <c r="AX346" s="1714"/>
      <c r="AY346" s="1714"/>
      <c r="AZ346" s="1714"/>
      <c r="BA346" s="1714"/>
      <c r="BB346" s="1714"/>
      <c r="BC346" s="1714"/>
      <c r="BD346" s="1714"/>
      <c r="BE346" s="1714"/>
      <c r="BF346" s="1714"/>
    </row>
    <row r="347" spans="1:58" ht="0.75" customHeight="1">
      <c r="A347" s="1088" t="s">
        <v>1345</v>
      </c>
      <c r="D347" s="1082"/>
      <c r="E347" s="1092"/>
      <c r="F347" s="3894"/>
      <c r="G347" s="3885"/>
      <c r="H347" s="3898"/>
      <c r="I347" s="3899"/>
      <c r="J347" s="3891"/>
      <c r="K347" s="3891"/>
      <c r="L347" s="3892"/>
      <c r="M347" s="3743"/>
      <c r="N347" s="3900"/>
      <c r="O347" s="3901"/>
      <c r="P347" s="3889"/>
      <c r="Q347" s="3891"/>
      <c r="R347" s="3891"/>
      <c r="S347" s="3891"/>
      <c r="T347" s="3891"/>
      <c r="U347" s="3891"/>
      <c r="V347" s="3891"/>
      <c r="W347" s="3891"/>
      <c r="X347" s="3891"/>
      <c r="Y347" s="3891"/>
      <c r="Z347" s="1927"/>
      <c r="AA347" s="1928"/>
      <c r="AB347" s="1929"/>
      <c r="AC347" s="1930"/>
      <c r="AD347" s="1929"/>
      <c r="AE347" s="1930"/>
      <c r="AF347" s="3897"/>
      <c r="AG347" s="3892"/>
      <c r="AH347" s="3892"/>
      <c r="AI347" s="3897"/>
      <c r="AJ347" s="3892"/>
      <c r="AK347" s="3892"/>
      <c r="AL347" s="1874"/>
      <c r="AM347" s="1714"/>
      <c r="AN347" s="1714"/>
      <c r="AO347" s="1714"/>
      <c r="AP347" s="1714"/>
      <c r="AQ347" s="1714"/>
      <c r="AR347" s="1714"/>
      <c r="AS347" s="1714"/>
      <c r="AT347" s="1714"/>
      <c r="AU347" s="1714"/>
      <c r="AV347" s="1714"/>
      <c r="AW347" s="1714"/>
      <c r="AX347" s="1714"/>
      <c r="AY347" s="1714"/>
      <c r="AZ347" s="1714"/>
      <c r="BA347" s="1714"/>
      <c r="BB347" s="1714"/>
      <c r="BC347" s="1714"/>
      <c r="BD347" s="1714"/>
      <c r="BE347" s="1714"/>
      <c r="BF347" s="1714"/>
    </row>
    <row r="348" spans="1:58" ht="0.75" customHeight="1">
      <c r="A348" s="1088" t="s">
        <v>1345</v>
      </c>
      <c r="D348" s="1082"/>
      <c r="E348" s="1092"/>
      <c r="F348" s="3894"/>
      <c r="G348" s="3885"/>
      <c r="H348" s="3898"/>
      <c r="I348" s="3899"/>
      <c r="J348" s="3891"/>
      <c r="K348" s="3891"/>
      <c r="L348" s="3892"/>
      <c r="M348" s="3743"/>
      <c r="N348" s="3900"/>
      <c r="O348" s="3901"/>
      <c r="P348" s="3890"/>
      <c r="Q348" s="3891"/>
      <c r="R348" s="3891"/>
      <c r="S348" s="3891"/>
      <c r="T348" s="3891"/>
      <c r="U348" s="3891"/>
      <c r="V348" s="3891"/>
      <c r="W348" s="3891"/>
      <c r="X348" s="3891"/>
      <c r="Y348" s="3891"/>
      <c r="Z348" s="1923"/>
      <c r="AA348" s="1924"/>
      <c r="AB348" s="1931"/>
      <c r="AC348" s="1925"/>
      <c r="AD348" s="1925"/>
      <c r="AE348" s="1932"/>
      <c r="AF348" s="3897"/>
      <c r="AG348" s="3892"/>
      <c r="AH348" s="3892"/>
      <c r="AI348" s="3897"/>
      <c r="AJ348" s="3892"/>
      <c r="AK348" s="3892"/>
      <c r="AL348" s="1874"/>
      <c r="AM348" s="1714"/>
      <c r="AN348" s="1714"/>
      <c r="AO348" s="1714"/>
      <c r="AP348" s="1714"/>
      <c r="AQ348" s="1714"/>
      <c r="AR348" s="1714"/>
      <c r="AS348" s="1714"/>
      <c r="AT348" s="1714"/>
      <c r="AU348" s="1714"/>
      <c r="AV348" s="1714"/>
      <c r="AW348" s="1714"/>
      <c r="AX348" s="1714"/>
      <c r="AY348" s="1714"/>
      <c r="AZ348" s="1714"/>
      <c r="BA348" s="1714"/>
      <c r="BB348" s="1714"/>
      <c r="BC348" s="1714"/>
      <c r="BD348" s="1714"/>
      <c r="BE348" s="1714"/>
      <c r="BF348" s="1714"/>
    </row>
    <row r="349" spans="1:58" ht="0.75" customHeight="1">
      <c r="A349" s="1088" t="s">
        <v>1345</v>
      </c>
      <c r="D349" s="1082"/>
      <c r="E349" s="1092"/>
      <c r="F349" s="3894"/>
      <c r="G349" s="3885"/>
      <c r="H349" s="3898"/>
      <c r="I349" s="3899"/>
      <c r="J349" s="3891"/>
      <c r="K349" s="3891"/>
      <c r="L349" s="3892"/>
      <c r="M349" s="3743"/>
      <c r="N349" s="1924"/>
      <c r="O349" s="1924"/>
      <c r="P349" s="1931"/>
      <c r="Q349" s="1924"/>
      <c r="R349" s="1924"/>
      <c r="S349" s="1924"/>
      <c r="T349" s="1924"/>
      <c r="U349" s="1924"/>
      <c r="V349" s="1924"/>
      <c r="W349" s="1924"/>
      <c r="X349" s="1924"/>
      <c r="Y349" s="1924"/>
      <c r="Z349" s="1924"/>
      <c r="AA349" s="1924"/>
      <c r="AB349" s="1924"/>
      <c r="AC349" s="1924"/>
      <c r="AD349" s="1924"/>
      <c r="AE349" s="1933"/>
      <c r="AF349" s="3897"/>
      <c r="AG349" s="3892"/>
      <c r="AH349" s="3892"/>
      <c r="AI349" s="3897"/>
      <c r="AJ349" s="3892"/>
      <c r="AK349" s="3892"/>
      <c r="AL349" s="1874"/>
      <c r="AM349" s="1714"/>
      <c r="AN349" s="1714"/>
      <c r="AO349" s="1714"/>
      <c r="AP349" s="1714"/>
      <c r="AQ349" s="1714"/>
      <c r="AR349" s="1714"/>
      <c r="AS349" s="1714"/>
      <c r="AT349" s="1714"/>
      <c r="AU349" s="1714"/>
      <c r="AV349" s="1714"/>
      <c r="AW349" s="1714"/>
      <c r="AX349" s="1714"/>
      <c r="AY349" s="1714"/>
      <c r="AZ349" s="1714"/>
      <c r="BA349" s="1714"/>
      <c r="BB349" s="1714"/>
      <c r="BC349" s="1714"/>
      <c r="BD349" s="1714"/>
      <c r="BE349" s="1714"/>
      <c r="BF349" s="1714"/>
    </row>
    <row r="350" spans="1:58" ht="11.25" customHeight="1">
      <c r="A350" s="1088" t="s">
        <v>1345</v>
      </c>
      <c r="D350" s="1082"/>
      <c r="E350" s="1092"/>
      <c r="F350" s="3895"/>
      <c r="G350" s="3853" t="s">
        <v>90</v>
      </c>
      <c r="H350" s="3885" t="s">
        <v>164</v>
      </c>
      <c r="I350" s="3886"/>
      <c r="J350" s="3883"/>
      <c r="K350" s="3887" t="s">
        <v>1466</v>
      </c>
      <c r="L350" s="3599" t="s">
        <v>6</v>
      </c>
      <c r="M350" s="3600"/>
      <c r="N350" s="1872"/>
      <c r="O350" s="1099" t="s">
        <v>421</v>
      </c>
      <c r="P350" s="1100"/>
      <c r="Q350" s="1100"/>
      <c r="R350" s="1100"/>
      <c r="S350" s="1100"/>
      <c r="T350" s="1100"/>
      <c r="U350" s="1100"/>
      <c r="V350" s="1100"/>
      <c r="W350" s="1100"/>
      <c r="X350" s="1100"/>
      <c r="Y350" s="1100"/>
      <c r="Z350" s="1100"/>
      <c r="AA350" s="1100"/>
      <c r="AB350" s="1100"/>
      <c r="AC350" s="1100"/>
      <c r="AD350" s="1100"/>
      <c r="AE350" s="1100"/>
      <c r="AF350" s="3876">
        <v>2019</v>
      </c>
      <c r="AG350" s="3877" t="s">
        <v>1447</v>
      </c>
      <c r="AH350" s="3877" t="s">
        <v>1460</v>
      </c>
      <c r="AI350" s="3876">
        <v>2019</v>
      </c>
      <c r="AJ350" s="3877" t="s">
        <v>1447</v>
      </c>
      <c r="AK350" s="3877" t="s">
        <v>1460</v>
      </c>
      <c r="AL350" s="1874"/>
      <c r="AM350" s="1714"/>
      <c r="AN350" s="1714"/>
      <c r="AO350" s="1714"/>
      <c r="AP350" s="1714"/>
      <c r="AQ350" s="1714"/>
      <c r="AR350" s="1714"/>
      <c r="AS350" s="1714"/>
      <c r="AT350" s="1714"/>
      <c r="AU350" s="1714"/>
      <c r="AV350" s="1714"/>
      <c r="AW350" s="1714"/>
      <c r="AX350" s="1714"/>
      <c r="AY350" s="1714"/>
      <c r="AZ350" s="1714"/>
      <c r="BA350" s="1714"/>
      <c r="BB350" s="1714"/>
      <c r="BC350" s="1714"/>
      <c r="BD350" s="1714"/>
      <c r="BE350" s="1714"/>
      <c r="BF350" s="1714"/>
    </row>
    <row r="351" spans="1:58" ht="11.25" customHeight="1">
      <c r="A351" s="1088" t="s">
        <v>1345</v>
      </c>
      <c r="D351" s="1082"/>
      <c r="E351" s="1092"/>
      <c r="F351" s="3895"/>
      <c r="G351" s="3875"/>
      <c r="H351" s="3885" t="s">
        <v>421</v>
      </c>
      <c r="I351" s="3886"/>
      <c r="J351" s="3883"/>
      <c r="K351" s="3887"/>
      <c r="L351" s="3599"/>
      <c r="M351" s="3600"/>
      <c r="N351" s="3878"/>
      <c r="O351" s="3879">
        <v>1</v>
      </c>
      <c r="P351" s="3880" t="s">
        <v>50</v>
      </c>
      <c r="Q351" s="3883" t="s">
        <v>1467</v>
      </c>
      <c r="R351" s="3884" t="s">
        <v>1438</v>
      </c>
      <c r="S351" s="3884" t="s">
        <v>92</v>
      </c>
      <c r="T351" s="3884" t="s">
        <v>92</v>
      </c>
      <c r="U351" s="3884" t="s">
        <v>93</v>
      </c>
      <c r="V351" s="3884" t="s">
        <v>1462</v>
      </c>
      <c r="W351" s="3884" t="s">
        <v>1463</v>
      </c>
      <c r="X351" s="3884" t="s">
        <v>1468</v>
      </c>
      <c r="Y351" s="3884" t="s">
        <v>1469</v>
      </c>
      <c r="Z351" s="1097"/>
      <c r="AA351" s="1098"/>
      <c r="AB351" s="1098"/>
      <c r="AC351" s="1102"/>
      <c r="AD351" s="1102"/>
      <c r="AE351" s="1103"/>
      <c r="AF351" s="3876"/>
      <c r="AG351" s="3877"/>
      <c r="AH351" s="3877"/>
      <c r="AI351" s="3876"/>
      <c r="AJ351" s="3877"/>
      <c r="AK351" s="3877"/>
      <c r="AL351" s="1874"/>
      <c r="AM351" s="1714"/>
      <c r="AN351" s="1714"/>
      <c r="AO351" s="1714"/>
      <c r="AP351" s="1714"/>
      <c r="AQ351" s="1714"/>
      <c r="AR351" s="1714"/>
      <c r="AS351" s="1714"/>
      <c r="AT351" s="1714"/>
      <c r="AU351" s="1714"/>
      <c r="AV351" s="1714"/>
      <c r="AW351" s="1714"/>
      <c r="AX351" s="1714"/>
      <c r="AY351" s="1714"/>
      <c r="AZ351" s="1714"/>
      <c r="BA351" s="1714"/>
      <c r="BB351" s="1714"/>
      <c r="BC351" s="1714"/>
      <c r="BD351" s="1714"/>
      <c r="BE351" s="1714"/>
      <c r="BF351" s="1714"/>
    </row>
    <row r="352" spans="1:58" ht="11.25" customHeight="1">
      <c r="A352" s="1088" t="s">
        <v>1345</v>
      </c>
      <c r="D352" s="1082"/>
      <c r="E352" s="1092"/>
      <c r="F352" s="3895"/>
      <c r="G352" s="3875"/>
      <c r="H352" s="3885" t="s">
        <v>421</v>
      </c>
      <c r="I352" s="3886"/>
      <c r="J352" s="3883"/>
      <c r="K352" s="3887"/>
      <c r="L352" s="3599"/>
      <c r="M352" s="3600"/>
      <c r="N352" s="3878"/>
      <c r="O352" s="3879"/>
      <c r="P352" s="3881"/>
      <c r="Q352" s="3883"/>
      <c r="R352" s="3874"/>
      <c r="S352" s="3884"/>
      <c r="T352" s="3874"/>
      <c r="U352" s="3874"/>
      <c r="V352" s="3874"/>
      <c r="W352" s="3874"/>
      <c r="X352" s="3874"/>
      <c r="Y352" s="3874"/>
      <c r="Z352" s="1719"/>
      <c r="AA352" s="1686">
        <v>1</v>
      </c>
      <c r="AB352" s="1101" t="s">
        <v>1453</v>
      </c>
      <c r="AC352" s="1091">
        <v>2284.77</v>
      </c>
      <c r="AD352" s="1101" t="str">
        <f>AB352</f>
        <v xml:space="preserve">      Амортизационные отчисления с выделением результатов переоценки основных средств и нематериальных активов</v>
      </c>
      <c r="AE352" s="1091">
        <v>0</v>
      </c>
      <c r="AF352" s="3876"/>
      <c r="AG352" s="3877"/>
      <c r="AH352" s="3877"/>
      <c r="AI352" s="3876"/>
      <c r="AJ352" s="3877"/>
      <c r="AK352" s="3877"/>
      <c r="AL352" s="1874"/>
      <c r="AM352" s="1714"/>
      <c r="AN352" s="1714"/>
      <c r="AO352" s="1714"/>
      <c r="AP352" s="1714"/>
      <c r="AQ352" s="1714"/>
      <c r="AR352" s="1714"/>
      <c r="AS352" s="1714"/>
      <c r="AT352" s="1714"/>
      <c r="AU352" s="1714"/>
      <c r="AV352" s="1714"/>
      <c r="AW352" s="1714"/>
      <c r="AX352" s="1714"/>
      <c r="AY352" s="1714"/>
      <c r="AZ352" s="1714"/>
      <c r="BA352" s="1714"/>
      <c r="BB352" s="1714"/>
      <c r="BC352" s="1714"/>
      <c r="BD352" s="1714"/>
      <c r="BE352" s="1714"/>
      <c r="BF352" s="1714"/>
    </row>
    <row r="353" spans="1:58" ht="11.25" customHeight="1">
      <c r="A353" s="1088" t="s">
        <v>1345</v>
      </c>
      <c r="D353" s="1082"/>
      <c r="E353" s="1092"/>
      <c r="F353" s="3895"/>
      <c r="G353" s="3875"/>
      <c r="H353" s="3885" t="s">
        <v>421</v>
      </c>
      <c r="I353" s="3886"/>
      <c r="J353" s="3883"/>
      <c r="K353" s="3887"/>
      <c r="L353" s="3599"/>
      <c r="M353" s="3600"/>
      <c r="N353" s="3878"/>
      <c r="O353" s="3879"/>
      <c r="P353" s="3882"/>
      <c r="Q353" s="3883"/>
      <c r="R353" s="3874"/>
      <c r="S353" s="3884"/>
      <c r="T353" s="3874"/>
      <c r="U353" s="3874"/>
      <c r="V353" s="3874"/>
      <c r="W353" s="3874"/>
      <c r="X353" s="3874"/>
      <c r="Y353" s="3874"/>
      <c r="Z353" s="1097"/>
      <c r="AA353" s="1098"/>
      <c r="AB353" s="1163" t="s">
        <v>1444</v>
      </c>
      <c r="AC353" s="1102"/>
      <c r="AD353" s="1102"/>
      <c r="AE353" s="1104"/>
      <c r="AF353" s="3876"/>
      <c r="AG353" s="3877"/>
      <c r="AH353" s="3877"/>
      <c r="AI353" s="3876"/>
      <c r="AJ353" s="3877"/>
      <c r="AK353" s="3877"/>
      <c r="AL353" s="1874"/>
      <c r="AM353" s="1714"/>
      <c r="AN353" s="1714"/>
      <c r="AO353" s="1714"/>
      <c r="AP353" s="1714"/>
      <c r="AQ353" s="1714"/>
      <c r="AR353" s="1714"/>
      <c r="AS353" s="1714"/>
      <c r="AT353" s="1714"/>
      <c r="AU353" s="1714"/>
      <c r="AV353" s="1714"/>
      <c r="AW353" s="1714"/>
      <c r="AX353" s="1714"/>
      <c r="AY353" s="1714"/>
      <c r="AZ353" s="1714"/>
      <c r="BA353" s="1714"/>
      <c r="BB353" s="1714"/>
      <c r="BC353" s="1714"/>
      <c r="BD353" s="1714"/>
      <c r="BE353" s="1714"/>
      <c r="BF353" s="1714"/>
    </row>
    <row r="354" spans="1:58" ht="11.25" customHeight="1">
      <c r="A354" s="1088" t="s">
        <v>1345</v>
      </c>
      <c r="D354" s="1082"/>
      <c r="E354" s="1092"/>
      <c r="F354" s="3895"/>
      <c r="G354" s="3875"/>
      <c r="H354" s="3885" t="s">
        <v>421</v>
      </c>
      <c r="I354" s="3886"/>
      <c r="J354" s="3883"/>
      <c r="K354" s="3887"/>
      <c r="L354" s="3599"/>
      <c r="M354" s="3600"/>
      <c r="N354" s="1097"/>
      <c r="O354" s="1098"/>
      <c r="P354" s="1090" t="s">
        <v>1445</v>
      </c>
      <c r="Q354" s="1098"/>
      <c r="R354" s="1098"/>
      <c r="S354" s="1098"/>
      <c r="T354" s="1098"/>
      <c r="U354" s="1098"/>
      <c r="V354" s="1098"/>
      <c r="W354" s="1098"/>
      <c r="X354" s="1098"/>
      <c r="Y354" s="1098"/>
      <c r="Z354" s="1098"/>
      <c r="AA354" s="1098"/>
      <c r="AB354" s="1098"/>
      <c r="AC354" s="1098"/>
      <c r="AD354" s="1098"/>
      <c r="AE354" s="1105"/>
      <c r="AF354" s="3876"/>
      <c r="AG354" s="3877"/>
      <c r="AH354" s="3877"/>
      <c r="AI354" s="3876"/>
      <c r="AJ354" s="3877"/>
      <c r="AK354" s="3877"/>
      <c r="AL354" s="1874"/>
      <c r="AM354" s="1714"/>
      <c r="AN354" s="1714"/>
      <c r="AO354" s="1714"/>
      <c r="AP354" s="1714"/>
      <c r="AQ354" s="1714"/>
      <c r="AR354" s="1714"/>
      <c r="AS354" s="1714"/>
      <c r="AT354" s="1714"/>
      <c r="AU354" s="1714"/>
      <c r="AV354" s="1714"/>
      <c r="AW354" s="1714"/>
      <c r="AX354" s="1714"/>
      <c r="AY354" s="1714"/>
      <c r="AZ354" s="1714"/>
      <c r="BA354" s="1714"/>
      <c r="BB354" s="1714"/>
      <c r="BC354" s="1714"/>
      <c r="BD354" s="1714"/>
      <c r="BE354" s="1714"/>
      <c r="BF354" s="1714"/>
    </row>
    <row r="355" spans="1:58" ht="11.25" customHeight="1">
      <c r="A355" s="1088" t="s">
        <v>1345</v>
      </c>
      <c r="D355" s="1082"/>
      <c r="E355" s="1092"/>
      <c r="F355" s="3895"/>
      <c r="G355" s="3853" t="s">
        <v>90</v>
      </c>
      <c r="H355" s="3885" t="s">
        <v>89</v>
      </c>
      <c r="I355" s="3886"/>
      <c r="J355" s="3883"/>
      <c r="K355" s="3887" t="s">
        <v>1483</v>
      </c>
      <c r="L355" s="3599" t="s">
        <v>6</v>
      </c>
      <c r="M355" s="3600"/>
      <c r="N355" s="1872"/>
      <c r="O355" s="1099" t="s">
        <v>421</v>
      </c>
      <c r="P355" s="1100"/>
      <c r="Q355" s="1100"/>
      <c r="R355" s="1100"/>
      <c r="S355" s="1100"/>
      <c r="T355" s="1100"/>
      <c r="U355" s="1100"/>
      <c r="V355" s="1100"/>
      <c r="W355" s="1100"/>
      <c r="X355" s="1100"/>
      <c r="Y355" s="1100"/>
      <c r="Z355" s="1100"/>
      <c r="AA355" s="1100"/>
      <c r="AB355" s="1100"/>
      <c r="AC355" s="1100"/>
      <c r="AD355" s="1100"/>
      <c r="AE355" s="1100"/>
      <c r="AF355" s="3876">
        <v>2024</v>
      </c>
      <c r="AG355" s="3877" t="s">
        <v>1447</v>
      </c>
      <c r="AH355" s="3877" t="s">
        <v>1484</v>
      </c>
      <c r="AI355" s="3876">
        <v>2024</v>
      </c>
      <c r="AJ355" s="3877" t="s">
        <v>1485</v>
      </c>
      <c r="AK355" s="3877" t="s">
        <v>1484</v>
      </c>
      <c r="AL355" s="1874"/>
      <c r="AM355" s="1714"/>
      <c r="AN355" s="1714"/>
      <c r="AO355" s="1714"/>
      <c r="AP355" s="1714"/>
      <c r="AQ355" s="1714"/>
      <c r="AR355" s="1714"/>
      <c r="AS355" s="1714"/>
      <c r="AT355" s="1714"/>
      <c r="AU355" s="1714"/>
      <c r="AV355" s="1714"/>
      <c r="AW355" s="1714"/>
      <c r="AX355" s="1714"/>
      <c r="AY355" s="1714"/>
      <c r="AZ355" s="1714"/>
      <c r="BA355" s="1714"/>
      <c r="BB355" s="1714"/>
      <c r="BC355" s="1714"/>
      <c r="BD355" s="1714"/>
      <c r="BE355" s="1714"/>
      <c r="BF355" s="1714"/>
    </row>
    <row r="356" spans="1:58" ht="11.25" customHeight="1">
      <c r="A356" s="1088" t="s">
        <v>1345</v>
      </c>
      <c r="D356" s="1082"/>
      <c r="E356" s="1092"/>
      <c r="F356" s="3895"/>
      <c r="G356" s="3875"/>
      <c r="H356" s="3885" t="s">
        <v>164</v>
      </c>
      <c r="I356" s="3886"/>
      <c r="J356" s="3883"/>
      <c r="K356" s="3887"/>
      <c r="L356" s="3599"/>
      <c r="M356" s="3600"/>
      <c r="N356" s="3878"/>
      <c r="O356" s="3879">
        <v>1</v>
      </c>
      <c r="P356" s="3880" t="s">
        <v>50</v>
      </c>
      <c r="Q356" s="3883" t="s">
        <v>1476</v>
      </c>
      <c r="R356" s="3884" t="s">
        <v>1438</v>
      </c>
      <c r="S356" s="3884" t="s">
        <v>92</v>
      </c>
      <c r="T356" s="3884" t="s">
        <v>92</v>
      </c>
      <c r="U356" s="3884" t="s">
        <v>93</v>
      </c>
      <c r="V356" s="3884" t="s">
        <v>1462</v>
      </c>
      <c r="W356" s="3884" t="s">
        <v>1463</v>
      </c>
      <c r="X356" s="3884" t="s">
        <v>1477</v>
      </c>
      <c r="Y356" s="3884" t="s">
        <v>1478</v>
      </c>
      <c r="Z356" s="1097"/>
      <c r="AA356" s="1098"/>
      <c r="AB356" s="1098"/>
      <c r="AC356" s="1102"/>
      <c r="AD356" s="1102"/>
      <c r="AE356" s="1103"/>
      <c r="AF356" s="3876"/>
      <c r="AG356" s="3877"/>
      <c r="AH356" s="3877"/>
      <c r="AI356" s="3876"/>
      <c r="AJ356" s="3877"/>
      <c r="AK356" s="3877"/>
      <c r="AL356" s="1874"/>
      <c r="AM356" s="1714"/>
      <c r="AN356" s="1714"/>
      <c r="AO356" s="1714"/>
      <c r="AP356" s="1714"/>
      <c r="AQ356" s="1714"/>
      <c r="AR356" s="1714"/>
      <c r="AS356" s="1714"/>
      <c r="AT356" s="1714"/>
      <c r="AU356" s="1714"/>
      <c r="AV356" s="1714"/>
      <c r="AW356" s="1714"/>
      <c r="AX356" s="1714"/>
      <c r="AY356" s="1714"/>
      <c r="AZ356" s="1714"/>
      <c r="BA356" s="1714"/>
      <c r="BB356" s="1714"/>
      <c r="BC356" s="1714"/>
      <c r="BD356" s="1714"/>
      <c r="BE356" s="1714"/>
      <c r="BF356" s="1714"/>
    </row>
    <row r="357" spans="1:58" ht="11.25" customHeight="1">
      <c r="A357" s="1088" t="s">
        <v>1345</v>
      </c>
      <c r="D357" s="1082"/>
      <c r="E357" s="1092"/>
      <c r="F357" s="3895"/>
      <c r="G357" s="3875"/>
      <c r="H357" s="3885" t="s">
        <v>164</v>
      </c>
      <c r="I357" s="3886"/>
      <c r="J357" s="3883"/>
      <c r="K357" s="3887"/>
      <c r="L357" s="3599"/>
      <c r="M357" s="3600"/>
      <c r="N357" s="3878"/>
      <c r="O357" s="3879"/>
      <c r="P357" s="3881"/>
      <c r="Q357" s="3883"/>
      <c r="R357" s="3874"/>
      <c r="S357" s="3884"/>
      <c r="T357" s="3874"/>
      <c r="U357" s="3874"/>
      <c r="V357" s="3874"/>
      <c r="W357" s="3874"/>
      <c r="X357" s="3874"/>
      <c r="Y357" s="3874"/>
      <c r="Z357" s="1719"/>
      <c r="AA357" s="1686">
        <v>1</v>
      </c>
      <c r="AB357" s="1101" t="s">
        <v>1453</v>
      </c>
      <c r="AC357" s="1091">
        <v>13050.59</v>
      </c>
      <c r="AD357" s="1101" t="str">
        <f>AB357</f>
        <v xml:space="preserve">      Амортизационные отчисления с выделением результатов переоценки основных средств и нематериальных активов</v>
      </c>
      <c r="AE357" s="1091">
        <v>13050.59</v>
      </c>
      <c r="AF357" s="3876"/>
      <c r="AG357" s="3877"/>
      <c r="AH357" s="3877"/>
      <c r="AI357" s="3876"/>
      <c r="AJ357" s="3877"/>
      <c r="AK357" s="3877"/>
      <c r="AL357" s="1874"/>
      <c r="AM357" s="1714"/>
      <c r="AN357" s="1714"/>
      <c r="AO357" s="1714"/>
      <c r="AP357" s="1714"/>
      <c r="AQ357" s="1714"/>
      <c r="AR357" s="1714"/>
      <c r="AS357" s="1714"/>
      <c r="AT357" s="1714"/>
      <c r="AU357" s="1714"/>
      <c r="AV357" s="1714"/>
      <c r="AW357" s="1714"/>
      <c r="AX357" s="1714"/>
      <c r="AY357" s="1714"/>
      <c r="AZ357" s="1714"/>
      <c r="BA357" s="1714"/>
      <c r="BB357" s="1714"/>
      <c r="BC357" s="1714"/>
      <c r="BD357" s="1714"/>
      <c r="BE357" s="1714"/>
      <c r="BF357" s="1714"/>
    </row>
    <row r="358" spans="1:58" ht="11.25" customHeight="1">
      <c r="A358" s="1088" t="s">
        <v>1345</v>
      </c>
      <c r="D358" s="1082"/>
      <c r="E358" s="1092"/>
      <c r="F358" s="3875"/>
      <c r="G358" s="3875"/>
      <c r="H358" s="3875"/>
      <c r="I358" s="3875"/>
      <c r="J358" s="3875"/>
      <c r="K358" s="3875"/>
      <c r="L358" s="3875"/>
      <c r="M358" s="3875"/>
      <c r="N358" s="3875"/>
      <c r="O358" s="3875"/>
      <c r="P358" s="3875"/>
      <c r="Q358" s="3875"/>
      <c r="R358" s="3875"/>
      <c r="S358" s="3875"/>
      <c r="T358" s="3875"/>
      <c r="U358" s="3875"/>
      <c r="V358" s="3875"/>
      <c r="W358" s="3875"/>
      <c r="X358" s="3875"/>
      <c r="Y358" s="3875"/>
      <c r="Z358" s="617" t="s">
        <v>90</v>
      </c>
      <c r="AA358" s="1706" t="s">
        <v>89</v>
      </c>
      <c r="AB358" s="1101" t="s">
        <v>1443</v>
      </c>
      <c r="AC358" s="1091">
        <v>14849.5</v>
      </c>
      <c r="AD358" s="1101" t="str">
        <f>AB358</f>
        <v xml:space="preserve">  Прибыль направляемая на инвестиции</v>
      </c>
      <c r="AE358" s="1091">
        <v>4921.37</v>
      </c>
      <c r="AF358" s="3902"/>
      <c r="AG358" s="3903"/>
      <c r="AH358" s="3903"/>
      <c r="AI358" s="3902"/>
      <c r="AJ358" s="3903"/>
      <c r="AK358" s="3904"/>
      <c r="AL358" s="1874"/>
      <c r="AM358" s="1714"/>
      <c r="AN358" s="1714"/>
      <c r="AO358" s="1714"/>
      <c r="AP358" s="1714"/>
      <c r="AQ358" s="1714"/>
      <c r="AR358" s="1714"/>
      <c r="AS358" s="1714"/>
      <c r="AT358" s="1714"/>
      <c r="AU358" s="1714"/>
      <c r="AV358" s="1714"/>
      <c r="AW358" s="1714"/>
      <c r="AX358" s="1714"/>
      <c r="AY358" s="1714"/>
      <c r="AZ358" s="1714"/>
      <c r="BA358" s="1714"/>
      <c r="BB358" s="1714"/>
      <c r="BC358" s="1714"/>
      <c r="BD358" s="1714"/>
      <c r="BE358" s="1714"/>
      <c r="BF358" s="1714"/>
    </row>
    <row r="359" spans="1:58" ht="11.25" customHeight="1">
      <c r="A359" s="1088" t="s">
        <v>1345</v>
      </c>
      <c r="D359" s="1082"/>
      <c r="E359" s="1092"/>
      <c r="F359" s="3895"/>
      <c r="G359" s="3875"/>
      <c r="H359" s="3885" t="s">
        <v>164</v>
      </c>
      <c r="I359" s="3886"/>
      <c r="J359" s="3883"/>
      <c r="K359" s="3887"/>
      <c r="L359" s="3599"/>
      <c r="M359" s="3600"/>
      <c r="N359" s="3878"/>
      <c r="O359" s="3879"/>
      <c r="P359" s="3882"/>
      <c r="Q359" s="3883"/>
      <c r="R359" s="3874"/>
      <c r="S359" s="3884"/>
      <c r="T359" s="3874"/>
      <c r="U359" s="3874"/>
      <c r="V359" s="3874"/>
      <c r="W359" s="3874"/>
      <c r="X359" s="3874"/>
      <c r="Y359" s="3874"/>
      <c r="Z359" s="1097"/>
      <c r="AA359" s="1098"/>
      <c r="AB359" s="1163" t="s">
        <v>1444</v>
      </c>
      <c r="AC359" s="1102"/>
      <c r="AD359" s="1102"/>
      <c r="AE359" s="1104"/>
      <c r="AF359" s="3876"/>
      <c r="AG359" s="3877"/>
      <c r="AH359" s="3877"/>
      <c r="AI359" s="3876"/>
      <c r="AJ359" s="3877"/>
      <c r="AK359" s="3877"/>
      <c r="AL359" s="1874"/>
      <c r="AM359" s="1714"/>
      <c r="AN359" s="1714"/>
      <c r="AO359" s="1714"/>
      <c r="AP359" s="1714"/>
      <c r="AQ359" s="1714"/>
      <c r="AR359" s="1714"/>
      <c r="AS359" s="1714"/>
      <c r="AT359" s="1714"/>
      <c r="AU359" s="1714"/>
      <c r="AV359" s="1714"/>
      <c r="AW359" s="1714"/>
      <c r="AX359" s="1714"/>
      <c r="AY359" s="1714"/>
      <c r="AZ359" s="1714"/>
      <c r="BA359" s="1714"/>
      <c r="BB359" s="1714"/>
      <c r="BC359" s="1714"/>
      <c r="BD359" s="1714"/>
      <c r="BE359" s="1714"/>
      <c r="BF359" s="1714"/>
    </row>
    <row r="360" spans="1:58" ht="11.25" customHeight="1">
      <c r="A360" s="1088" t="s">
        <v>1345</v>
      </c>
      <c r="D360" s="1082"/>
      <c r="E360" s="1092"/>
      <c r="F360" s="3895"/>
      <c r="G360" s="3875"/>
      <c r="H360" s="3885" t="s">
        <v>164</v>
      </c>
      <c r="I360" s="3886"/>
      <c r="J360" s="3883"/>
      <c r="K360" s="3887"/>
      <c r="L360" s="3599"/>
      <c r="M360" s="3600"/>
      <c r="N360" s="1097"/>
      <c r="O360" s="1098"/>
      <c r="P360" s="1090" t="s">
        <v>1445</v>
      </c>
      <c r="Q360" s="1098"/>
      <c r="R360" s="1098"/>
      <c r="S360" s="1098"/>
      <c r="T360" s="1098"/>
      <c r="U360" s="1098"/>
      <c r="V360" s="1098"/>
      <c r="W360" s="1098"/>
      <c r="X360" s="1098"/>
      <c r="Y360" s="1098"/>
      <c r="Z360" s="1098"/>
      <c r="AA360" s="1098"/>
      <c r="AB360" s="1098"/>
      <c r="AC360" s="1098"/>
      <c r="AD360" s="1098"/>
      <c r="AE360" s="1105"/>
      <c r="AF360" s="3876"/>
      <c r="AG360" s="3877"/>
      <c r="AH360" s="3877"/>
      <c r="AI360" s="3876"/>
      <c r="AJ360" s="3877"/>
      <c r="AK360" s="3877"/>
      <c r="AL360" s="1874"/>
      <c r="AM360" s="1714"/>
      <c r="AN360" s="1714"/>
      <c r="AO360" s="1714"/>
      <c r="AP360" s="1714"/>
      <c r="AQ360" s="1714"/>
      <c r="AR360" s="1714"/>
      <c r="AS360" s="1714"/>
      <c r="AT360" s="1714"/>
      <c r="AU360" s="1714"/>
      <c r="AV360" s="1714"/>
      <c r="AW360" s="1714"/>
      <c r="AX360" s="1714"/>
      <c r="AY360" s="1714"/>
      <c r="AZ360" s="1714"/>
      <c r="BA360" s="1714"/>
      <c r="BB360" s="1714"/>
      <c r="BC360" s="1714"/>
      <c r="BD360" s="1714"/>
      <c r="BE360" s="1714"/>
      <c r="BF360" s="1714"/>
    </row>
    <row r="361" spans="1:58" ht="12" customHeight="1">
      <c r="A361" s="1088" t="s">
        <v>1345</v>
      </c>
      <c r="D361" s="1082"/>
      <c r="E361" s="1092"/>
      <c r="F361" s="3896"/>
      <c r="G361" s="1112"/>
      <c r="H361" s="1112"/>
      <c r="I361" s="3893" t="s">
        <v>1451</v>
      </c>
      <c r="J361" s="3893"/>
      <c r="K361" s="3893"/>
      <c r="L361" s="1095"/>
      <c r="M361" s="1095"/>
      <c r="N361" s="1096"/>
      <c r="O361" s="1096"/>
      <c r="P361" s="1096"/>
      <c r="Q361" s="1096"/>
      <c r="R361" s="1096"/>
      <c r="S361" s="1096"/>
      <c r="T361" s="1096"/>
      <c r="U361" s="1096"/>
      <c r="V361" s="1096"/>
      <c r="W361" s="1096"/>
      <c r="X361" s="1096"/>
      <c r="Y361" s="1096"/>
      <c r="Z361" s="1096"/>
      <c r="AA361" s="1096"/>
      <c r="AB361" s="1096"/>
      <c r="AC361" s="1096"/>
      <c r="AD361" s="1096"/>
      <c r="AE361" s="1096"/>
      <c r="AF361" s="1096"/>
      <c r="AG361" s="1095"/>
      <c r="AH361" s="1095"/>
      <c r="AI361" s="1096"/>
      <c r="AJ361" s="1095"/>
      <c r="AK361" s="1096"/>
      <c r="AL361" s="1874"/>
      <c r="AM361" s="1714"/>
      <c r="AN361" s="1714"/>
      <c r="AO361" s="1714"/>
      <c r="AP361" s="1714"/>
      <c r="AQ361" s="1714"/>
      <c r="AR361" s="1714"/>
      <c r="AS361" s="1714"/>
      <c r="AT361" s="1714"/>
      <c r="AU361" s="1714"/>
      <c r="AV361" s="1714"/>
      <c r="AW361" s="1714"/>
      <c r="AX361" s="1714"/>
      <c r="AY361" s="1714"/>
      <c r="AZ361" s="1714"/>
      <c r="BA361" s="1714"/>
      <c r="BB361" s="1714"/>
      <c r="BC361" s="1714"/>
      <c r="BD361" s="1714"/>
      <c r="BE361" s="1714"/>
      <c r="BF361" s="1714"/>
    </row>
    <row r="362" spans="1:58" ht="0.75" customHeight="1">
      <c r="A362" s="1088" t="s">
        <v>1345</v>
      </c>
      <c r="D362" s="1082"/>
      <c r="E362" s="1092"/>
      <c r="F362" s="3894">
        <v>2024</v>
      </c>
      <c r="G362" s="3885"/>
      <c r="H362" s="3898" t="s">
        <v>421</v>
      </c>
      <c r="I362" s="3899"/>
      <c r="J362" s="3891"/>
      <c r="K362" s="3891"/>
      <c r="L362" s="3892"/>
      <c r="M362" s="3743"/>
      <c r="N362" s="1922"/>
      <c r="O362" s="1921"/>
      <c r="P362" s="1922"/>
      <c r="Q362" s="1922"/>
      <c r="R362" s="1922"/>
      <c r="S362" s="1922"/>
      <c r="T362" s="1922"/>
      <c r="U362" s="1922"/>
      <c r="V362" s="1922"/>
      <c r="W362" s="1922"/>
      <c r="X362" s="1922"/>
      <c r="Y362" s="1922"/>
      <c r="Z362" s="1922"/>
      <c r="AA362" s="1922"/>
      <c r="AB362" s="1922"/>
      <c r="AC362" s="1922"/>
      <c r="AD362" s="1922"/>
      <c r="AE362" s="1922"/>
      <c r="AF362" s="3897"/>
      <c r="AG362" s="3892"/>
      <c r="AH362" s="3892"/>
      <c r="AI362" s="3897"/>
      <c r="AJ362" s="3892"/>
      <c r="AK362" s="3892"/>
      <c r="AL362" s="1874"/>
      <c r="AM362" s="1714"/>
      <c r="AN362" s="1714"/>
      <c r="AO362" s="1714"/>
      <c r="AP362" s="1714"/>
      <c r="AQ362" s="1714"/>
      <c r="AR362" s="1714"/>
      <c r="AS362" s="1714"/>
      <c r="AT362" s="1714"/>
      <c r="AU362" s="1714"/>
      <c r="AV362" s="1714"/>
      <c r="AW362" s="1714"/>
      <c r="AX362" s="1714"/>
      <c r="AY362" s="1714"/>
      <c r="AZ362" s="1714"/>
      <c r="BA362" s="1714"/>
      <c r="BB362" s="1714"/>
      <c r="BC362" s="1714"/>
      <c r="BD362" s="1714"/>
      <c r="BE362" s="1714"/>
      <c r="BF362" s="1714"/>
    </row>
    <row r="363" spans="1:58" ht="0.75" customHeight="1">
      <c r="A363" s="1088" t="s">
        <v>1345</v>
      </c>
      <c r="D363" s="1082"/>
      <c r="E363" s="1092"/>
      <c r="F363" s="3894"/>
      <c r="G363" s="3885"/>
      <c r="H363" s="3898"/>
      <c r="I363" s="3899"/>
      <c r="J363" s="3891"/>
      <c r="K363" s="3891"/>
      <c r="L363" s="3892"/>
      <c r="M363" s="3743"/>
      <c r="N363" s="3900"/>
      <c r="O363" s="3901"/>
      <c r="P363" s="3888"/>
      <c r="Q363" s="3891"/>
      <c r="R363" s="3891"/>
      <c r="S363" s="3891"/>
      <c r="T363" s="3891"/>
      <c r="U363" s="3891"/>
      <c r="V363" s="3891"/>
      <c r="W363" s="3891"/>
      <c r="X363" s="3891"/>
      <c r="Y363" s="3891"/>
      <c r="Z363" s="1923"/>
      <c r="AA363" s="1924"/>
      <c r="AB363" s="1924"/>
      <c r="AC363" s="1925"/>
      <c r="AD363" s="1925"/>
      <c r="AE363" s="1926"/>
      <c r="AF363" s="3897"/>
      <c r="AG363" s="3892"/>
      <c r="AH363" s="3892"/>
      <c r="AI363" s="3897"/>
      <c r="AJ363" s="3892"/>
      <c r="AK363" s="3892"/>
      <c r="AL363" s="1874"/>
      <c r="AM363" s="1714"/>
      <c r="AN363" s="1714"/>
      <c r="AO363" s="1714"/>
      <c r="AP363" s="1714"/>
      <c r="AQ363" s="1714"/>
      <c r="AR363" s="1714"/>
      <c r="AS363" s="1714"/>
      <c r="AT363" s="1714"/>
      <c r="AU363" s="1714"/>
      <c r="AV363" s="1714"/>
      <c r="AW363" s="1714"/>
      <c r="AX363" s="1714"/>
      <c r="AY363" s="1714"/>
      <c r="AZ363" s="1714"/>
      <c r="BA363" s="1714"/>
      <c r="BB363" s="1714"/>
      <c r="BC363" s="1714"/>
      <c r="BD363" s="1714"/>
      <c r="BE363" s="1714"/>
      <c r="BF363" s="1714"/>
    </row>
    <row r="364" spans="1:58" ht="0.75" customHeight="1">
      <c r="A364" s="1088" t="s">
        <v>1345</v>
      </c>
      <c r="D364" s="1082"/>
      <c r="E364" s="1092"/>
      <c r="F364" s="3894"/>
      <c r="G364" s="3885"/>
      <c r="H364" s="3898"/>
      <c r="I364" s="3899"/>
      <c r="J364" s="3891"/>
      <c r="K364" s="3891"/>
      <c r="L364" s="3892"/>
      <c r="M364" s="3743"/>
      <c r="N364" s="3900"/>
      <c r="O364" s="3901"/>
      <c r="P364" s="3889"/>
      <c r="Q364" s="3891"/>
      <c r="R364" s="3891"/>
      <c r="S364" s="3891"/>
      <c r="T364" s="3891"/>
      <c r="U364" s="3891"/>
      <c r="V364" s="3891"/>
      <c r="W364" s="3891"/>
      <c r="X364" s="3891"/>
      <c r="Y364" s="3891"/>
      <c r="Z364" s="1927"/>
      <c r="AA364" s="1928"/>
      <c r="AB364" s="1929"/>
      <c r="AC364" s="1930"/>
      <c r="AD364" s="1929"/>
      <c r="AE364" s="1930"/>
      <c r="AF364" s="3897"/>
      <c r="AG364" s="3892"/>
      <c r="AH364" s="3892"/>
      <c r="AI364" s="3897"/>
      <c r="AJ364" s="3892"/>
      <c r="AK364" s="3892"/>
      <c r="AL364" s="1874"/>
      <c r="AM364" s="1714"/>
      <c r="AN364" s="1714"/>
      <c r="AO364" s="1714"/>
      <c r="AP364" s="1714"/>
      <c r="AQ364" s="1714"/>
      <c r="AR364" s="1714"/>
      <c r="AS364" s="1714"/>
      <c r="AT364" s="1714"/>
      <c r="AU364" s="1714"/>
      <c r="AV364" s="1714"/>
      <c r="AW364" s="1714"/>
      <c r="AX364" s="1714"/>
      <c r="AY364" s="1714"/>
      <c r="AZ364" s="1714"/>
      <c r="BA364" s="1714"/>
      <c r="BB364" s="1714"/>
      <c r="BC364" s="1714"/>
      <c r="BD364" s="1714"/>
      <c r="BE364" s="1714"/>
      <c r="BF364" s="1714"/>
    </row>
    <row r="365" spans="1:58" ht="0.75" customHeight="1">
      <c r="A365" s="1088" t="s">
        <v>1345</v>
      </c>
      <c r="D365" s="1082"/>
      <c r="E365" s="1092"/>
      <c r="F365" s="3894"/>
      <c r="G365" s="3885"/>
      <c r="H365" s="3898"/>
      <c r="I365" s="3899"/>
      <c r="J365" s="3891"/>
      <c r="K365" s="3891"/>
      <c r="L365" s="3892"/>
      <c r="M365" s="3743"/>
      <c r="N365" s="3900"/>
      <c r="O365" s="3901"/>
      <c r="P365" s="3890"/>
      <c r="Q365" s="3891"/>
      <c r="R365" s="3891"/>
      <c r="S365" s="3891"/>
      <c r="T365" s="3891"/>
      <c r="U365" s="3891"/>
      <c r="V365" s="3891"/>
      <c r="W365" s="3891"/>
      <c r="X365" s="3891"/>
      <c r="Y365" s="3891"/>
      <c r="Z365" s="1923"/>
      <c r="AA365" s="1924"/>
      <c r="AB365" s="1931"/>
      <c r="AC365" s="1925"/>
      <c r="AD365" s="1925"/>
      <c r="AE365" s="1932"/>
      <c r="AF365" s="3897"/>
      <c r="AG365" s="3892"/>
      <c r="AH365" s="3892"/>
      <c r="AI365" s="3897"/>
      <c r="AJ365" s="3892"/>
      <c r="AK365" s="3892"/>
      <c r="AL365" s="1874"/>
      <c r="AM365" s="1714"/>
      <c r="AN365" s="1714"/>
      <c r="AO365" s="1714"/>
      <c r="AP365" s="1714"/>
      <c r="AQ365" s="1714"/>
      <c r="AR365" s="1714"/>
      <c r="AS365" s="1714"/>
      <c r="AT365" s="1714"/>
      <c r="AU365" s="1714"/>
      <c r="AV365" s="1714"/>
      <c r="AW365" s="1714"/>
      <c r="AX365" s="1714"/>
      <c r="AY365" s="1714"/>
      <c r="AZ365" s="1714"/>
      <c r="BA365" s="1714"/>
      <c r="BB365" s="1714"/>
      <c r="BC365" s="1714"/>
      <c r="BD365" s="1714"/>
      <c r="BE365" s="1714"/>
      <c r="BF365" s="1714"/>
    </row>
    <row r="366" spans="1:58" ht="0.75" customHeight="1">
      <c r="A366" s="1088" t="s">
        <v>1345</v>
      </c>
      <c r="D366" s="1082"/>
      <c r="E366" s="1092"/>
      <c r="F366" s="3894"/>
      <c r="G366" s="3885"/>
      <c r="H366" s="3898"/>
      <c r="I366" s="3899"/>
      <c r="J366" s="3891"/>
      <c r="K366" s="3891"/>
      <c r="L366" s="3892"/>
      <c r="M366" s="3743"/>
      <c r="N366" s="1924"/>
      <c r="O366" s="1924"/>
      <c r="P366" s="1931"/>
      <c r="Q366" s="1924"/>
      <c r="R366" s="1924"/>
      <c r="S366" s="1924"/>
      <c r="T366" s="1924"/>
      <c r="U366" s="1924"/>
      <c r="V366" s="1924"/>
      <c r="W366" s="1924"/>
      <c r="X366" s="1924"/>
      <c r="Y366" s="1924"/>
      <c r="Z366" s="1924"/>
      <c r="AA366" s="1924"/>
      <c r="AB366" s="1924"/>
      <c r="AC366" s="1924"/>
      <c r="AD366" s="1924"/>
      <c r="AE366" s="1933"/>
      <c r="AF366" s="3897"/>
      <c r="AG366" s="3892"/>
      <c r="AH366" s="3892"/>
      <c r="AI366" s="3897"/>
      <c r="AJ366" s="3892"/>
      <c r="AK366" s="3892"/>
      <c r="AL366" s="1874"/>
      <c r="AM366" s="1714"/>
      <c r="AN366" s="1714"/>
      <c r="AO366" s="1714"/>
      <c r="AP366" s="1714"/>
      <c r="AQ366" s="1714"/>
      <c r="AR366" s="1714"/>
      <c r="AS366" s="1714"/>
      <c r="AT366" s="1714"/>
      <c r="AU366" s="1714"/>
      <c r="AV366" s="1714"/>
      <c r="AW366" s="1714"/>
      <c r="AX366" s="1714"/>
      <c r="AY366" s="1714"/>
      <c r="AZ366" s="1714"/>
      <c r="BA366" s="1714"/>
      <c r="BB366" s="1714"/>
      <c r="BC366" s="1714"/>
      <c r="BD366" s="1714"/>
      <c r="BE366" s="1714"/>
      <c r="BF366" s="1714"/>
    </row>
    <row r="367" spans="1:58" ht="11.25" customHeight="1">
      <c r="A367" s="1088" t="s">
        <v>1345</v>
      </c>
      <c r="D367" s="1082"/>
      <c r="E367" s="1092"/>
      <c r="F367" s="3895"/>
      <c r="G367" s="3853" t="s">
        <v>90</v>
      </c>
      <c r="H367" s="3885" t="s">
        <v>164</v>
      </c>
      <c r="I367" s="3886"/>
      <c r="J367" s="3883"/>
      <c r="K367" s="3887" t="s">
        <v>1483</v>
      </c>
      <c r="L367" s="3599" t="s">
        <v>6</v>
      </c>
      <c r="M367" s="3600"/>
      <c r="N367" s="1872"/>
      <c r="O367" s="1099" t="s">
        <v>421</v>
      </c>
      <c r="P367" s="1100"/>
      <c r="Q367" s="1100"/>
      <c r="R367" s="1100"/>
      <c r="S367" s="1100"/>
      <c r="T367" s="1100"/>
      <c r="U367" s="1100"/>
      <c r="V367" s="1100"/>
      <c r="W367" s="1100"/>
      <c r="X367" s="1100"/>
      <c r="Y367" s="1100"/>
      <c r="Z367" s="1100"/>
      <c r="AA367" s="1100"/>
      <c r="AB367" s="1100"/>
      <c r="AC367" s="1100"/>
      <c r="AD367" s="1100"/>
      <c r="AE367" s="1100"/>
      <c r="AF367" s="3876">
        <v>2024</v>
      </c>
      <c r="AG367" s="3877" t="s">
        <v>1447</v>
      </c>
      <c r="AH367" s="3877" t="s">
        <v>1484</v>
      </c>
      <c r="AI367" s="3876">
        <v>2024</v>
      </c>
      <c r="AJ367" s="3877" t="s">
        <v>1485</v>
      </c>
      <c r="AK367" s="3877" t="s">
        <v>1484</v>
      </c>
      <c r="AL367" s="1874"/>
      <c r="AM367" s="1714"/>
      <c r="AN367" s="1714"/>
      <c r="AO367" s="1714"/>
      <c r="AP367" s="1714"/>
      <c r="AQ367" s="1714"/>
      <c r="AR367" s="1714"/>
      <c r="AS367" s="1714"/>
      <c r="AT367" s="1714"/>
      <c r="AU367" s="1714"/>
      <c r="AV367" s="1714"/>
      <c r="AW367" s="1714"/>
      <c r="AX367" s="1714"/>
      <c r="AY367" s="1714"/>
      <c r="AZ367" s="1714"/>
      <c r="BA367" s="1714"/>
      <c r="BB367" s="1714"/>
      <c r="BC367" s="1714"/>
      <c r="BD367" s="1714"/>
      <c r="BE367" s="1714"/>
      <c r="BF367" s="1714"/>
    </row>
    <row r="368" spans="1:58" ht="11.25" customHeight="1">
      <c r="A368" s="1088" t="s">
        <v>1345</v>
      </c>
      <c r="D368" s="1082"/>
      <c r="E368" s="1092"/>
      <c r="F368" s="3895"/>
      <c r="G368" s="3875"/>
      <c r="H368" s="3885" t="s">
        <v>421</v>
      </c>
      <c r="I368" s="3886"/>
      <c r="J368" s="3883"/>
      <c r="K368" s="3887"/>
      <c r="L368" s="3599"/>
      <c r="M368" s="3600"/>
      <c r="N368" s="3878"/>
      <c r="O368" s="3879">
        <v>1</v>
      </c>
      <c r="P368" s="3880" t="s">
        <v>50</v>
      </c>
      <c r="Q368" s="3883" t="s">
        <v>1476</v>
      </c>
      <c r="R368" s="3884" t="s">
        <v>1438</v>
      </c>
      <c r="S368" s="3884" t="s">
        <v>92</v>
      </c>
      <c r="T368" s="3884" t="s">
        <v>92</v>
      </c>
      <c r="U368" s="3884" t="s">
        <v>93</v>
      </c>
      <c r="V368" s="3884" t="s">
        <v>1462</v>
      </c>
      <c r="W368" s="3884" t="s">
        <v>1463</v>
      </c>
      <c r="X368" s="3884" t="s">
        <v>1477</v>
      </c>
      <c r="Y368" s="3884" t="s">
        <v>1478</v>
      </c>
      <c r="Z368" s="1097"/>
      <c r="AA368" s="1098"/>
      <c r="AB368" s="1098"/>
      <c r="AC368" s="1102"/>
      <c r="AD368" s="1102"/>
      <c r="AE368" s="1103"/>
      <c r="AF368" s="3876"/>
      <c r="AG368" s="3877"/>
      <c r="AH368" s="3877"/>
      <c r="AI368" s="3876"/>
      <c r="AJ368" s="3877"/>
      <c r="AK368" s="3877"/>
      <c r="AL368" s="1874"/>
      <c r="AM368" s="1714"/>
      <c r="AN368" s="1714"/>
      <c r="AO368" s="1714"/>
      <c r="AP368" s="1714"/>
      <c r="AQ368" s="1714"/>
      <c r="AR368" s="1714"/>
      <c r="AS368" s="1714"/>
      <c r="AT368" s="1714"/>
      <c r="AU368" s="1714"/>
      <c r="AV368" s="1714"/>
      <c r="AW368" s="1714"/>
      <c r="AX368" s="1714"/>
      <c r="AY368" s="1714"/>
      <c r="AZ368" s="1714"/>
      <c r="BA368" s="1714"/>
      <c r="BB368" s="1714"/>
      <c r="BC368" s="1714"/>
      <c r="BD368" s="1714"/>
      <c r="BE368" s="1714"/>
      <c r="BF368" s="1714"/>
    </row>
    <row r="369" spans="1:58" ht="11.25" customHeight="1">
      <c r="A369" s="1088" t="s">
        <v>1345</v>
      </c>
      <c r="D369" s="1082"/>
      <c r="E369" s="1092"/>
      <c r="F369" s="3895"/>
      <c r="G369" s="3875"/>
      <c r="H369" s="3885" t="s">
        <v>421</v>
      </c>
      <c r="I369" s="3886"/>
      <c r="J369" s="3883"/>
      <c r="K369" s="3887"/>
      <c r="L369" s="3599"/>
      <c r="M369" s="3600"/>
      <c r="N369" s="3878"/>
      <c r="O369" s="3879"/>
      <c r="P369" s="3881"/>
      <c r="Q369" s="3883"/>
      <c r="R369" s="3874"/>
      <c r="S369" s="3884"/>
      <c r="T369" s="3874"/>
      <c r="U369" s="3874"/>
      <c r="V369" s="3874"/>
      <c r="W369" s="3874"/>
      <c r="X369" s="3874"/>
      <c r="Y369" s="3874"/>
      <c r="Z369" s="1719"/>
      <c r="AA369" s="1686">
        <v>1</v>
      </c>
      <c r="AB369" s="1101" t="s">
        <v>1453</v>
      </c>
      <c r="AC369" s="1091">
        <v>17313.13</v>
      </c>
      <c r="AD369" s="1101" t="str">
        <f>AB369</f>
        <v xml:space="preserve">      Амортизационные отчисления с выделением результатов переоценки основных средств и нематериальных активов</v>
      </c>
      <c r="AE369" s="1091">
        <v>64</v>
      </c>
      <c r="AF369" s="3876"/>
      <c r="AG369" s="3877"/>
      <c r="AH369" s="3877"/>
      <c r="AI369" s="3876"/>
      <c r="AJ369" s="3877"/>
      <c r="AK369" s="3877"/>
      <c r="AL369" s="1874"/>
      <c r="AM369" s="1714"/>
      <c r="AN369" s="1714"/>
      <c r="AO369" s="1714"/>
      <c r="AP369" s="1714"/>
      <c r="AQ369" s="1714"/>
      <c r="AR369" s="1714"/>
      <c r="AS369" s="1714"/>
      <c r="AT369" s="1714"/>
      <c r="AU369" s="1714"/>
      <c r="AV369" s="1714"/>
      <c r="AW369" s="1714"/>
      <c r="AX369" s="1714"/>
      <c r="AY369" s="1714"/>
      <c r="AZ369" s="1714"/>
      <c r="BA369" s="1714"/>
      <c r="BB369" s="1714"/>
      <c r="BC369" s="1714"/>
      <c r="BD369" s="1714"/>
      <c r="BE369" s="1714"/>
      <c r="BF369" s="1714"/>
    </row>
    <row r="370" spans="1:58" ht="11.25" customHeight="1">
      <c r="A370" s="1088" t="s">
        <v>1345</v>
      </c>
      <c r="D370" s="1082"/>
      <c r="E370" s="1092"/>
      <c r="F370" s="3895"/>
      <c r="G370" s="3875"/>
      <c r="H370" s="3885" t="s">
        <v>421</v>
      </c>
      <c r="I370" s="3886"/>
      <c r="J370" s="3883"/>
      <c r="K370" s="3887"/>
      <c r="L370" s="3599"/>
      <c r="M370" s="3600"/>
      <c r="N370" s="3878"/>
      <c r="O370" s="3879"/>
      <c r="P370" s="3882"/>
      <c r="Q370" s="3883"/>
      <c r="R370" s="3874"/>
      <c r="S370" s="3884"/>
      <c r="T370" s="3874"/>
      <c r="U370" s="3874"/>
      <c r="V370" s="3874"/>
      <c r="W370" s="3874"/>
      <c r="X370" s="3874"/>
      <c r="Y370" s="3874"/>
      <c r="Z370" s="1097"/>
      <c r="AA370" s="1098"/>
      <c r="AB370" s="1163" t="s">
        <v>1444</v>
      </c>
      <c r="AC370" s="1102"/>
      <c r="AD370" s="1102"/>
      <c r="AE370" s="1104"/>
      <c r="AF370" s="3876"/>
      <c r="AG370" s="3877"/>
      <c r="AH370" s="3877"/>
      <c r="AI370" s="3876"/>
      <c r="AJ370" s="3877"/>
      <c r="AK370" s="3877"/>
      <c r="AL370" s="1874"/>
      <c r="AM370" s="1714"/>
      <c r="AN370" s="1714"/>
      <c r="AO370" s="1714"/>
      <c r="AP370" s="1714"/>
      <c r="AQ370" s="1714"/>
      <c r="AR370" s="1714"/>
      <c r="AS370" s="1714"/>
      <c r="AT370" s="1714"/>
      <c r="AU370" s="1714"/>
      <c r="AV370" s="1714"/>
      <c r="AW370" s="1714"/>
      <c r="AX370" s="1714"/>
      <c r="AY370" s="1714"/>
      <c r="AZ370" s="1714"/>
      <c r="BA370" s="1714"/>
      <c r="BB370" s="1714"/>
      <c r="BC370" s="1714"/>
      <c r="BD370" s="1714"/>
      <c r="BE370" s="1714"/>
      <c r="BF370" s="1714"/>
    </row>
    <row r="371" spans="1:58" ht="11.25" customHeight="1">
      <c r="A371" s="1088" t="s">
        <v>1345</v>
      </c>
      <c r="D371" s="1082"/>
      <c r="E371" s="1092"/>
      <c r="F371" s="3895"/>
      <c r="G371" s="3875"/>
      <c r="H371" s="3885" t="s">
        <v>421</v>
      </c>
      <c r="I371" s="3886"/>
      <c r="J371" s="3883"/>
      <c r="K371" s="3887"/>
      <c r="L371" s="3599"/>
      <c r="M371" s="3600"/>
      <c r="N371" s="1097"/>
      <c r="O371" s="1098"/>
      <c r="P371" s="1090" t="s">
        <v>1445</v>
      </c>
      <c r="Q371" s="1098"/>
      <c r="R371" s="1098"/>
      <c r="S371" s="1098"/>
      <c r="T371" s="1098"/>
      <c r="U371" s="1098"/>
      <c r="V371" s="1098"/>
      <c r="W371" s="1098"/>
      <c r="X371" s="1098"/>
      <c r="Y371" s="1098"/>
      <c r="Z371" s="1098"/>
      <c r="AA371" s="1098"/>
      <c r="AB371" s="1098"/>
      <c r="AC371" s="1098"/>
      <c r="AD371" s="1098"/>
      <c r="AE371" s="1105"/>
      <c r="AF371" s="3876"/>
      <c r="AG371" s="3877"/>
      <c r="AH371" s="3877"/>
      <c r="AI371" s="3876"/>
      <c r="AJ371" s="3877"/>
      <c r="AK371" s="3877"/>
      <c r="AL371" s="1874"/>
      <c r="AM371" s="1714"/>
      <c r="AN371" s="1714"/>
      <c r="AO371" s="1714"/>
      <c r="AP371" s="1714"/>
      <c r="AQ371" s="1714"/>
      <c r="AR371" s="1714"/>
      <c r="AS371" s="1714"/>
      <c r="AT371" s="1714"/>
      <c r="AU371" s="1714"/>
      <c r="AV371" s="1714"/>
      <c r="AW371" s="1714"/>
      <c r="AX371" s="1714"/>
      <c r="AY371" s="1714"/>
      <c r="AZ371" s="1714"/>
      <c r="BA371" s="1714"/>
      <c r="BB371" s="1714"/>
      <c r="BC371" s="1714"/>
      <c r="BD371" s="1714"/>
      <c r="BE371" s="1714"/>
      <c r="BF371" s="1714"/>
    </row>
    <row r="372" spans="1:58" ht="11.25" customHeight="1">
      <c r="A372" s="1088" t="s">
        <v>1345</v>
      </c>
      <c r="D372" s="1082"/>
      <c r="E372" s="1092"/>
      <c r="F372" s="3895"/>
      <c r="G372" s="3853" t="s">
        <v>90</v>
      </c>
      <c r="H372" s="3885" t="s">
        <v>89</v>
      </c>
      <c r="I372" s="3886"/>
      <c r="J372" s="3883"/>
      <c r="K372" s="3887" t="s">
        <v>1486</v>
      </c>
      <c r="L372" s="3599" t="s">
        <v>6</v>
      </c>
      <c r="M372" s="3600"/>
      <c r="N372" s="1872"/>
      <c r="O372" s="1099" t="s">
        <v>421</v>
      </c>
      <c r="P372" s="1100"/>
      <c r="Q372" s="1100"/>
      <c r="R372" s="1100"/>
      <c r="S372" s="1100"/>
      <c r="T372" s="1100"/>
      <c r="U372" s="1100"/>
      <c r="V372" s="1100"/>
      <c r="W372" s="1100"/>
      <c r="X372" s="1100"/>
      <c r="Y372" s="1100"/>
      <c r="Z372" s="1100"/>
      <c r="AA372" s="1100"/>
      <c r="AB372" s="1100"/>
      <c r="AC372" s="1100"/>
      <c r="AD372" s="1100"/>
      <c r="AE372" s="1100"/>
      <c r="AF372" s="3876">
        <v>2025</v>
      </c>
      <c r="AG372" s="3877" t="s">
        <v>1447</v>
      </c>
      <c r="AH372" s="3877" t="s">
        <v>1487</v>
      </c>
      <c r="AI372" s="3876">
        <v>2025</v>
      </c>
      <c r="AJ372" s="3877" t="s">
        <v>1447</v>
      </c>
      <c r="AK372" s="3877" t="s">
        <v>1487</v>
      </c>
      <c r="AL372" s="1874"/>
      <c r="AM372" s="1714"/>
      <c r="AN372" s="1714"/>
      <c r="AO372" s="1714"/>
      <c r="AP372" s="1714"/>
      <c r="AQ372" s="1714"/>
      <c r="AR372" s="1714"/>
      <c r="AS372" s="1714"/>
      <c r="AT372" s="1714"/>
      <c r="AU372" s="1714"/>
      <c r="AV372" s="1714"/>
      <c r="AW372" s="1714"/>
      <c r="AX372" s="1714"/>
      <c r="AY372" s="1714"/>
      <c r="AZ372" s="1714"/>
      <c r="BA372" s="1714"/>
      <c r="BB372" s="1714"/>
      <c r="BC372" s="1714"/>
      <c r="BD372" s="1714"/>
      <c r="BE372" s="1714"/>
      <c r="BF372" s="1714"/>
    </row>
    <row r="373" spans="1:58" ht="11.25" customHeight="1">
      <c r="A373" s="1088" t="s">
        <v>1345</v>
      </c>
      <c r="D373" s="1082"/>
      <c r="E373" s="1092"/>
      <c r="F373" s="3895"/>
      <c r="G373" s="3875"/>
      <c r="H373" s="3885" t="s">
        <v>164</v>
      </c>
      <c r="I373" s="3886"/>
      <c r="J373" s="3883"/>
      <c r="K373" s="3887"/>
      <c r="L373" s="3599"/>
      <c r="M373" s="3600"/>
      <c r="N373" s="3878"/>
      <c r="O373" s="3879">
        <v>1</v>
      </c>
      <c r="P373" s="3880" t="s">
        <v>50</v>
      </c>
      <c r="Q373" s="3883" t="s">
        <v>1476</v>
      </c>
      <c r="R373" s="3884" t="s">
        <v>1438</v>
      </c>
      <c r="S373" s="3884" t="s">
        <v>92</v>
      </c>
      <c r="T373" s="3884" t="s">
        <v>92</v>
      </c>
      <c r="U373" s="3884" t="s">
        <v>93</v>
      </c>
      <c r="V373" s="3884" t="s">
        <v>1462</v>
      </c>
      <c r="W373" s="3884" t="s">
        <v>1463</v>
      </c>
      <c r="X373" s="3884" t="s">
        <v>1477</v>
      </c>
      <c r="Y373" s="3884" t="s">
        <v>1478</v>
      </c>
      <c r="Z373" s="1097"/>
      <c r="AA373" s="1098"/>
      <c r="AB373" s="1098"/>
      <c r="AC373" s="1102"/>
      <c r="AD373" s="1102"/>
      <c r="AE373" s="1103"/>
      <c r="AF373" s="3876"/>
      <c r="AG373" s="3877"/>
      <c r="AH373" s="3877"/>
      <c r="AI373" s="3876"/>
      <c r="AJ373" s="3877"/>
      <c r="AK373" s="3877"/>
      <c r="AL373" s="1874"/>
      <c r="AM373" s="1714"/>
      <c r="AN373" s="1714"/>
      <c r="AO373" s="1714"/>
      <c r="AP373" s="1714"/>
      <c r="AQ373" s="1714"/>
      <c r="AR373" s="1714"/>
      <c r="AS373" s="1714"/>
      <c r="AT373" s="1714"/>
      <c r="AU373" s="1714"/>
      <c r="AV373" s="1714"/>
      <c r="AW373" s="1714"/>
      <c r="AX373" s="1714"/>
      <c r="AY373" s="1714"/>
      <c r="AZ373" s="1714"/>
      <c r="BA373" s="1714"/>
      <c r="BB373" s="1714"/>
      <c r="BC373" s="1714"/>
      <c r="BD373" s="1714"/>
      <c r="BE373" s="1714"/>
      <c r="BF373" s="1714"/>
    </row>
    <row r="374" spans="1:58" ht="11.25" customHeight="1">
      <c r="A374" s="1088" t="s">
        <v>1345</v>
      </c>
      <c r="D374" s="1082"/>
      <c r="E374" s="1092"/>
      <c r="F374" s="3895"/>
      <c r="G374" s="3875"/>
      <c r="H374" s="3885" t="s">
        <v>164</v>
      </c>
      <c r="I374" s="3886"/>
      <c r="J374" s="3883"/>
      <c r="K374" s="3887"/>
      <c r="L374" s="3599"/>
      <c r="M374" s="3600"/>
      <c r="N374" s="3878"/>
      <c r="O374" s="3879"/>
      <c r="P374" s="3881"/>
      <c r="Q374" s="3883"/>
      <c r="R374" s="3874"/>
      <c r="S374" s="3884"/>
      <c r="T374" s="3874"/>
      <c r="U374" s="3874"/>
      <c r="V374" s="3874"/>
      <c r="W374" s="3874"/>
      <c r="X374" s="3874"/>
      <c r="Y374" s="3874"/>
      <c r="Z374" s="1719"/>
      <c r="AA374" s="1686">
        <v>1</v>
      </c>
      <c r="AB374" s="1101" t="s">
        <v>1453</v>
      </c>
      <c r="AC374" s="1091">
        <v>2543.4499999999998</v>
      </c>
      <c r="AD374" s="1101" t="str">
        <f>AB374</f>
        <v xml:space="preserve">      Амортизационные отчисления с выделением результатов переоценки основных средств и нематериальных активов</v>
      </c>
      <c r="AE374" s="1091">
        <v>2543.4499999999998</v>
      </c>
      <c r="AF374" s="3876"/>
      <c r="AG374" s="3877"/>
      <c r="AH374" s="3877"/>
      <c r="AI374" s="3876"/>
      <c r="AJ374" s="3877"/>
      <c r="AK374" s="3877"/>
      <c r="AL374" s="1874"/>
      <c r="AM374" s="1714"/>
      <c r="AN374" s="1714"/>
      <c r="AO374" s="1714"/>
      <c r="AP374" s="1714"/>
      <c r="AQ374" s="1714"/>
      <c r="AR374" s="1714"/>
      <c r="AS374" s="1714"/>
      <c r="AT374" s="1714"/>
      <c r="AU374" s="1714"/>
      <c r="AV374" s="1714"/>
      <c r="AW374" s="1714"/>
      <c r="AX374" s="1714"/>
      <c r="AY374" s="1714"/>
      <c r="AZ374" s="1714"/>
      <c r="BA374" s="1714"/>
      <c r="BB374" s="1714"/>
      <c r="BC374" s="1714"/>
      <c r="BD374" s="1714"/>
      <c r="BE374" s="1714"/>
      <c r="BF374" s="1714"/>
    </row>
    <row r="375" spans="1:58" ht="11.25" customHeight="1">
      <c r="A375" s="1088" t="s">
        <v>1345</v>
      </c>
      <c r="D375" s="1082"/>
      <c r="E375" s="1092"/>
      <c r="F375" s="3875"/>
      <c r="G375" s="3875"/>
      <c r="H375" s="3875"/>
      <c r="I375" s="3875"/>
      <c r="J375" s="3875"/>
      <c r="K375" s="3875"/>
      <c r="L375" s="3875"/>
      <c r="M375" s="3875"/>
      <c r="N375" s="3875"/>
      <c r="O375" s="3875"/>
      <c r="P375" s="3875"/>
      <c r="Q375" s="3875"/>
      <c r="R375" s="3875"/>
      <c r="S375" s="3875"/>
      <c r="T375" s="3875"/>
      <c r="U375" s="3875"/>
      <c r="V375" s="3875"/>
      <c r="W375" s="3875"/>
      <c r="X375" s="3875"/>
      <c r="Y375" s="3875"/>
      <c r="Z375" s="617" t="s">
        <v>90</v>
      </c>
      <c r="AA375" s="1706" t="s">
        <v>89</v>
      </c>
      <c r="AB375" s="1101" t="s">
        <v>1443</v>
      </c>
      <c r="AC375" s="1091">
        <v>10328.280000000001</v>
      </c>
      <c r="AD375" s="1101" t="str">
        <f>AB375</f>
        <v xml:space="preserve">  Прибыль направляемая на инвестиции</v>
      </c>
      <c r="AE375" s="1091">
        <v>87901.28</v>
      </c>
      <c r="AF375" s="3902"/>
      <c r="AG375" s="3903"/>
      <c r="AH375" s="3903"/>
      <c r="AI375" s="3902"/>
      <c r="AJ375" s="3903"/>
      <c r="AK375" s="3904"/>
      <c r="AL375" s="1874"/>
      <c r="AM375" s="1714"/>
      <c r="AN375" s="1714"/>
      <c r="AO375" s="1714"/>
      <c r="AP375" s="1714"/>
      <c r="AQ375" s="1714"/>
      <c r="AR375" s="1714"/>
      <c r="AS375" s="1714"/>
      <c r="AT375" s="1714"/>
      <c r="AU375" s="1714"/>
      <c r="AV375" s="1714"/>
      <c r="AW375" s="1714"/>
      <c r="AX375" s="1714"/>
      <c r="AY375" s="1714"/>
      <c r="AZ375" s="1714"/>
      <c r="BA375" s="1714"/>
      <c r="BB375" s="1714"/>
      <c r="BC375" s="1714"/>
      <c r="BD375" s="1714"/>
      <c r="BE375" s="1714"/>
      <c r="BF375" s="1714"/>
    </row>
    <row r="376" spans="1:58" ht="11.25" customHeight="1">
      <c r="A376" s="1088" t="s">
        <v>1345</v>
      </c>
      <c r="D376" s="1082"/>
      <c r="E376" s="1092"/>
      <c r="F376" s="3895"/>
      <c r="G376" s="3875"/>
      <c r="H376" s="3885" t="s">
        <v>164</v>
      </c>
      <c r="I376" s="3886"/>
      <c r="J376" s="3883"/>
      <c r="K376" s="3887"/>
      <c r="L376" s="3599"/>
      <c r="M376" s="3600"/>
      <c r="N376" s="3878"/>
      <c r="O376" s="3879"/>
      <c r="P376" s="3882"/>
      <c r="Q376" s="3883"/>
      <c r="R376" s="3874"/>
      <c r="S376" s="3884"/>
      <c r="T376" s="3874"/>
      <c r="U376" s="3874"/>
      <c r="V376" s="3874"/>
      <c r="W376" s="3874"/>
      <c r="X376" s="3874"/>
      <c r="Y376" s="3874"/>
      <c r="Z376" s="1097"/>
      <c r="AA376" s="1098"/>
      <c r="AB376" s="1163" t="s">
        <v>1444</v>
      </c>
      <c r="AC376" s="1102"/>
      <c r="AD376" s="1102"/>
      <c r="AE376" s="1104"/>
      <c r="AF376" s="3876"/>
      <c r="AG376" s="3877"/>
      <c r="AH376" s="3877"/>
      <c r="AI376" s="3876"/>
      <c r="AJ376" s="3877"/>
      <c r="AK376" s="3877"/>
      <c r="AL376" s="1874"/>
      <c r="AM376" s="1714"/>
      <c r="AN376" s="1714"/>
      <c r="AO376" s="1714"/>
      <c r="AP376" s="1714"/>
      <c r="AQ376" s="1714"/>
      <c r="AR376" s="1714"/>
      <c r="AS376" s="1714"/>
      <c r="AT376" s="1714"/>
      <c r="AU376" s="1714"/>
      <c r="AV376" s="1714"/>
      <c r="AW376" s="1714"/>
      <c r="AX376" s="1714"/>
      <c r="AY376" s="1714"/>
      <c r="AZ376" s="1714"/>
      <c r="BA376" s="1714"/>
      <c r="BB376" s="1714"/>
      <c r="BC376" s="1714"/>
      <c r="BD376" s="1714"/>
      <c r="BE376" s="1714"/>
      <c r="BF376" s="1714"/>
    </row>
    <row r="377" spans="1:58" ht="11.25" customHeight="1">
      <c r="A377" s="1088" t="s">
        <v>1345</v>
      </c>
      <c r="D377" s="1082"/>
      <c r="E377" s="1092"/>
      <c r="F377" s="3895"/>
      <c r="G377" s="3875"/>
      <c r="H377" s="3885" t="s">
        <v>164</v>
      </c>
      <c r="I377" s="3886"/>
      <c r="J377" s="3883"/>
      <c r="K377" s="3887"/>
      <c r="L377" s="3599"/>
      <c r="M377" s="3600"/>
      <c r="N377" s="1097"/>
      <c r="O377" s="1098"/>
      <c r="P377" s="1090" t="s">
        <v>1445</v>
      </c>
      <c r="Q377" s="1098"/>
      <c r="R377" s="1098"/>
      <c r="S377" s="1098"/>
      <c r="T377" s="1098"/>
      <c r="U377" s="1098"/>
      <c r="V377" s="1098"/>
      <c r="W377" s="1098"/>
      <c r="X377" s="1098"/>
      <c r="Y377" s="1098"/>
      <c r="Z377" s="1098"/>
      <c r="AA377" s="1098"/>
      <c r="AB377" s="1098"/>
      <c r="AC377" s="1098"/>
      <c r="AD377" s="1098"/>
      <c r="AE377" s="1105"/>
      <c r="AF377" s="3876"/>
      <c r="AG377" s="3877"/>
      <c r="AH377" s="3877"/>
      <c r="AI377" s="3876"/>
      <c r="AJ377" s="3877"/>
      <c r="AK377" s="3877"/>
      <c r="AL377" s="1874"/>
      <c r="AM377" s="1714"/>
      <c r="AN377" s="1714"/>
      <c r="AO377" s="1714"/>
      <c r="AP377" s="1714"/>
      <c r="AQ377" s="1714"/>
      <c r="AR377" s="1714"/>
      <c r="AS377" s="1714"/>
      <c r="AT377" s="1714"/>
      <c r="AU377" s="1714"/>
      <c r="AV377" s="1714"/>
      <c r="AW377" s="1714"/>
      <c r="AX377" s="1714"/>
      <c r="AY377" s="1714"/>
      <c r="AZ377" s="1714"/>
      <c r="BA377" s="1714"/>
      <c r="BB377" s="1714"/>
      <c r="BC377" s="1714"/>
      <c r="BD377" s="1714"/>
      <c r="BE377" s="1714"/>
      <c r="BF377" s="1714"/>
    </row>
    <row r="378" spans="1:58" ht="12" customHeight="1">
      <c r="A378" s="1088" t="s">
        <v>1345</v>
      </c>
      <c r="D378" s="1082"/>
      <c r="E378" s="1092"/>
      <c r="F378" s="3896"/>
      <c r="G378" s="1112"/>
      <c r="H378" s="1112"/>
      <c r="I378" s="3893" t="s">
        <v>1451</v>
      </c>
      <c r="J378" s="3893"/>
      <c r="K378" s="3893"/>
      <c r="L378" s="1095"/>
      <c r="M378" s="1095"/>
      <c r="N378" s="1096"/>
      <c r="O378" s="1096"/>
      <c r="P378" s="1096"/>
      <c r="Q378" s="1096"/>
      <c r="R378" s="1096"/>
      <c r="S378" s="1096"/>
      <c r="T378" s="1096"/>
      <c r="U378" s="1096"/>
      <c r="V378" s="1096"/>
      <c r="W378" s="1096"/>
      <c r="X378" s="1096"/>
      <c r="Y378" s="1096"/>
      <c r="Z378" s="1096"/>
      <c r="AA378" s="1096"/>
      <c r="AB378" s="1096"/>
      <c r="AC378" s="1096"/>
      <c r="AD378" s="1096"/>
      <c r="AE378" s="1096"/>
      <c r="AF378" s="1096"/>
      <c r="AG378" s="1095"/>
      <c r="AH378" s="1095"/>
      <c r="AI378" s="1096"/>
      <c r="AJ378" s="1095"/>
      <c r="AK378" s="1096"/>
      <c r="AL378" s="1874"/>
      <c r="AM378" s="1714"/>
      <c r="AN378" s="1714"/>
      <c r="AO378" s="1714"/>
      <c r="AP378" s="1714"/>
      <c r="AQ378" s="1714"/>
      <c r="AR378" s="1714"/>
      <c r="AS378" s="1714"/>
      <c r="AT378" s="1714"/>
      <c r="AU378" s="1714"/>
      <c r="AV378" s="1714"/>
      <c r="AW378" s="1714"/>
      <c r="AX378" s="1714"/>
      <c r="AY378" s="1714"/>
      <c r="AZ378" s="1714"/>
      <c r="BA378" s="1714"/>
      <c r="BB378" s="1714"/>
      <c r="BC378" s="1714"/>
      <c r="BD378" s="1714"/>
      <c r="BE378" s="1714"/>
      <c r="BF378" s="1714"/>
    </row>
    <row r="379" spans="1:58" ht="0.75" customHeight="1">
      <c r="A379" s="1088" t="s">
        <v>1345</v>
      </c>
      <c r="D379" s="1082"/>
      <c r="E379" s="1092"/>
      <c r="F379" s="3894">
        <v>2025</v>
      </c>
      <c r="G379" s="3885"/>
      <c r="H379" s="3898" t="s">
        <v>421</v>
      </c>
      <c r="I379" s="3899"/>
      <c r="J379" s="3891"/>
      <c r="K379" s="3891"/>
      <c r="L379" s="3892"/>
      <c r="M379" s="3743"/>
      <c r="N379" s="1922"/>
      <c r="O379" s="1921"/>
      <c r="P379" s="1922"/>
      <c r="Q379" s="1922"/>
      <c r="R379" s="1922"/>
      <c r="S379" s="1922"/>
      <c r="T379" s="1922"/>
      <c r="U379" s="1922"/>
      <c r="V379" s="1922"/>
      <c r="W379" s="1922"/>
      <c r="X379" s="1922"/>
      <c r="Y379" s="1922"/>
      <c r="Z379" s="1922"/>
      <c r="AA379" s="1922"/>
      <c r="AB379" s="1922"/>
      <c r="AC379" s="1922"/>
      <c r="AD379" s="1922"/>
      <c r="AE379" s="1922"/>
      <c r="AF379" s="3897"/>
      <c r="AG379" s="3892"/>
      <c r="AH379" s="3892"/>
      <c r="AI379" s="3897"/>
      <c r="AJ379" s="3892"/>
      <c r="AK379" s="3892"/>
      <c r="AL379" s="1874"/>
      <c r="AM379" s="1714"/>
      <c r="AN379" s="1714"/>
      <c r="AO379" s="1714"/>
      <c r="AP379" s="1714"/>
      <c r="AQ379" s="1714"/>
      <c r="AR379" s="1714"/>
      <c r="AS379" s="1714"/>
      <c r="AT379" s="1714"/>
      <c r="AU379" s="1714"/>
      <c r="AV379" s="1714"/>
      <c r="AW379" s="1714"/>
      <c r="AX379" s="1714"/>
      <c r="AY379" s="1714"/>
      <c r="AZ379" s="1714"/>
      <c r="BA379" s="1714"/>
      <c r="BB379" s="1714"/>
      <c r="BC379" s="1714"/>
      <c r="BD379" s="1714"/>
      <c r="BE379" s="1714"/>
      <c r="BF379" s="1714"/>
    </row>
    <row r="380" spans="1:58" ht="0.75" customHeight="1">
      <c r="A380" s="1088" t="s">
        <v>1345</v>
      </c>
      <c r="D380" s="1082"/>
      <c r="E380" s="1092"/>
      <c r="F380" s="3894"/>
      <c r="G380" s="3885"/>
      <c r="H380" s="3898"/>
      <c r="I380" s="3899"/>
      <c r="J380" s="3891"/>
      <c r="K380" s="3891"/>
      <c r="L380" s="3892"/>
      <c r="M380" s="3743"/>
      <c r="N380" s="3900"/>
      <c r="O380" s="3901"/>
      <c r="P380" s="3888"/>
      <c r="Q380" s="3891"/>
      <c r="R380" s="3891"/>
      <c r="S380" s="3891"/>
      <c r="T380" s="3891"/>
      <c r="U380" s="3891"/>
      <c r="V380" s="3891"/>
      <c r="W380" s="3891"/>
      <c r="X380" s="3891"/>
      <c r="Y380" s="3891"/>
      <c r="Z380" s="1923"/>
      <c r="AA380" s="1924"/>
      <c r="AB380" s="1924"/>
      <c r="AC380" s="1925"/>
      <c r="AD380" s="1925"/>
      <c r="AE380" s="1926"/>
      <c r="AF380" s="3897"/>
      <c r="AG380" s="3892"/>
      <c r="AH380" s="3892"/>
      <c r="AI380" s="3897"/>
      <c r="AJ380" s="3892"/>
      <c r="AK380" s="3892"/>
      <c r="AL380" s="1874"/>
      <c r="AM380" s="1714"/>
      <c r="AN380" s="1714"/>
      <c r="AO380" s="1714"/>
      <c r="AP380" s="1714"/>
      <c r="AQ380" s="1714"/>
      <c r="AR380" s="1714"/>
      <c r="AS380" s="1714"/>
      <c r="AT380" s="1714"/>
      <c r="AU380" s="1714"/>
      <c r="AV380" s="1714"/>
      <c r="AW380" s="1714"/>
      <c r="AX380" s="1714"/>
      <c r="AY380" s="1714"/>
      <c r="AZ380" s="1714"/>
      <c r="BA380" s="1714"/>
      <c r="BB380" s="1714"/>
      <c r="BC380" s="1714"/>
      <c r="BD380" s="1714"/>
      <c r="BE380" s="1714"/>
      <c r="BF380" s="1714"/>
    </row>
    <row r="381" spans="1:58" ht="0.75" customHeight="1">
      <c r="A381" s="1088" t="s">
        <v>1345</v>
      </c>
      <c r="D381" s="1082"/>
      <c r="E381" s="1092"/>
      <c r="F381" s="3894"/>
      <c r="G381" s="3885"/>
      <c r="H381" s="3898"/>
      <c r="I381" s="3899"/>
      <c r="J381" s="3891"/>
      <c r="K381" s="3891"/>
      <c r="L381" s="3892"/>
      <c r="M381" s="3743"/>
      <c r="N381" s="3900"/>
      <c r="O381" s="3901"/>
      <c r="P381" s="3889"/>
      <c r="Q381" s="3891"/>
      <c r="R381" s="3891"/>
      <c r="S381" s="3891"/>
      <c r="T381" s="3891"/>
      <c r="U381" s="3891"/>
      <c r="V381" s="3891"/>
      <c r="W381" s="3891"/>
      <c r="X381" s="3891"/>
      <c r="Y381" s="3891"/>
      <c r="Z381" s="1927"/>
      <c r="AA381" s="1928"/>
      <c r="AB381" s="1929"/>
      <c r="AC381" s="1930"/>
      <c r="AD381" s="1929"/>
      <c r="AE381" s="1930"/>
      <c r="AF381" s="3897"/>
      <c r="AG381" s="3892"/>
      <c r="AH381" s="3892"/>
      <c r="AI381" s="3897"/>
      <c r="AJ381" s="3892"/>
      <c r="AK381" s="3892"/>
      <c r="AL381" s="1874"/>
      <c r="AM381" s="1714"/>
      <c r="AN381" s="1714"/>
      <c r="AO381" s="1714"/>
      <c r="AP381" s="1714"/>
      <c r="AQ381" s="1714"/>
      <c r="AR381" s="1714"/>
      <c r="AS381" s="1714"/>
      <c r="AT381" s="1714"/>
      <c r="AU381" s="1714"/>
      <c r="AV381" s="1714"/>
      <c r="AW381" s="1714"/>
      <c r="AX381" s="1714"/>
      <c r="AY381" s="1714"/>
      <c r="AZ381" s="1714"/>
      <c r="BA381" s="1714"/>
      <c r="BB381" s="1714"/>
      <c r="BC381" s="1714"/>
      <c r="BD381" s="1714"/>
      <c r="BE381" s="1714"/>
      <c r="BF381" s="1714"/>
    </row>
    <row r="382" spans="1:58" ht="0.75" customHeight="1">
      <c r="A382" s="1088" t="s">
        <v>1345</v>
      </c>
      <c r="D382" s="1082"/>
      <c r="E382" s="1092"/>
      <c r="F382" s="3894"/>
      <c r="G382" s="3885"/>
      <c r="H382" s="3898"/>
      <c r="I382" s="3899"/>
      <c r="J382" s="3891"/>
      <c r="K382" s="3891"/>
      <c r="L382" s="3892"/>
      <c r="M382" s="3743"/>
      <c r="N382" s="3900"/>
      <c r="O382" s="3901"/>
      <c r="P382" s="3890"/>
      <c r="Q382" s="3891"/>
      <c r="R382" s="3891"/>
      <c r="S382" s="3891"/>
      <c r="T382" s="3891"/>
      <c r="U382" s="3891"/>
      <c r="V382" s="3891"/>
      <c r="W382" s="3891"/>
      <c r="X382" s="3891"/>
      <c r="Y382" s="3891"/>
      <c r="Z382" s="1923"/>
      <c r="AA382" s="1924"/>
      <c r="AB382" s="1931"/>
      <c r="AC382" s="1925"/>
      <c r="AD382" s="1925"/>
      <c r="AE382" s="1932"/>
      <c r="AF382" s="3897"/>
      <c r="AG382" s="3892"/>
      <c r="AH382" s="3892"/>
      <c r="AI382" s="3897"/>
      <c r="AJ382" s="3892"/>
      <c r="AK382" s="3892"/>
      <c r="AL382" s="1874"/>
      <c r="AM382" s="1714"/>
      <c r="AN382" s="1714"/>
      <c r="AO382" s="1714"/>
      <c r="AP382" s="1714"/>
      <c r="AQ382" s="1714"/>
      <c r="AR382" s="1714"/>
      <c r="AS382" s="1714"/>
      <c r="AT382" s="1714"/>
      <c r="AU382" s="1714"/>
      <c r="AV382" s="1714"/>
      <c r="AW382" s="1714"/>
      <c r="AX382" s="1714"/>
      <c r="AY382" s="1714"/>
      <c r="AZ382" s="1714"/>
      <c r="BA382" s="1714"/>
      <c r="BB382" s="1714"/>
      <c r="BC382" s="1714"/>
      <c r="BD382" s="1714"/>
      <c r="BE382" s="1714"/>
      <c r="BF382" s="1714"/>
    </row>
    <row r="383" spans="1:58" ht="0.75" customHeight="1">
      <c r="A383" s="1088" t="s">
        <v>1345</v>
      </c>
      <c r="D383" s="1082"/>
      <c r="E383" s="1092"/>
      <c r="F383" s="3894"/>
      <c r="G383" s="3885"/>
      <c r="H383" s="3898"/>
      <c r="I383" s="3899"/>
      <c r="J383" s="3891"/>
      <c r="K383" s="3891"/>
      <c r="L383" s="3892"/>
      <c r="M383" s="3743"/>
      <c r="N383" s="1924"/>
      <c r="O383" s="1924"/>
      <c r="P383" s="1931"/>
      <c r="Q383" s="1924"/>
      <c r="R383" s="1924"/>
      <c r="S383" s="1924"/>
      <c r="T383" s="1924"/>
      <c r="U383" s="1924"/>
      <c r="V383" s="1924"/>
      <c r="W383" s="1924"/>
      <c r="X383" s="1924"/>
      <c r="Y383" s="1924"/>
      <c r="Z383" s="1924"/>
      <c r="AA383" s="1924"/>
      <c r="AB383" s="1924"/>
      <c r="AC383" s="1924"/>
      <c r="AD383" s="1924"/>
      <c r="AE383" s="1933"/>
      <c r="AF383" s="3897"/>
      <c r="AG383" s="3892"/>
      <c r="AH383" s="3892"/>
      <c r="AI383" s="3897"/>
      <c r="AJ383" s="3892"/>
      <c r="AK383" s="3892"/>
      <c r="AL383" s="1874"/>
      <c r="AM383" s="1714"/>
      <c r="AN383" s="1714"/>
      <c r="AO383" s="1714"/>
      <c r="AP383" s="1714"/>
      <c r="AQ383" s="1714"/>
      <c r="AR383" s="1714"/>
      <c r="AS383" s="1714"/>
      <c r="AT383" s="1714"/>
      <c r="AU383" s="1714"/>
      <c r="AV383" s="1714"/>
      <c r="AW383" s="1714"/>
      <c r="AX383" s="1714"/>
      <c r="AY383" s="1714"/>
      <c r="AZ383" s="1714"/>
      <c r="BA383" s="1714"/>
      <c r="BB383" s="1714"/>
      <c r="BC383" s="1714"/>
      <c r="BD383" s="1714"/>
      <c r="BE383" s="1714"/>
      <c r="BF383" s="1714"/>
    </row>
    <row r="384" spans="1:58" ht="11.25" customHeight="1">
      <c r="A384" s="1088" t="s">
        <v>1345</v>
      </c>
      <c r="D384" s="1082"/>
      <c r="E384" s="1092"/>
      <c r="F384" s="3895"/>
      <c r="G384" s="3853" t="s">
        <v>90</v>
      </c>
      <c r="H384" s="3885" t="s">
        <v>164</v>
      </c>
      <c r="I384" s="3886"/>
      <c r="J384" s="3883"/>
      <c r="K384" s="3887" t="s">
        <v>1483</v>
      </c>
      <c r="L384" s="3599" t="s">
        <v>6</v>
      </c>
      <c r="M384" s="3600"/>
      <c r="N384" s="1872"/>
      <c r="O384" s="1099" t="s">
        <v>421</v>
      </c>
      <c r="P384" s="1100"/>
      <c r="Q384" s="1100"/>
      <c r="R384" s="1100"/>
      <c r="S384" s="1100"/>
      <c r="T384" s="1100"/>
      <c r="U384" s="1100"/>
      <c r="V384" s="1100"/>
      <c r="W384" s="1100"/>
      <c r="X384" s="1100"/>
      <c r="Y384" s="1100"/>
      <c r="Z384" s="1100"/>
      <c r="AA384" s="1100"/>
      <c r="AB384" s="1100"/>
      <c r="AC384" s="1100"/>
      <c r="AD384" s="1100"/>
      <c r="AE384" s="1100"/>
      <c r="AF384" s="3876">
        <v>2024</v>
      </c>
      <c r="AG384" s="3877" t="s">
        <v>1447</v>
      </c>
      <c r="AH384" s="3877" t="s">
        <v>1484</v>
      </c>
      <c r="AI384" s="3876">
        <v>2024</v>
      </c>
      <c r="AJ384" s="3877" t="s">
        <v>1485</v>
      </c>
      <c r="AK384" s="3877" t="s">
        <v>1484</v>
      </c>
      <c r="AL384" s="1874"/>
      <c r="AM384" s="1714"/>
      <c r="AN384" s="1714"/>
      <c r="AO384" s="1714"/>
      <c r="AP384" s="1714"/>
      <c r="AQ384" s="1714"/>
      <c r="AR384" s="1714"/>
      <c r="AS384" s="1714"/>
      <c r="AT384" s="1714"/>
      <c r="AU384" s="1714"/>
      <c r="AV384" s="1714"/>
      <c r="AW384" s="1714"/>
      <c r="AX384" s="1714"/>
      <c r="AY384" s="1714"/>
      <c r="AZ384" s="1714"/>
      <c r="BA384" s="1714"/>
      <c r="BB384" s="1714"/>
      <c r="BC384" s="1714"/>
      <c r="BD384" s="1714"/>
      <c r="BE384" s="1714"/>
      <c r="BF384" s="1714"/>
    </row>
    <row r="385" spans="1:58" ht="11.25" customHeight="1">
      <c r="A385" s="1088" t="s">
        <v>1345</v>
      </c>
      <c r="D385" s="1082"/>
      <c r="E385" s="1092"/>
      <c r="F385" s="3895"/>
      <c r="G385" s="3875"/>
      <c r="H385" s="3885" t="s">
        <v>421</v>
      </c>
      <c r="I385" s="3886"/>
      <c r="J385" s="3883"/>
      <c r="K385" s="3887"/>
      <c r="L385" s="3599"/>
      <c r="M385" s="3600"/>
      <c r="N385" s="3878"/>
      <c r="O385" s="3879">
        <v>1</v>
      </c>
      <c r="P385" s="3880" t="s">
        <v>50</v>
      </c>
      <c r="Q385" s="3883" t="s">
        <v>1476</v>
      </c>
      <c r="R385" s="3884" t="s">
        <v>1438</v>
      </c>
      <c r="S385" s="3884" t="s">
        <v>92</v>
      </c>
      <c r="T385" s="3884" t="s">
        <v>92</v>
      </c>
      <c r="U385" s="3884" t="s">
        <v>93</v>
      </c>
      <c r="V385" s="3884" t="s">
        <v>1462</v>
      </c>
      <c r="W385" s="3884" t="s">
        <v>1463</v>
      </c>
      <c r="X385" s="3884" t="s">
        <v>1477</v>
      </c>
      <c r="Y385" s="3884" t="s">
        <v>1478</v>
      </c>
      <c r="Z385" s="1097"/>
      <c r="AA385" s="1098"/>
      <c r="AB385" s="1098"/>
      <c r="AC385" s="1102"/>
      <c r="AD385" s="1102"/>
      <c r="AE385" s="1103"/>
      <c r="AF385" s="3876"/>
      <c r="AG385" s="3877"/>
      <c r="AH385" s="3877"/>
      <c r="AI385" s="3876"/>
      <c r="AJ385" s="3877"/>
      <c r="AK385" s="3877"/>
      <c r="AL385" s="1874"/>
      <c r="AM385" s="1714"/>
      <c r="AN385" s="1714"/>
      <c r="AO385" s="1714"/>
      <c r="AP385" s="1714"/>
      <c r="AQ385" s="1714"/>
      <c r="AR385" s="1714"/>
      <c r="AS385" s="1714"/>
      <c r="AT385" s="1714"/>
      <c r="AU385" s="1714"/>
      <c r="AV385" s="1714"/>
      <c r="AW385" s="1714"/>
      <c r="AX385" s="1714"/>
      <c r="AY385" s="1714"/>
      <c r="AZ385" s="1714"/>
      <c r="BA385" s="1714"/>
      <c r="BB385" s="1714"/>
      <c r="BC385" s="1714"/>
      <c r="BD385" s="1714"/>
      <c r="BE385" s="1714"/>
      <c r="BF385" s="1714"/>
    </row>
    <row r="386" spans="1:58" ht="11.25" customHeight="1">
      <c r="A386" s="1088" t="s">
        <v>1345</v>
      </c>
      <c r="D386" s="1082"/>
      <c r="E386" s="1092"/>
      <c r="F386" s="3895"/>
      <c r="G386" s="3875"/>
      <c r="H386" s="3885" t="s">
        <v>421</v>
      </c>
      <c r="I386" s="3886"/>
      <c r="J386" s="3883"/>
      <c r="K386" s="3887"/>
      <c r="L386" s="3599"/>
      <c r="M386" s="3600"/>
      <c r="N386" s="3878"/>
      <c r="O386" s="3879"/>
      <c r="P386" s="3881"/>
      <c r="Q386" s="3883"/>
      <c r="R386" s="3874"/>
      <c r="S386" s="3884"/>
      <c r="T386" s="3874"/>
      <c r="U386" s="3874"/>
      <c r="V386" s="3874"/>
      <c r="W386" s="3874"/>
      <c r="X386" s="3874"/>
      <c r="Y386" s="3874"/>
      <c r="Z386" s="1719"/>
      <c r="AA386" s="1686">
        <v>1</v>
      </c>
      <c r="AB386" s="1101" t="s">
        <v>1453</v>
      </c>
      <c r="AC386" s="1091">
        <v>792.14</v>
      </c>
      <c r="AD386" s="1101" t="str">
        <f>AB386</f>
        <v xml:space="preserve">      Амортизационные отчисления с выделением результатов переоценки основных средств и нематериальных активов</v>
      </c>
      <c r="AE386" s="1091">
        <v>0</v>
      </c>
      <c r="AF386" s="3876"/>
      <c r="AG386" s="3877"/>
      <c r="AH386" s="3877"/>
      <c r="AI386" s="3876"/>
      <c r="AJ386" s="3877"/>
      <c r="AK386" s="3877"/>
      <c r="AL386" s="1874"/>
      <c r="AM386" s="1714"/>
      <c r="AN386" s="1714"/>
      <c r="AO386" s="1714"/>
      <c r="AP386" s="1714"/>
      <c r="AQ386" s="1714"/>
      <c r="AR386" s="1714"/>
      <c r="AS386" s="1714"/>
      <c r="AT386" s="1714"/>
      <c r="AU386" s="1714"/>
      <c r="AV386" s="1714"/>
      <c r="AW386" s="1714"/>
      <c r="AX386" s="1714"/>
      <c r="AY386" s="1714"/>
      <c r="AZ386" s="1714"/>
      <c r="BA386" s="1714"/>
      <c r="BB386" s="1714"/>
      <c r="BC386" s="1714"/>
      <c r="BD386" s="1714"/>
      <c r="BE386" s="1714"/>
      <c r="BF386" s="1714"/>
    </row>
    <row r="387" spans="1:58" ht="11.25" customHeight="1">
      <c r="A387" s="1088" t="s">
        <v>1345</v>
      </c>
      <c r="D387" s="1082"/>
      <c r="E387" s="1092"/>
      <c r="F387" s="3895"/>
      <c r="G387" s="3875"/>
      <c r="H387" s="3885" t="s">
        <v>421</v>
      </c>
      <c r="I387" s="3886"/>
      <c r="J387" s="3883"/>
      <c r="K387" s="3887"/>
      <c r="L387" s="3599"/>
      <c r="M387" s="3600"/>
      <c r="N387" s="3878"/>
      <c r="O387" s="3879"/>
      <c r="P387" s="3882"/>
      <c r="Q387" s="3883"/>
      <c r="R387" s="3874"/>
      <c r="S387" s="3884"/>
      <c r="T387" s="3874"/>
      <c r="U387" s="3874"/>
      <c r="V387" s="3874"/>
      <c r="W387" s="3874"/>
      <c r="X387" s="3874"/>
      <c r="Y387" s="3874"/>
      <c r="Z387" s="1097"/>
      <c r="AA387" s="1098"/>
      <c r="AB387" s="1163" t="s">
        <v>1444</v>
      </c>
      <c r="AC387" s="1102"/>
      <c r="AD387" s="1102"/>
      <c r="AE387" s="1104"/>
      <c r="AF387" s="3876"/>
      <c r="AG387" s="3877"/>
      <c r="AH387" s="3877"/>
      <c r="AI387" s="3876"/>
      <c r="AJ387" s="3877"/>
      <c r="AK387" s="3877"/>
      <c r="AL387" s="1874"/>
      <c r="AM387" s="1714"/>
      <c r="AN387" s="1714"/>
      <c r="AO387" s="1714"/>
      <c r="AP387" s="1714"/>
      <c r="AQ387" s="1714"/>
      <c r="AR387" s="1714"/>
      <c r="AS387" s="1714"/>
      <c r="AT387" s="1714"/>
      <c r="AU387" s="1714"/>
      <c r="AV387" s="1714"/>
      <c r="AW387" s="1714"/>
      <c r="AX387" s="1714"/>
      <c r="AY387" s="1714"/>
      <c r="AZ387" s="1714"/>
      <c r="BA387" s="1714"/>
      <c r="BB387" s="1714"/>
      <c r="BC387" s="1714"/>
      <c r="BD387" s="1714"/>
      <c r="BE387" s="1714"/>
      <c r="BF387" s="1714"/>
    </row>
    <row r="388" spans="1:58" ht="11.25" customHeight="1">
      <c r="A388" s="1088" t="s">
        <v>1345</v>
      </c>
      <c r="D388" s="1082"/>
      <c r="E388" s="1092"/>
      <c r="F388" s="3895"/>
      <c r="G388" s="3875"/>
      <c r="H388" s="3885" t="s">
        <v>421</v>
      </c>
      <c r="I388" s="3886"/>
      <c r="J388" s="3883"/>
      <c r="K388" s="3887"/>
      <c r="L388" s="3599"/>
      <c r="M388" s="3600"/>
      <c r="N388" s="1097"/>
      <c r="O388" s="1098"/>
      <c r="P388" s="1090" t="s">
        <v>1445</v>
      </c>
      <c r="Q388" s="1098"/>
      <c r="R388" s="1098"/>
      <c r="S388" s="1098"/>
      <c r="T388" s="1098"/>
      <c r="U388" s="1098"/>
      <c r="V388" s="1098"/>
      <c r="W388" s="1098"/>
      <c r="X388" s="1098"/>
      <c r="Y388" s="1098"/>
      <c r="Z388" s="1098"/>
      <c r="AA388" s="1098"/>
      <c r="AB388" s="1098"/>
      <c r="AC388" s="1098"/>
      <c r="AD388" s="1098"/>
      <c r="AE388" s="1105"/>
      <c r="AF388" s="3876"/>
      <c r="AG388" s="3877"/>
      <c r="AH388" s="3877"/>
      <c r="AI388" s="3876"/>
      <c r="AJ388" s="3877"/>
      <c r="AK388" s="3877"/>
      <c r="AL388" s="1874"/>
      <c r="AM388" s="1714"/>
      <c r="AN388" s="1714"/>
      <c r="AO388" s="1714"/>
      <c r="AP388" s="1714"/>
      <c r="AQ388" s="1714"/>
      <c r="AR388" s="1714"/>
      <c r="AS388" s="1714"/>
      <c r="AT388" s="1714"/>
      <c r="AU388" s="1714"/>
      <c r="AV388" s="1714"/>
      <c r="AW388" s="1714"/>
      <c r="AX388" s="1714"/>
      <c r="AY388" s="1714"/>
      <c r="AZ388" s="1714"/>
      <c r="BA388" s="1714"/>
      <c r="BB388" s="1714"/>
      <c r="BC388" s="1714"/>
      <c r="BD388" s="1714"/>
      <c r="BE388" s="1714"/>
      <c r="BF388" s="1714"/>
    </row>
    <row r="389" spans="1:58" ht="11.25" customHeight="1">
      <c r="A389" s="1088" t="s">
        <v>1345</v>
      </c>
      <c r="D389" s="1082"/>
      <c r="E389" s="1092"/>
      <c r="F389" s="3895"/>
      <c r="G389" s="3853" t="s">
        <v>90</v>
      </c>
      <c r="H389" s="3885" t="s">
        <v>89</v>
      </c>
      <c r="I389" s="3886"/>
      <c r="J389" s="3883"/>
      <c r="K389" s="3887" t="s">
        <v>1486</v>
      </c>
      <c r="L389" s="3599" t="s">
        <v>6</v>
      </c>
      <c r="M389" s="3600"/>
      <c r="N389" s="1872"/>
      <c r="O389" s="1099" t="s">
        <v>421</v>
      </c>
      <c r="P389" s="1100"/>
      <c r="Q389" s="1100"/>
      <c r="R389" s="1100"/>
      <c r="S389" s="1100"/>
      <c r="T389" s="1100"/>
      <c r="U389" s="1100"/>
      <c r="V389" s="1100"/>
      <c r="W389" s="1100"/>
      <c r="X389" s="1100"/>
      <c r="Y389" s="1100"/>
      <c r="Z389" s="1100"/>
      <c r="AA389" s="1100"/>
      <c r="AB389" s="1100"/>
      <c r="AC389" s="1100"/>
      <c r="AD389" s="1100"/>
      <c r="AE389" s="1100"/>
      <c r="AF389" s="3876">
        <v>2025</v>
      </c>
      <c r="AG389" s="3877" t="s">
        <v>1447</v>
      </c>
      <c r="AH389" s="3877" t="s">
        <v>1487</v>
      </c>
      <c r="AI389" s="3876">
        <v>2025</v>
      </c>
      <c r="AJ389" s="3877" t="s">
        <v>1447</v>
      </c>
      <c r="AK389" s="3877" t="s">
        <v>1487</v>
      </c>
      <c r="AL389" s="1874"/>
      <c r="AM389" s="1714"/>
      <c r="AN389" s="1714"/>
      <c r="AO389" s="1714"/>
      <c r="AP389" s="1714"/>
      <c r="AQ389" s="1714"/>
      <c r="AR389" s="1714"/>
      <c r="AS389" s="1714"/>
      <c r="AT389" s="1714"/>
      <c r="AU389" s="1714"/>
      <c r="AV389" s="1714"/>
      <c r="AW389" s="1714"/>
      <c r="AX389" s="1714"/>
      <c r="AY389" s="1714"/>
      <c r="AZ389" s="1714"/>
      <c r="BA389" s="1714"/>
      <c r="BB389" s="1714"/>
      <c r="BC389" s="1714"/>
      <c r="BD389" s="1714"/>
      <c r="BE389" s="1714"/>
      <c r="BF389" s="1714"/>
    </row>
    <row r="390" spans="1:58" ht="11.25" customHeight="1">
      <c r="A390" s="1088" t="s">
        <v>1345</v>
      </c>
      <c r="D390" s="1082"/>
      <c r="E390" s="1092"/>
      <c r="F390" s="3895"/>
      <c r="G390" s="3875"/>
      <c r="H390" s="3885" t="s">
        <v>164</v>
      </c>
      <c r="I390" s="3886"/>
      <c r="J390" s="3883"/>
      <c r="K390" s="3887"/>
      <c r="L390" s="3599"/>
      <c r="M390" s="3600"/>
      <c r="N390" s="3878"/>
      <c r="O390" s="3879">
        <v>1</v>
      </c>
      <c r="P390" s="3880" t="s">
        <v>50</v>
      </c>
      <c r="Q390" s="3883" t="s">
        <v>1476</v>
      </c>
      <c r="R390" s="3884" t="s">
        <v>1438</v>
      </c>
      <c r="S390" s="3884" t="s">
        <v>92</v>
      </c>
      <c r="T390" s="3884" t="s">
        <v>92</v>
      </c>
      <c r="U390" s="3884" t="s">
        <v>93</v>
      </c>
      <c r="V390" s="3884" t="s">
        <v>1462</v>
      </c>
      <c r="W390" s="3884" t="s">
        <v>1463</v>
      </c>
      <c r="X390" s="3884" t="s">
        <v>1477</v>
      </c>
      <c r="Y390" s="3884" t="s">
        <v>1478</v>
      </c>
      <c r="Z390" s="1097"/>
      <c r="AA390" s="1098"/>
      <c r="AB390" s="1098"/>
      <c r="AC390" s="1102"/>
      <c r="AD390" s="1102"/>
      <c r="AE390" s="1103"/>
      <c r="AF390" s="3876"/>
      <c r="AG390" s="3877"/>
      <c r="AH390" s="3877"/>
      <c r="AI390" s="3876"/>
      <c r="AJ390" s="3877"/>
      <c r="AK390" s="3877"/>
      <c r="AL390" s="1874"/>
      <c r="AM390" s="1714"/>
      <c r="AN390" s="1714"/>
      <c r="AO390" s="1714"/>
      <c r="AP390" s="1714"/>
      <c r="AQ390" s="1714"/>
      <c r="AR390" s="1714"/>
      <c r="AS390" s="1714"/>
      <c r="AT390" s="1714"/>
      <c r="AU390" s="1714"/>
      <c r="AV390" s="1714"/>
      <c r="AW390" s="1714"/>
      <c r="AX390" s="1714"/>
      <c r="AY390" s="1714"/>
      <c r="AZ390" s="1714"/>
      <c r="BA390" s="1714"/>
      <c r="BB390" s="1714"/>
      <c r="BC390" s="1714"/>
      <c r="BD390" s="1714"/>
      <c r="BE390" s="1714"/>
      <c r="BF390" s="1714"/>
    </row>
    <row r="391" spans="1:58" ht="11.25" customHeight="1">
      <c r="A391" s="1088" t="s">
        <v>1345</v>
      </c>
      <c r="D391" s="1082"/>
      <c r="E391" s="1092"/>
      <c r="F391" s="3895"/>
      <c r="G391" s="3875"/>
      <c r="H391" s="3885" t="s">
        <v>164</v>
      </c>
      <c r="I391" s="3886"/>
      <c r="J391" s="3883"/>
      <c r="K391" s="3887"/>
      <c r="L391" s="3599"/>
      <c r="M391" s="3600"/>
      <c r="N391" s="3878"/>
      <c r="O391" s="3879"/>
      <c r="P391" s="3881"/>
      <c r="Q391" s="3883"/>
      <c r="R391" s="3874"/>
      <c r="S391" s="3884"/>
      <c r="T391" s="3874"/>
      <c r="U391" s="3874"/>
      <c r="V391" s="3874"/>
      <c r="W391" s="3874"/>
      <c r="X391" s="3874"/>
      <c r="Y391" s="3874"/>
      <c r="Z391" s="1719"/>
      <c r="AA391" s="1686">
        <v>1</v>
      </c>
      <c r="AB391" s="1101" t="s">
        <v>1453</v>
      </c>
      <c r="AC391" s="1091">
        <v>19143.84</v>
      </c>
      <c r="AD391" s="1101" t="str">
        <f>AB391</f>
        <v xml:space="preserve">      Амортизационные отчисления с выделением результатов переоценки основных средств и нематериальных активов</v>
      </c>
      <c r="AE391" s="1091">
        <v>6193.89</v>
      </c>
      <c r="AF391" s="3876"/>
      <c r="AG391" s="3877"/>
      <c r="AH391" s="3877"/>
      <c r="AI391" s="3876"/>
      <c r="AJ391" s="3877"/>
      <c r="AK391" s="3877"/>
      <c r="AL391" s="1874"/>
      <c r="AM391" s="1714"/>
      <c r="AN391" s="1714"/>
      <c r="AO391" s="1714"/>
      <c r="AP391" s="1714"/>
      <c r="AQ391" s="1714"/>
      <c r="AR391" s="1714"/>
      <c r="AS391" s="1714"/>
      <c r="AT391" s="1714"/>
      <c r="AU391" s="1714"/>
      <c r="AV391" s="1714"/>
      <c r="AW391" s="1714"/>
      <c r="AX391" s="1714"/>
      <c r="AY391" s="1714"/>
      <c r="AZ391" s="1714"/>
      <c r="BA391" s="1714"/>
      <c r="BB391" s="1714"/>
      <c r="BC391" s="1714"/>
      <c r="BD391" s="1714"/>
      <c r="BE391" s="1714"/>
      <c r="BF391" s="1714"/>
    </row>
    <row r="392" spans="1:58" ht="11.25" customHeight="1">
      <c r="A392" s="1088" t="s">
        <v>1345</v>
      </c>
      <c r="D392" s="1082"/>
      <c r="E392" s="1092"/>
      <c r="F392" s="3875"/>
      <c r="G392" s="3875"/>
      <c r="H392" s="3875"/>
      <c r="I392" s="3875"/>
      <c r="J392" s="3875"/>
      <c r="K392" s="3875"/>
      <c r="L392" s="3875"/>
      <c r="M392" s="3875"/>
      <c r="N392" s="3875"/>
      <c r="O392" s="3875"/>
      <c r="P392" s="3875"/>
      <c r="Q392" s="3875"/>
      <c r="R392" s="3875"/>
      <c r="S392" s="3875"/>
      <c r="T392" s="3875"/>
      <c r="U392" s="3875"/>
      <c r="V392" s="3875"/>
      <c r="W392" s="3875"/>
      <c r="X392" s="3875"/>
      <c r="Y392" s="3875"/>
      <c r="Z392" s="617" t="s">
        <v>90</v>
      </c>
      <c r="AA392" s="1706" t="s">
        <v>89</v>
      </c>
      <c r="AB392" s="1101" t="s">
        <v>1443</v>
      </c>
      <c r="AC392" s="1091">
        <v>10328.280000000001</v>
      </c>
      <c r="AD392" s="1101" t="str">
        <f>AB392</f>
        <v xml:space="preserve">  Прибыль направляемая на инвестиции</v>
      </c>
      <c r="AE392" s="1091">
        <v>0</v>
      </c>
      <c r="AF392" s="3902"/>
      <c r="AG392" s="3903"/>
      <c r="AH392" s="3903"/>
      <c r="AI392" s="3902"/>
      <c r="AJ392" s="3903"/>
      <c r="AK392" s="3904"/>
      <c r="AL392" s="1874"/>
      <c r="AM392" s="1714"/>
      <c r="AN392" s="1714"/>
      <c r="AO392" s="1714"/>
      <c r="AP392" s="1714"/>
      <c r="AQ392" s="1714"/>
      <c r="AR392" s="1714"/>
      <c r="AS392" s="1714"/>
      <c r="AT392" s="1714"/>
      <c r="AU392" s="1714"/>
      <c r="AV392" s="1714"/>
      <c r="AW392" s="1714"/>
      <c r="AX392" s="1714"/>
      <c r="AY392" s="1714"/>
      <c r="AZ392" s="1714"/>
      <c r="BA392" s="1714"/>
      <c r="BB392" s="1714"/>
      <c r="BC392" s="1714"/>
      <c r="BD392" s="1714"/>
      <c r="BE392" s="1714"/>
      <c r="BF392" s="1714"/>
    </row>
    <row r="393" spans="1:58" ht="11.25" customHeight="1">
      <c r="A393" s="1088" t="s">
        <v>1345</v>
      </c>
      <c r="D393" s="1082"/>
      <c r="E393" s="1092"/>
      <c r="F393" s="3895"/>
      <c r="G393" s="3875"/>
      <c r="H393" s="3885" t="s">
        <v>164</v>
      </c>
      <c r="I393" s="3886"/>
      <c r="J393" s="3883"/>
      <c r="K393" s="3887"/>
      <c r="L393" s="3599"/>
      <c r="M393" s="3600"/>
      <c r="N393" s="3878"/>
      <c r="O393" s="3879"/>
      <c r="P393" s="3882"/>
      <c r="Q393" s="3883"/>
      <c r="R393" s="3874"/>
      <c r="S393" s="3884"/>
      <c r="T393" s="3874"/>
      <c r="U393" s="3874"/>
      <c r="V393" s="3874"/>
      <c r="W393" s="3874"/>
      <c r="X393" s="3874"/>
      <c r="Y393" s="3874"/>
      <c r="Z393" s="1097"/>
      <c r="AA393" s="1098"/>
      <c r="AB393" s="1163" t="s">
        <v>1444</v>
      </c>
      <c r="AC393" s="1102"/>
      <c r="AD393" s="1102"/>
      <c r="AE393" s="1104"/>
      <c r="AF393" s="3876"/>
      <c r="AG393" s="3877"/>
      <c r="AH393" s="3877"/>
      <c r="AI393" s="3876"/>
      <c r="AJ393" s="3877"/>
      <c r="AK393" s="3877"/>
      <c r="AL393" s="1874"/>
      <c r="AM393" s="1714"/>
      <c r="AN393" s="1714"/>
      <c r="AO393" s="1714"/>
      <c r="AP393" s="1714"/>
      <c r="AQ393" s="1714"/>
      <c r="AR393" s="1714"/>
      <c r="AS393" s="1714"/>
      <c r="AT393" s="1714"/>
      <c r="AU393" s="1714"/>
      <c r="AV393" s="1714"/>
      <c r="AW393" s="1714"/>
      <c r="AX393" s="1714"/>
      <c r="AY393" s="1714"/>
      <c r="AZ393" s="1714"/>
      <c r="BA393" s="1714"/>
      <c r="BB393" s="1714"/>
      <c r="BC393" s="1714"/>
      <c r="BD393" s="1714"/>
      <c r="BE393" s="1714"/>
      <c r="BF393" s="1714"/>
    </row>
    <row r="394" spans="1:58" ht="11.25" customHeight="1">
      <c r="A394" s="1088" t="s">
        <v>1345</v>
      </c>
      <c r="D394" s="1082"/>
      <c r="E394" s="1092"/>
      <c r="F394" s="3895"/>
      <c r="G394" s="3875"/>
      <c r="H394" s="3885" t="s">
        <v>164</v>
      </c>
      <c r="I394" s="3886"/>
      <c r="J394" s="3883"/>
      <c r="K394" s="3887"/>
      <c r="L394" s="3599"/>
      <c r="M394" s="3600"/>
      <c r="N394" s="1097"/>
      <c r="O394" s="1098"/>
      <c r="P394" s="1090" t="s">
        <v>1445</v>
      </c>
      <c r="Q394" s="1098"/>
      <c r="R394" s="1098"/>
      <c r="S394" s="1098"/>
      <c r="T394" s="1098"/>
      <c r="U394" s="1098"/>
      <c r="V394" s="1098"/>
      <c r="W394" s="1098"/>
      <c r="X394" s="1098"/>
      <c r="Y394" s="1098"/>
      <c r="Z394" s="1098"/>
      <c r="AA394" s="1098"/>
      <c r="AB394" s="1098"/>
      <c r="AC394" s="1098"/>
      <c r="AD394" s="1098"/>
      <c r="AE394" s="1105"/>
      <c r="AF394" s="3876"/>
      <c r="AG394" s="3877"/>
      <c r="AH394" s="3877"/>
      <c r="AI394" s="3876"/>
      <c r="AJ394" s="3877"/>
      <c r="AK394" s="3877"/>
      <c r="AL394" s="1874"/>
      <c r="AM394" s="1714"/>
      <c r="AN394" s="1714"/>
      <c r="AO394" s="1714"/>
      <c r="AP394" s="1714"/>
      <c r="AQ394" s="1714"/>
      <c r="AR394" s="1714"/>
      <c r="AS394" s="1714"/>
      <c r="AT394" s="1714"/>
      <c r="AU394" s="1714"/>
      <c r="AV394" s="1714"/>
      <c r="AW394" s="1714"/>
      <c r="AX394" s="1714"/>
      <c r="AY394" s="1714"/>
      <c r="AZ394" s="1714"/>
      <c r="BA394" s="1714"/>
      <c r="BB394" s="1714"/>
      <c r="BC394" s="1714"/>
      <c r="BD394" s="1714"/>
      <c r="BE394" s="1714"/>
      <c r="BF394" s="1714"/>
    </row>
    <row r="395" spans="1:58" ht="12" customHeight="1">
      <c r="A395" s="1088" t="s">
        <v>1345</v>
      </c>
      <c r="D395" s="1082"/>
      <c r="E395" s="1092"/>
      <c r="F395" s="3896"/>
      <c r="G395" s="1112"/>
      <c r="H395" s="1112"/>
      <c r="I395" s="3893" t="s">
        <v>1451</v>
      </c>
      <c r="J395" s="3893"/>
      <c r="K395" s="3893"/>
      <c r="L395" s="1095"/>
      <c r="M395" s="1095"/>
      <c r="N395" s="1096"/>
      <c r="O395" s="1096"/>
      <c r="P395" s="1096"/>
      <c r="Q395" s="1096"/>
      <c r="R395" s="1096"/>
      <c r="S395" s="1096"/>
      <c r="T395" s="1096"/>
      <c r="U395" s="1096"/>
      <c r="V395" s="1096"/>
      <c r="W395" s="1096"/>
      <c r="X395" s="1096"/>
      <c r="Y395" s="1096"/>
      <c r="Z395" s="1096"/>
      <c r="AA395" s="1096"/>
      <c r="AB395" s="1096"/>
      <c r="AC395" s="1096"/>
      <c r="AD395" s="1096"/>
      <c r="AE395" s="1096"/>
      <c r="AF395" s="1096"/>
      <c r="AG395" s="1095"/>
      <c r="AH395" s="1095"/>
      <c r="AI395" s="1096"/>
      <c r="AJ395" s="1095"/>
      <c r="AK395" s="1096"/>
      <c r="AL395" s="1874"/>
      <c r="AM395" s="1714"/>
      <c r="AN395" s="1714"/>
      <c r="AO395" s="1714"/>
      <c r="AP395" s="1714"/>
      <c r="AQ395" s="1714"/>
      <c r="AR395" s="1714"/>
      <c r="AS395" s="1714"/>
      <c r="AT395" s="1714"/>
      <c r="AU395" s="1714"/>
      <c r="AV395" s="1714"/>
      <c r="AW395" s="1714"/>
      <c r="AX395" s="1714"/>
      <c r="AY395" s="1714"/>
      <c r="AZ395" s="1714"/>
      <c r="BA395" s="1714"/>
      <c r="BB395" s="1714"/>
      <c r="BC395" s="1714"/>
      <c r="BD395" s="1714"/>
      <c r="BE395" s="1714"/>
      <c r="BF395" s="1714"/>
    </row>
    <row r="396" spans="1:58" ht="0.75" customHeight="1">
      <c r="A396" s="1088" t="s">
        <v>1345</v>
      </c>
      <c r="D396" s="1082"/>
      <c r="E396" s="1092"/>
      <c r="F396" s="3894">
        <v>2026</v>
      </c>
      <c r="G396" s="3885"/>
      <c r="H396" s="3898" t="s">
        <v>421</v>
      </c>
      <c r="I396" s="3899"/>
      <c r="J396" s="3891"/>
      <c r="K396" s="3891"/>
      <c r="L396" s="3892"/>
      <c r="M396" s="3743"/>
      <c r="N396" s="1922"/>
      <c r="O396" s="1921"/>
      <c r="P396" s="1922"/>
      <c r="Q396" s="1922"/>
      <c r="R396" s="1922"/>
      <c r="S396" s="1922"/>
      <c r="T396" s="1922"/>
      <c r="U396" s="1922"/>
      <c r="V396" s="1922"/>
      <c r="W396" s="1922"/>
      <c r="X396" s="1922"/>
      <c r="Y396" s="1922"/>
      <c r="Z396" s="1922"/>
      <c r="AA396" s="1922"/>
      <c r="AB396" s="1922"/>
      <c r="AC396" s="1922"/>
      <c r="AD396" s="1922"/>
      <c r="AE396" s="1922"/>
      <c r="AF396" s="3897"/>
      <c r="AG396" s="3892"/>
      <c r="AH396" s="3892"/>
      <c r="AI396" s="3897"/>
      <c r="AJ396" s="3892"/>
      <c r="AK396" s="3892"/>
      <c r="AL396" s="1874"/>
      <c r="AM396" s="1714"/>
      <c r="AN396" s="1714"/>
      <c r="AO396" s="1714"/>
      <c r="AP396" s="1714"/>
      <c r="AQ396" s="1714"/>
      <c r="AR396" s="1714"/>
      <c r="AS396" s="1714"/>
      <c r="AT396" s="1714"/>
      <c r="AU396" s="1714"/>
      <c r="AV396" s="1714"/>
      <c r="AW396" s="1714"/>
      <c r="AX396" s="1714"/>
      <c r="AY396" s="1714"/>
      <c r="AZ396" s="1714"/>
      <c r="BA396" s="1714"/>
      <c r="BB396" s="1714"/>
      <c r="BC396" s="1714"/>
      <c r="BD396" s="1714"/>
      <c r="BE396" s="1714"/>
      <c r="BF396" s="1714"/>
    </row>
    <row r="397" spans="1:58" ht="0.75" customHeight="1">
      <c r="A397" s="1088" t="s">
        <v>1345</v>
      </c>
      <c r="D397" s="1082"/>
      <c r="E397" s="1092"/>
      <c r="F397" s="3894"/>
      <c r="G397" s="3885"/>
      <c r="H397" s="3898"/>
      <c r="I397" s="3899"/>
      <c r="J397" s="3891"/>
      <c r="K397" s="3891"/>
      <c r="L397" s="3892"/>
      <c r="M397" s="3743"/>
      <c r="N397" s="3900"/>
      <c r="O397" s="3901"/>
      <c r="P397" s="3888"/>
      <c r="Q397" s="3891"/>
      <c r="R397" s="3891"/>
      <c r="S397" s="3891"/>
      <c r="T397" s="3891"/>
      <c r="U397" s="3891"/>
      <c r="V397" s="3891"/>
      <c r="W397" s="3891"/>
      <c r="X397" s="3891"/>
      <c r="Y397" s="3891"/>
      <c r="Z397" s="1923"/>
      <c r="AA397" s="1924"/>
      <c r="AB397" s="1924"/>
      <c r="AC397" s="1925"/>
      <c r="AD397" s="1925"/>
      <c r="AE397" s="1926"/>
      <c r="AF397" s="3897"/>
      <c r="AG397" s="3892"/>
      <c r="AH397" s="3892"/>
      <c r="AI397" s="3897"/>
      <c r="AJ397" s="3892"/>
      <c r="AK397" s="3892"/>
      <c r="AL397" s="1874"/>
      <c r="AM397" s="1714"/>
      <c r="AN397" s="1714"/>
      <c r="AO397" s="1714"/>
      <c r="AP397" s="1714"/>
      <c r="AQ397" s="1714"/>
      <c r="AR397" s="1714"/>
      <c r="AS397" s="1714"/>
      <c r="AT397" s="1714"/>
      <c r="AU397" s="1714"/>
      <c r="AV397" s="1714"/>
      <c r="AW397" s="1714"/>
      <c r="AX397" s="1714"/>
      <c r="AY397" s="1714"/>
      <c r="AZ397" s="1714"/>
      <c r="BA397" s="1714"/>
      <c r="BB397" s="1714"/>
      <c r="BC397" s="1714"/>
      <c r="BD397" s="1714"/>
      <c r="BE397" s="1714"/>
      <c r="BF397" s="1714"/>
    </row>
    <row r="398" spans="1:58" ht="0.75" customHeight="1">
      <c r="A398" s="1088" t="s">
        <v>1345</v>
      </c>
      <c r="D398" s="1082"/>
      <c r="E398" s="1092"/>
      <c r="F398" s="3894"/>
      <c r="G398" s="3885"/>
      <c r="H398" s="3898"/>
      <c r="I398" s="3899"/>
      <c r="J398" s="3891"/>
      <c r="K398" s="3891"/>
      <c r="L398" s="3892"/>
      <c r="M398" s="3743"/>
      <c r="N398" s="3900"/>
      <c r="O398" s="3901"/>
      <c r="P398" s="3889"/>
      <c r="Q398" s="3891"/>
      <c r="R398" s="3891"/>
      <c r="S398" s="3891"/>
      <c r="T398" s="3891"/>
      <c r="U398" s="3891"/>
      <c r="V398" s="3891"/>
      <c r="W398" s="3891"/>
      <c r="X398" s="3891"/>
      <c r="Y398" s="3891"/>
      <c r="Z398" s="1927"/>
      <c r="AA398" s="1928"/>
      <c r="AB398" s="1929"/>
      <c r="AC398" s="1930"/>
      <c r="AD398" s="1929"/>
      <c r="AE398" s="1930"/>
      <c r="AF398" s="3897"/>
      <c r="AG398" s="3892"/>
      <c r="AH398" s="3892"/>
      <c r="AI398" s="3897"/>
      <c r="AJ398" s="3892"/>
      <c r="AK398" s="3892"/>
      <c r="AL398" s="1874"/>
      <c r="AM398" s="1714"/>
      <c r="AN398" s="1714"/>
      <c r="AO398" s="1714"/>
      <c r="AP398" s="1714"/>
      <c r="AQ398" s="1714"/>
      <c r="AR398" s="1714"/>
      <c r="AS398" s="1714"/>
      <c r="AT398" s="1714"/>
      <c r="AU398" s="1714"/>
      <c r="AV398" s="1714"/>
      <c r="AW398" s="1714"/>
      <c r="AX398" s="1714"/>
      <c r="AY398" s="1714"/>
      <c r="AZ398" s="1714"/>
      <c r="BA398" s="1714"/>
      <c r="BB398" s="1714"/>
      <c r="BC398" s="1714"/>
      <c r="BD398" s="1714"/>
      <c r="BE398" s="1714"/>
      <c r="BF398" s="1714"/>
    </row>
    <row r="399" spans="1:58" ht="0.75" customHeight="1">
      <c r="A399" s="1088" t="s">
        <v>1345</v>
      </c>
      <c r="D399" s="1082"/>
      <c r="E399" s="1092"/>
      <c r="F399" s="3894"/>
      <c r="G399" s="3885"/>
      <c r="H399" s="3898"/>
      <c r="I399" s="3899"/>
      <c r="J399" s="3891"/>
      <c r="K399" s="3891"/>
      <c r="L399" s="3892"/>
      <c r="M399" s="3743"/>
      <c r="N399" s="3900"/>
      <c r="O399" s="3901"/>
      <c r="P399" s="3890"/>
      <c r="Q399" s="3891"/>
      <c r="R399" s="3891"/>
      <c r="S399" s="3891"/>
      <c r="T399" s="3891"/>
      <c r="U399" s="3891"/>
      <c r="V399" s="3891"/>
      <c r="W399" s="3891"/>
      <c r="X399" s="3891"/>
      <c r="Y399" s="3891"/>
      <c r="Z399" s="1923"/>
      <c r="AA399" s="1924"/>
      <c r="AB399" s="1931"/>
      <c r="AC399" s="1925"/>
      <c r="AD399" s="1925"/>
      <c r="AE399" s="1932"/>
      <c r="AF399" s="3897"/>
      <c r="AG399" s="3892"/>
      <c r="AH399" s="3892"/>
      <c r="AI399" s="3897"/>
      <c r="AJ399" s="3892"/>
      <c r="AK399" s="3892"/>
      <c r="AL399" s="1874"/>
      <c r="AM399" s="1714"/>
      <c r="AN399" s="1714"/>
      <c r="AO399" s="1714"/>
      <c r="AP399" s="1714"/>
      <c r="AQ399" s="1714"/>
      <c r="AR399" s="1714"/>
      <c r="AS399" s="1714"/>
      <c r="AT399" s="1714"/>
      <c r="AU399" s="1714"/>
      <c r="AV399" s="1714"/>
      <c r="AW399" s="1714"/>
      <c r="AX399" s="1714"/>
      <c r="AY399" s="1714"/>
      <c r="AZ399" s="1714"/>
      <c r="BA399" s="1714"/>
      <c r="BB399" s="1714"/>
      <c r="BC399" s="1714"/>
      <c r="BD399" s="1714"/>
      <c r="BE399" s="1714"/>
      <c r="BF399" s="1714"/>
    </row>
    <row r="400" spans="1:58" ht="0.75" customHeight="1">
      <c r="A400" s="1088" t="s">
        <v>1345</v>
      </c>
      <c r="D400" s="1082"/>
      <c r="E400" s="1092"/>
      <c r="F400" s="3894"/>
      <c r="G400" s="3885"/>
      <c r="H400" s="3898"/>
      <c r="I400" s="3899"/>
      <c r="J400" s="3891"/>
      <c r="K400" s="3891"/>
      <c r="L400" s="3892"/>
      <c r="M400" s="3743"/>
      <c r="N400" s="1924"/>
      <c r="O400" s="1924"/>
      <c r="P400" s="1931"/>
      <c r="Q400" s="1924"/>
      <c r="R400" s="1924"/>
      <c r="S400" s="1924"/>
      <c r="T400" s="1924"/>
      <c r="U400" s="1924"/>
      <c r="V400" s="1924"/>
      <c r="W400" s="1924"/>
      <c r="X400" s="1924"/>
      <c r="Y400" s="1924"/>
      <c r="Z400" s="1924"/>
      <c r="AA400" s="1924"/>
      <c r="AB400" s="1924"/>
      <c r="AC400" s="1924"/>
      <c r="AD400" s="1924"/>
      <c r="AE400" s="1933"/>
      <c r="AF400" s="3897"/>
      <c r="AG400" s="3892"/>
      <c r="AH400" s="3892"/>
      <c r="AI400" s="3897"/>
      <c r="AJ400" s="3892"/>
      <c r="AK400" s="3892"/>
      <c r="AL400" s="1874"/>
      <c r="AM400" s="1714"/>
      <c r="AN400" s="1714"/>
      <c r="AO400" s="1714"/>
      <c r="AP400" s="1714"/>
      <c r="AQ400" s="1714"/>
      <c r="AR400" s="1714"/>
      <c r="AS400" s="1714"/>
      <c r="AT400" s="1714"/>
      <c r="AU400" s="1714"/>
      <c r="AV400" s="1714"/>
      <c r="AW400" s="1714"/>
      <c r="AX400" s="1714"/>
      <c r="AY400" s="1714"/>
      <c r="AZ400" s="1714"/>
      <c r="BA400" s="1714"/>
      <c r="BB400" s="1714"/>
      <c r="BC400" s="1714"/>
      <c r="BD400" s="1714"/>
      <c r="BE400" s="1714"/>
      <c r="BF400" s="1714"/>
    </row>
    <row r="401" spans="1:58" ht="11.25" customHeight="1">
      <c r="A401" s="1088" t="s">
        <v>1345</v>
      </c>
      <c r="D401" s="1082"/>
      <c r="E401" s="1092"/>
      <c r="F401" s="3895"/>
      <c r="G401" s="3853" t="s">
        <v>90</v>
      </c>
      <c r="H401" s="3885" t="s">
        <v>164</v>
      </c>
      <c r="I401" s="3886"/>
      <c r="J401" s="3883"/>
      <c r="K401" s="3887" t="s">
        <v>1486</v>
      </c>
      <c r="L401" s="3599" t="s">
        <v>6</v>
      </c>
      <c r="M401" s="3600"/>
      <c r="N401" s="1872"/>
      <c r="O401" s="1099" t="s">
        <v>421</v>
      </c>
      <c r="P401" s="1100"/>
      <c r="Q401" s="1100"/>
      <c r="R401" s="1100"/>
      <c r="S401" s="1100"/>
      <c r="T401" s="1100"/>
      <c r="U401" s="1100"/>
      <c r="V401" s="1100"/>
      <c r="W401" s="1100"/>
      <c r="X401" s="1100"/>
      <c r="Y401" s="1100"/>
      <c r="Z401" s="1100"/>
      <c r="AA401" s="1100"/>
      <c r="AB401" s="1100"/>
      <c r="AC401" s="1100"/>
      <c r="AD401" s="1100"/>
      <c r="AE401" s="1100"/>
      <c r="AF401" s="3876">
        <v>2025</v>
      </c>
      <c r="AG401" s="3877" t="s">
        <v>1447</v>
      </c>
      <c r="AH401" s="3877" t="s">
        <v>1487</v>
      </c>
      <c r="AI401" s="3876">
        <v>2025</v>
      </c>
      <c r="AJ401" s="3877" t="s">
        <v>1447</v>
      </c>
      <c r="AK401" s="3877" t="s">
        <v>1487</v>
      </c>
      <c r="AL401" s="1874"/>
      <c r="AM401" s="1714"/>
      <c r="AN401" s="1714"/>
      <c r="AO401" s="1714"/>
      <c r="AP401" s="1714"/>
      <c r="AQ401" s="1714"/>
      <c r="AR401" s="1714"/>
      <c r="AS401" s="1714"/>
      <c r="AT401" s="1714"/>
      <c r="AU401" s="1714"/>
      <c r="AV401" s="1714"/>
      <c r="AW401" s="1714"/>
      <c r="AX401" s="1714"/>
      <c r="AY401" s="1714"/>
      <c r="AZ401" s="1714"/>
      <c r="BA401" s="1714"/>
      <c r="BB401" s="1714"/>
      <c r="BC401" s="1714"/>
      <c r="BD401" s="1714"/>
      <c r="BE401" s="1714"/>
      <c r="BF401" s="1714"/>
    </row>
    <row r="402" spans="1:58" ht="11.25" customHeight="1">
      <c r="A402" s="1088" t="s">
        <v>1345</v>
      </c>
      <c r="D402" s="1082"/>
      <c r="E402" s="1092"/>
      <c r="F402" s="3895"/>
      <c r="G402" s="3875"/>
      <c r="H402" s="3885" t="s">
        <v>421</v>
      </c>
      <c r="I402" s="3886"/>
      <c r="J402" s="3883"/>
      <c r="K402" s="3887"/>
      <c r="L402" s="3599"/>
      <c r="M402" s="3600"/>
      <c r="N402" s="3878"/>
      <c r="O402" s="3879">
        <v>1</v>
      </c>
      <c r="P402" s="3880" t="s">
        <v>50</v>
      </c>
      <c r="Q402" s="3883" t="s">
        <v>1476</v>
      </c>
      <c r="R402" s="3884" t="s">
        <v>1438</v>
      </c>
      <c r="S402" s="3884" t="s">
        <v>92</v>
      </c>
      <c r="T402" s="3884" t="s">
        <v>92</v>
      </c>
      <c r="U402" s="3884" t="s">
        <v>93</v>
      </c>
      <c r="V402" s="3884" t="s">
        <v>1462</v>
      </c>
      <c r="W402" s="3884" t="s">
        <v>1463</v>
      </c>
      <c r="X402" s="3884" t="s">
        <v>1477</v>
      </c>
      <c r="Y402" s="3884" t="s">
        <v>1478</v>
      </c>
      <c r="Z402" s="1097"/>
      <c r="AA402" s="1098"/>
      <c r="AB402" s="1098"/>
      <c r="AC402" s="1102"/>
      <c r="AD402" s="1102"/>
      <c r="AE402" s="1103"/>
      <c r="AF402" s="3876"/>
      <c r="AG402" s="3877"/>
      <c r="AH402" s="3877"/>
      <c r="AI402" s="3876"/>
      <c r="AJ402" s="3877"/>
      <c r="AK402" s="3877"/>
      <c r="AL402" s="1874"/>
      <c r="AM402" s="1714"/>
      <c r="AN402" s="1714"/>
      <c r="AO402" s="1714"/>
      <c r="AP402" s="1714"/>
      <c r="AQ402" s="1714"/>
      <c r="AR402" s="1714"/>
      <c r="AS402" s="1714"/>
      <c r="AT402" s="1714"/>
      <c r="AU402" s="1714"/>
      <c r="AV402" s="1714"/>
      <c r="AW402" s="1714"/>
      <c r="AX402" s="1714"/>
      <c r="AY402" s="1714"/>
      <c r="AZ402" s="1714"/>
      <c r="BA402" s="1714"/>
      <c r="BB402" s="1714"/>
      <c r="BC402" s="1714"/>
      <c r="BD402" s="1714"/>
      <c r="BE402" s="1714"/>
      <c r="BF402" s="1714"/>
    </row>
    <row r="403" spans="1:58" ht="11.25" customHeight="1">
      <c r="A403" s="1088" t="s">
        <v>1345</v>
      </c>
      <c r="D403" s="1082"/>
      <c r="E403" s="1092"/>
      <c r="F403" s="3895"/>
      <c r="G403" s="3875"/>
      <c r="H403" s="3885" t="s">
        <v>421</v>
      </c>
      <c r="I403" s="3886"/>
      <c r="J403" s="3883"/>
      <c r="K403" s="3887"/>
      <c r="L403" s="3599"/>
      <c r="M403" s="3600"/>
      <c r="N403" s="3878"/>
      <c r="O403" s="3879"/>
      <c r="P403" s="3881"/>
      <c r="Q403" s="3883"/>
      <c r="R403" s="3874"/>
      <c r="S403" s="3884"/>
      <c r="T403" s="3874"/>
      <c r="U403" s="3874"/>
      <c r="V403" s="3874"/>
      <c r="W403" s="3874"/>
      <c r="X403" s="3874"/>
      <c r="Y403" s="3874"/>
      <c r="Z403" s="1719"/>
      <c r="AA403" s="1686">
        <v>1</v>
      </c>
      <c r="AB403" s="1101" t="s">
        <v>1453</v>
      </c>
      <c r="AC403" s="1091">
        <v>29452.99</v>
      </c>
      <c r="AD403" s="1101" t="str">
        <f>AB403</f>
        <v xml:space="preserve">      Амортизационные отчисления с выделением результатов переоценки основных средств и нематериальных активов</v>
      </c>
      <c r="AE403" s="1091">
        <v>0</v>
      </c>
      <c r="AF403" s="3876"/>
      <c r="AG403" s="3877"/>
      <c r="AH403" s="3877"/>
      <c r="AI403" s="3876"/>
      <c r="AJ403" s="3877"/>
      <c r="AK403" s="3877"/>
      <c r="AL403" s="1874"/>
      <c r="AM403" s="1714"/>
      <c r="AN403" s="1714"/>
      <c r="AO403" s="1714"/>
      <c r="AP403" s="1714"/>
      <c r="AQ403" s="1714"/>
      <c r="AR403" s="1714"/>
      <c r="AS403" s="1714"/>
      <c r="AT403" s="1714"/>
      <c r="AU403" s="1714"/>
      <c r="AV403" s="1714"/>
      <c r="AW403" s="1714"/>
      <c r="AX403" s="1714"/>
      <c r="AY403" s="1714"/>
      <c r="AZ403" s="1714"/>
      <c r="BA403" s="1714"/>
      <c r="BB403" s="1714"/>
      <c r="BC403" s="1714"/>
      <c r="BD403" s="1714"/>
      <c r="BE403" s="1714"/>
      <c r="BF403" s="1714"/>
    </row>
    <row r="404" spans="1:58" ht="11.25" customHeight="1">
      <c r="A404" s="1088" t="s">
        <v>1345</v>
      </c>
      <c r="D404" s="1082"/>
      <c r="E404" s="1092"/>
      <c r="F404" s="3875"/>
      <c r="G404" s="3875"/>
      <c r="H404" s="3875"/>
      <c r="I404" s="3875"/>
      <c r="J404" s="3875"/>
      <c r="K404" s="3875"/>
      <c r="L404" s="3875"/>
      <c r="M404" s="3875"/>
      <c r="N404" s="3875"/>
      <c r="O404" s="3875"/>
      <c r="P404" s="3875"/>
      <c r="Q404" s="3875"/>
      <c r="R404" s="3875"/>
      <c r="S404" s="3875"/>
      <c r="T404" s="3875"/>
      <c r="U404" s="3875"/>
      <c r="V404" s="3875"/>
      <c r="W404" s="3875"/>
      <c r="X404" s="3875"/>
      <c r="Y404" s="3875"/>
      <c r="Z404" s="617" t="s">
        <v>90</v>
      </c>
      <c r="AA404" s="1706" t="s">
        <v>89</v>
      </c>
      <c r="AB404" s="1101" t="s">
        <v>1443</v>
      </c>
      <c r="AC404" s="1091">
        <v>45118.12</v>
      </c>
      <c r="AD404" s="1101" t="str">
        <f>AB404</f>
        <v xml:space="preserve">  Прибыль направляемая на инвестиции</v>
      </c>
      <c r="AE404" s="1091">
        <v>0</v>
      </c>
      <c r="AF404" s="3902"/>
      <c r="AG404" s="3903"/>
      <c r="AH404" s="3903"/>
      <c r="AI404" s="3902"/>
      <c r="AJ404" s="3903"/>
      <c r="AK404" s="3904"/>
      <c r="AL404" s="1874"/>
      <c r="AM404" s="1714"/>
      <c r="AN404" s="1714"/>
      <c r="AO404" s="1714"/>
      <c r="AP404" s="1714"/>
      <c r="AQ404" s="1714"/>
      <c r="AR404" s="1714"/>
      <c r="AS404" s="1714"/>
      <c r="AT404" s="1714"/>
      <c r="AU404" s="1714"/>
      <c r="AV404" s="1714"/>
      <c r="AW404" s="1714"/>
      <c r="AX404" s="1714"/>
      <c r="AY404" s="1714"/>
      <c r="AZ404" s="1714"/>
      <c r="BA404" s="1714"/>
      <c r="BB404" s="1714"/>
      <c r="BC404" s="1714"/>
      <c r="BD404" s="1714"/>
      <c r="BE404" s="1714"/>
      <c r="BF404" s="1714"/>
    </row>
    <row r="405" spans="1:58" ht="11.25" customHeight="1">
      <c r="A405" s="1088" t="s">
        <v>1345</v>
      </c>
      <c r="D405" s="1082"/>
      <c r="E405" s="1092"/>
      <c r="F405" s="3895"/>
      <c r="G405" s="3875"/>
      <c r="H405" s="3885" t="s">
        <v>421</v>
      </c>
      <c r="I405" s="3886"/>
      <c r="J405" s="3883"/>
      <c r="K405" s="3887"/>
      <c r="L405" s="3599"/>
      <c r="M405" s="3600"/>
      <c r="N405" s="3878"/>
      <c r="O405" s="3879"/>
      <c r="P405" s="3882"/>
      <c r="Q405" s="3883"/>
      <c r="R405" s="3874"/>
      <c r="S405" s="3884"/>
      <c r="T405" s="3874"/>
      <c r="U405" s="3874"/>
      <c r="V405" s="3874"/>
      <c r="W405" s="3874"/>
      <c r="X405" s="3874"/>
      <c r="Y405" s="3874"/>
      <c r="Z405" s="1097"/>
      <c r="AA405" s="1098"/>
      <c r="AB405" s="1163" t="s">
        <v>1444</v>
      </c>
      <c r="AC405" s="1102"/>
      <c r="AD405" s="1102"/>
      <c r="AE405" s="1104"/>
      <c r="AF405" s="3876"/>
      <c r="AG405" s="3877"/>
      <c r="AH405" s="3877"/>
      <c r="AI405" s="3876"/>
      <c r="AJ405" s="3877"/>
      <c r="AK405" s="3877"/>
      <c r="AL405" s="1874"/>
      <c r="AM405" s="1714"/>
      <c r="AN405" s="1714"/>
      <c r="AO405" s="1714"/>
      <c r="AP405" s="1714"/>
      <c r="AQ405" s="1714"/>
      <c r="AR405" s="1714"/>
      <c r="AS405" s="1714"/>
      <c r="AT405" s="1714"/>
      <c r="AU405" s="1714"/>
      <c r="AV405" s="1714"/>
      <c r="AW405" s="1714"/>
      <c r="AX405" s="1714"/>
      <c r="AY405" s="1714"/>
      <c r="AZ405" s="1714"/>
      <c r="BA405" s="1714"/>
      <c r="BB405" s="1714"/>
      <c r="BC405" s="1714"/>
      <c r="BD405" s="1714"/>
      <c r="BE405" s="1714"/>
      <c r="BF405" s="1714"/>
    </row>
    <row r="406" spans="1:58" ht="11.25" customHeight="1">
      <c r="A406" s="1088" t="s">
        <v>1345</v>
      </c>
      <c r="D406" s="1082"/>
      <c r="E406" s="1092"/>
      <c r="F406" s="3895"/>
      <c r="G406" s="3875"/>
      <c r="H406" s="3885" t="s">
        <v>421</v>
      </c>
      <c r="I406" s="3886"/>
      <c r="J406" s="3883"/>
      <c r="K406" s="3887"/>
      <c r="L406" s="3599"/>
      <c r="M406" s="3600"/>
      <c r="N406" s="1097"/>
      <c r="O406" s="1098"/>
      <c r="P406" s="1090" t="s">
        <v>1445</v>
      </c>
      <c r="Q406" s="1098"/>
      <c r="R406" s="1098"/>
      <c r="S406" s="1098"/>
      <c r="T406" s="1098"/>
      <c r="U406" s="1098"/>
      <c r="V406" s="1098"/>
      <c r="W406" s="1098"/>
      <c r="X406" s="1098"/>
      <c r="Y406" s="1098"/>
      <c r="Z406" s="1098"/>
      <c r="AA406" s="1098"/>
      <c r="AB406" s="1098"/>
      <c r="AC406" s="1098"/>
      <c r="AD406" s="1098"/>
      <c r="AE406" s="1105"/>
      <c r="AF406" s="3876"/>
      <c r="AG406" s="3877"/>
      <c r="AH406" s="3877"/>
      <c r="AI406" s="3876"/>
      <c r="AJ406" s="3877"/>
      <c r="AK406" s="3877"/>
      <c r="AL406" s="1874"/>
      <c r="AM406" s="1714"/>
      <c r="AN406" s="1714"/>
      <c r="AO406" s="1714"/>
      <c r="AP406" s="1714"/>
      <c r="AQ406" s="1714"/>
      <c r="AR406" s="1714"/>
      <c r="AS406" s="1714"/>
      <c r="AT406" s="1714"/>
      <c r="AU406" s="1714"/>
      <c r="AV406" s="1714"/>
      <c r="AW406" s="1714"/>
      <c r="AX406" s="1714"/>
      <c r="AY406" s="1714"/>
      <c r="AZ406" s="1714"/>
      <c r="BA406" s="1714"/>
      <c r="BB406" s="1714"/>
      <c r="BC406" s="1714"/>
      <c r="BD406" s="1714"/>
      <c r="BE406" s="1714"/>
      <c r="BF406" s="1714"/>
    </row>
    <row r="407" spans="1:58" ht="12" customHeight="1">
      <c r="A407" s="1088" t="s">
        <v>1345</v>
      </c>
      <c r="D407" s="1082"/>
      <c r="E407" s="1092"/>
      <c r="F407" s="3896"/>
      <c r="G407" s="1112"/>
      <c r="H407" s="1112"/>
      <c r="I407" s="3893" t="s">
        <v>1451</v>
      </c>
      <c r="J407" s="3893"/>
      <c r="K407" s="3893"/>
      <c r="L407" s="1095"/>
      <c r="M407" s="1095"/>
      <c r="N407" s="1096"/>
      <c r="O407" s="1096"/>
      <c r="P407" s="1096"/>
      <c r="Q407" s="1096"/>
      <c r="R407" s="1096"/>
      <c r="S407" s="1096"/>
      <c r="T407" s="1096"/>
      <c r="U407" s="1096"/>
      <c r="V407" s="1096"/>
      <c r="W407" s="1096"/>
      <c r="X407" s="1096"/>
      <c r="Y407" s="1096"/>
      <c r="Z407" s="1096"/>
      <c r="AA407" s="1096"/>
      <c r="AB407" s="1096"/>
      <c r="AC407" s="1096"/>
      <c r="AD407" s="1096"/>
      <c r="AE407" s="1096"/>
      <c r="AF407" s="1096"/>
      <c r="AG407" s="1095"/>
      <c r="AH407" s="1095"/>
      <c r="AI407" s="1096"/>
      <c r="AJ407" s="1095"/>
      <c r="AK407" s="1096"/>
      <c r="AL407" s="1874"/>
      <c r="AM407" s="1714"/>
      <c r="AN407" s="1714"/>
      <c r="AO407" s="1714"/>
      <c r="AP407" s="1714"/>
      <c r="AQ407" s="1714"/>
      <c r="AR407" s="1714"/>
      <c r="AS407" s="1714"/>
      <c r="AT407" s="1714"/>
      <c r="AU407" s="1714"/>
      <c r="AV407" s="1714"/>
      <c r="AW407" s="1714"/>
      <c r="AX407" s="1714"/>
      <c r="AY407" s="1714"/>
      <c r="AZ407" s="1714"/>
      <c r="BA407" s="1714"/>
      <c r="BB407" s="1714"/>
      <c r="BC407" s="1714"/>
      <c r="BD407" s="1714"/>
      <c r="BE407" s="1714"/>
      <c r="BF407" s="1714"/>
    </row>
    <row r="408" spans="1:58" ht="0.75" customHeight="1">
      <c r="A408" s="1088" t="s">
        <v>1345</v>
      </c>
      <c r="D408" s="1082"/>
      <c r="E408" s="1092"/>
      <c r="F408" s="3894">
        <v>2027</v>
      </c>
      <c r="G408" s="3885"/>
      <c r="H408" s="3898" t="s">
        <v>421</v>
      </c>
      <c r="I408" s="3899"/>
      <c r="J408" s="3891"/>
      <c r="K408" s="3891"/>
      <c r="L408" s="3892"/>
      <c r="M408" s="3743"/>
      <c r="N408" s="1922"/>
      <c r="O408" s="1921"/>
      <c r="P408" s="1922"/>
      <c r="Q408" s="1922"/>
      <c r="R408" s="1922"/>
      <c r="S408" s="1922"/>
      <c r="T408" s="1922"/>
      <c r="U408" s="1922"/>
      <c r="V408" s="1922"/>
      <c r="W408" s="1922"/>
      <c r="X408" s="1922"/>
      <c r="Y408" s="1922"/>
      <c r="Z408" s="1922"/>
      <c r="AA408" s="1922"/>
      <c r="AB408" s="1922"/>
      <c r="AC408" s="1922"/>
      <c r="AD408" s="1922"/>
      <c r="AE408" s="1922"/>
      <c r="AF408" s="3897"/>
      <c r="AG408" s="3892"/>
      <c r="AH408" s="3892"/>
      <c r="AI408" s="3897"/>
      <c r="AJ408" s="3892"/>
      <c r="AK408" s="3892"/>
      <c r="AL408" s="1874"/>
      <c r="AM408" s="1714"/>
      <c r="AN408" s="1714"/>
      <c r="AO408" s="1714"/>
      <c r="AP408" s="1714"/>
      <c r="AQ408" s="1714"/>
      <c r="AR408" s="1714"/>
      <c r="AS408" s="1714"/>
      <c r="AT408" s="1714"/>
      <c r="AU408" s="1714"/>
      <c r="AV408" s="1714"/>
      <c r="AW408" s="1714"/>
      <c r="AX408" s="1714"/>
      <c r="AY408" s="1714"/>
      <c r="AZ408" s="1714"/>
      <c r="BA408" s="1714"/>
      <c r="BB408" s="1714"/>
      <c r="BC408" s="1714"/>
      <c r="BD408" s="1714"/>
      <c r="BE408" s="1714"/>
      <c r="BF408" s="1714"/>
    </row>
    <row r="409" spans="1:58" ht="0.75" customHeight="1">
      <c r="A409" s="1088" t="s">
        <v>1345</v>
      </c>
      <c r="D409" s="1082"/>
      <c r="E409" s="1092"/>
      <c r="F409" s="3894"/>
      <c r="G409" s="3885"/>
      <c r="H409" s="3898"/>
      <c r="I409" s="3899"/>
      <c r="J409" s="3891"/>
      <c r="K409" s="3891"/>
      <c r="L409" s="3892"/>
      <c r="M409" s="3743"/>
      <c r="N409" s="3900"/>
      <c r="O409" s="3901"/>
      <c r="P409" s="3888"/>
      <c r="Q409" s="3891"/>
      <c r="R409" s="3891"/>
      <c r="S409" s="3891"/>
      <c r="T409" s="3891"/>
      <c r="U409" s="3891"/>
      <c r="V409" s="3891"/>
      <c r="W409" s="3891"/>
      <c r="X409" s="3891"/>
      <c r="Y409" s="3891"/>
      <c r="Z409" s="1923"/>
      <c r="AA409" s="1924"/>
      <c r="AB409" s="1924"/>
      <c r="AC409" s="1925"/>
      <c r="AD409" s="1925"/>
      <c r="AE409" s="1926"/>
      <c r="AF409" s="3897"/>
      <c r="AG409" s="3892"/>
      <c r="AH409" s="3892"/>
      <c r="AI409" s="3897"/>
      <c r="AJ409" s="3892"/>
      <c r="AK409" s="3892"/>
      <c r="AL409" s="1874"/>
      <c r="AM409" s="1714"/>
      <c r="AN409" s="1714"/>
      <c r="AO409" s="1714"/>
      <c r="AP409" s="1714"/>
      <c r="AQ409" s="1714"/>
      <c r="AR409" s="1714"/>
      <c r="AS409" s="1714"/>
      <c r="AT409" s="1714"/>
      <c r="AU409" s="1714"/>
      <c r="AV409" s="1714"/>
      <c r="AW409" s="1714"/>
      <c r="AX409" s="1714"/>
      <c r="AY409" s="1714"/>
      <c r="AZ409" s="1714"/>
      <c r="BA409" s="1714"/>
      <c r="BB409" s="1714"/>
      <c r="BC409" s="1714"/>
      <c r="BD409" s="1714"/>
      <c r="BE409" s="1714"/>
      <c r="BF409" s="1714"/>
    </row>
    <row r="410" spans="1:58" ht="0.75" customHeight="1">
      <c r="A410" s="1088" t="s">
        <v>1345</v>
      </c>
      <c r="D410" s="1082"/>
      <c r="E410" s="1092"/>
      <c r="F410" s="3894"/>
      <c r="G410" s="3885"/>
      <c r="H410" s="3898"/>
      <c r="I410" s="3899"/>
      <c r="J410" s="3891"/>
      <c r="K410" s="3891"/>
      <c r="L410" s="3892"/>
      <c r="M410" s="3743"/>
      <c r="N410" s="3900"/>
      <c r="O410" s="3901"/>
      <c r="P410" s="3889"/>
      <c r="Q410" s="3891"/>
      <c r="R410" s="3891"/>
      <c r="S410" s="3891"/>
      <c r="T410" s="3891"/>
      <c r="U410" s="3891"/>
      <c r="V410" s="3891"/>
      <c r="W410" s="3891"/>
      <c r="X410" s="3891"/>
      <c r="Y410" s="3891"/>
      <c r="Z410" s="1927"/>
      <c r="AA410" s="1928"/>
      <c r="AB410" s="1929"/>
      <c r="AC410" s="1930"/>
      <c r="AD410" s="1929"/>
      <c r="AE410" s="1930"/>
      <c r="AF410" s="3897"/>
      <c r="AG410" s="3892"/>
      <c r="AH410" s="3892"/>
      <c r="AI410" s="3897"/>
      <c r="AJ410" s="3892"/>
      <c r="AK410" s="3892"/>
      <c r="AL410" s="1874"/>
      <c r="AM410" s="1714"/>
      <c r="AN410" s="1714"/>
      <c r="AO410" s="1714"/>
      <c r="AP410" s="1714"/>
      <c r="AQ410" s="1714"/>
      <c r="AR410" s="1714"/>
      <c r="AS410" s="1714"/>
      <c r="AT410" s="1714"/>
      <c r="AU410" s="1714"/>
      <c r="AV410" s="1714"/>
      <c r="AW410" s="1714"/>
      <c r="AX410" s="1714"/>
      <c r="AY410" s="1714"/>
      <c r="AZ410" s="1714"/>
      <c r="BA410" s="1714"/>
      <c r="BB410" s="1714"/>
      <c r="BC410" s="1714"/>
      <c r="BD410" s="1714"/>
      <c r="BE410" s="1714"/>
      <c r="BF410" s="1714"/>
    </row>
    <row r="411" spans="1:58" ht="0.75" customHeight="1">
      <c r="A411" s="1088" t="s">
        <v>1345</v>
      </c>
      <c r="D411" s="1082"/>
      <c r="E411" s="1092"/>
      <c r="F411" s="3894"/>
      <c r="G411" s="3885"/>
      <c r="H411" s="3898"/>
      <c r="I411" s="3899"/>
      <c r="J411" s="3891"/>
      <c r="K411" s="3891"/>
      <c r="L411" s="3892"/>
      <c r="M411" s="3743"/>
      <c r="N411" s="3900"/>
      <c r="O411" s="3901"/>
      <c r="P411" s="3890"/>
      <c r="Q411" s="3891"/>
      <c r="R411" s="3891"/>
      <c r="S411" s="3891"/>
      <c r="T411" s="3891"/>
      <c r="U411" s="3891"/>
      <c r="V411" s="3891"/>
      <c r="W411" s="3891"/>
      <c r="X411" s="3891"/>
      <c r="Y411" s="3891"/>
      <c r="Z411" s="1923"/>
      <c r="AA411" s="1924"/>
      <c r="AB411" s="1931"/>
      <c r="AC411" s="1925"/>
      <c r="AD411" s="1925"/>
      <c r="AE411" s="1932"/>
      <c r="AF411" s="3897"/>
      <c r="AG411" s="3892"/>
      <c r="AH411" s="3892"/>
      <c r="AI411" s="3897"/>
      <c r="AJ411" s="3892"/>
      <c r="AK411" s="3892"/>
      <c r="AL411" s="1874"/>
      <c r="AM411" s="1714"/>
      <c r="AN411" s="1714"/>
      <c r="AO411" s="1714"/>
      <c r="AP411" s="1714"/>
      <c r="AQ411" s="1714"/>
      <c r="AR411" s="1714"/>
      <c r="AS411" s="1714"/>
      <c r="AT411" s="1714"/>
      <c r="AU411" s="1714"/>
      <c r="AV411" s="1714"/>
      <c r="AW411" s="1714"/>
      <c r="AX411" s="1714"/>
      <c r="AY411" s="1714"/>
      <c r="AZ411" s="1714"/>
      <c r="BA411" s="1714"/>
      <c r="BB411" s="1714"/>
      <c r="BC411" s="1714"/>
      <c r="BD411" s="1714"/>
      <c r="BE411" s="1714"/>
      <c r="BF411" s="1714"/>
    </row>
    <row r="412" spans="1:58" ht="0.75" customHeight="1">
      <c r="A412" s="1088" t="s">
        <v>1345</v>
      </c>
      <c r="D412" s="1082"/>
      <c r="E412" s="1092"/>
      <c r="F412" s="3894"/>
      <c r="G412" s="3885"/>
      <c r="H412" s="3898"/>
      <c r="I412" s="3899"/>
      <c r="J412" s="3891"/>
      <c r="K412" s="3891"/>
      <c r="L412" s="3892"/>
      <c r="M412" s="3743"/>
      <c r="N412" s="1924"/>
      <c r="O412" s="1924"/>
      <c r="P412" s="1931"/>
      <c r="Q412" s="1924"/>
      <c r="R412" s="1924"/>
      <c r="S412" s="1924"/>
      <c r="T412" s="1924"/>
      <c r="U412" s="1924"/>
      <c r="V412" s="1924"/>
      <c r="W412" s="1924"/>
      <c r="X412" s="1924"/>
      <c r="Y412" s="1924"/>
      <c r="Z412" s="1924"/>
      <c r="AA412" s="1924"/>
      <c r="AB412" s="1924"/>
      <c r="AC412" s="1924"/>
      <c r="AD412" s="1924"/>
      <c r="AE412" s="1933"/>
      <c r="AF412" s="3897"/>
      <c r="AG412" s="3892"/>
      <c r="AH412" s="3892"/>
      <c r="AI412" s="3897"/>
      <c r="AJ412" s="3892"/>
      <c r="AK412" s="3892"/>
      <c r="AL412" s="1874"/>
      <c r="AM412" s="1714"/>
      <c r="AN412" s="1714"/>
      <c r="AO412" s="1714"/>
      <c r="AP412" s="1714"/>
      <c r="AQ412" s="1714"/>
      <c r="AR412" s="1714"/>
      <c r="AS412" s="1714"/>
      <c r="AT412" s="1714"/>
      <c r="AU412" s="1714"/>
      <c r="AV412" s="1714"/>
      <c r="AW412" s="1714"/>
      <c r="AX412" s="1714"/>
      <c r="AY412" s="1714"/>
      <c r="AZ412" s="1714"/>
      <c r="BA412" s="1714"/>
      <c r="BB412" s="1714"/>
      <c r="BC412" s="1714"/>
      <c r="BD412" s="1714"/>
      <c r="BE412" s="1714"/>
      <c r="BF412" s="1714"/>
    </row>
    <row r="413" spans="1:58" ht="11.25" customHeight="1">
      <c r="A413" s="1088" t="s">
        <v>1345</v>
      </c>
      <c r="D413" s="1082"/>
      <c r="E413" s="1092"/>
      <c r="F413" s="3895"/>
      <c r="G413" s="3853" t="s">
        <v>90</v>
      </c>
      <c r="H413" s="3885" t="s">
        <v>164</v>
      </c>
      <c r="I413" s="3886"/>
      <c r="J413" s="3883"/>
      <c r="K413" s="3887" t="s">
        <v>1486</v>
      </c>
      <c r="L413" s="3599" t="s">
        <v>6</v>
      </c>
      <c r="M413" s="3600"/>
      <c r="N413" s="1872"/>
      <c r="O413" s="1099" t="s">
        <v>421</v>
      </c>
      <c r="P413" s="1100"/>
      <c r="Q413" s="1100"/>
      <c r="R413" s="1100"/>
      <c r="S413" s="1100"/>
      <c r="T413" s="1100"/>
      <c r="U413" s="1100"/>
      <c r="V413" s="1100"/>
      <c r="W413" s="1100"/>
      <c r="X413" s="1100"/>
      <c r="Y413" s="1100"/>
      <c r="Z413" s="1100"/>
      <c r="AA413" s="1100"/>
      <c r="AB413" s="1100"/>
      <c r="AC413" s="1100"/>
      <c r="AD413" s="1100"/>
      <c r="AE413" s="1100"/>
      <c r="AF413" s="3876">
        <v>2025</v>
      </c>
      <c r="AG413" s="3877" t="s">
        <v>1447</v>
      </c>
      <c r="AH413" s="3877" t="s">
        <v>1487</v>
      </c>
      <c r="AI413" s="3876">
        <v>2025</v>
      </c>
      <c r="AJ413" s="3877" t="s">
        <v>1447</v>
      </c>
      <c r="AK413" s="3877" t="s">
        <v>1487</v>
      </c>
      <c r="AL413" s="1874"/>
      <c r="AM413" s="1714"/>
      <c r="AN413" s="1714"/>
      <c r="AO413" s="1714"/>
      <c r="AP413" s="1714"/>
      <c r="AQ413" s="1714"/>
      <c r="AR413" s="1714"/>
      <c r="AS413" s="1714"/>
      <c r="AT413" s="1714"/>
      <c r="AU413" s="1714"/>
      <c r="AV413" s="1714"/>
      <c r="AW413" s="1714"/>
      <c r="AX413" s="1714"/>
      <c r="AY413" s="1714"/>
      <c r="AZ413" s="1714"/>
      <c r="BA413" s="1714"/>
      <c r="BB413" s="1714"/>
      <c r="BC413" s="1714"/>
      <c r="BD413" s="1714"/>
      <c r="BE413" s="1714"/>
      <c r="BF413" s="1714"/>
    </row>
    <row r="414" spans="1:58" ht="11.25" customHeight="1">
      <c r="A414" s="1088" t="s">
        <v>1345</v>
      </c>
      <c r="D414" s="1082"/>
      <c r="E414" s="1092"/>
      <c r="F414" s="3895"/>
      <c r="G414" s="3875"/>
      <c r="H414" s="3885" t="s">
        <v>421</v>
      </c>
      <c r="I414" s="3886"/>
      <c r="J414" s="3883"/>
      <c r="K414" s="3887"/>
      <c r="L414" s="3599"/>
      <c r="M414" s="3600"/>
      <c r="N414" s="3878"/>
      <c r="O414" s="3879">
        <v>1</v>
      </c>
      <c r="P414" s="3880" t="s">
        <v>50</v>
      </c>
      <c r="Q414" s="3883" t="s">
        <v>1476</v>
      </c>
      <c r="R414" s="3884" t="s">
        <v>1438</v>
      </c>
      <c r="S414" s="3884" t="s">
        <v>92</v>
      </c>
      <c r="T414" s="3884" t="s">
        <v>92</v>
      </c>
      <c r="U414" s="3884" t="s">
        <v>93</v>
      </c>
      <c r="V414" s="3884" t="s">
        <v>1462</v>
      </c>
      <c r="W414" s="3884" t="s">
        <v>1463</v>
      </c>
      <c r="X414" s="3884" t="s">
        <v>1477</v>
      </c>
      <c r="Y414" s="3884" t="s">
        <v>1478</v>
      </c>
      <c r="Z414" s="1097"/>
      <c r="AA414" s="1098"/>
      <c r="AB414" s="1098"/>
      <c r="AC414" s="1102"/>
      <c r="AD414" s="1102"/>
      <c r="AE414" s="1103"/>
      <c r="AF414" s="3876"/>
      <c r="AG414" s="3877"/>
      <c r="AH414" s="3877"/>
      <c r="AI414" s="3876"/>
      <c r="AJ414" s="3877"/>
      <c r="AK414" s="3877"/>
      <c r="AL414" s="1874"/>
      <c r="AM414" s="1714"/>
      <c r="AN414" s="1714"/>
      <c r="AO414" s="1714"/>
      <c r="AP414" s="1714"/>
      <c r="AQ414" s="1714"/>
      <c r="AR414" s="1714"/>
      <c r="AS414" s="1714"/>
      <c r="AT414" s="1714"/>
      <c r="AU414" s="1714"/>
      <c r="AV414" s="1714"/>
      <c r="AW414" s="1714"/>
      <c r="AX414" s="1714"/>
      <c r="AY414" s="1714"/>
      <c r="AZ414" s="1714"/>
      <c r="BA414" s="1714"/>
      <c r="BB414" s="1714"/>
      <c r="BC414" s="1714"/>
      <c r="BD414" s="1714"/>
      <c r="BE414" s="1714"/>
      <c r="BF414" s="1714"/>
    </row>
    <row r="415" spans="1:58" ht="11.25" customHeight="1">
      <c r="A415" s="1088" t="s">
        <v>1345</v>
      </c>
      <c r="D415" s="1082"/>
      <c r="E415" s="1092"/>
      <c r="F415" s="3895"/>
      <c r="G415" s="3875"/>
      <c r="H415" s="3885" t="s">
        <v>421</v>
      </c>
      <c r="I415" s="3886"/>
      <c r="J415" s="3883"/>
      <c r="K415" s="3887"/>
      <c r="L415" s="3599"/>
      <c r="M415" s="3600"/>
      <c r="N415" s="3878"/>
      <c r="O415" s="3879"/>
      <c r="P415" s="3881"/>
      <c r="Q415" s="3883"/>
      <c r="R415" s="3874"/>
      <c r="S415" s="3884"/>
      <c r="T415" s="3874"/>
      <c r="U415" s="3874"/>
      <c r="V415" s="3874"/>
      <c r="W415" s="3874"/>
      <c r="X415" s="3874"/>
      <c r="Y415" s="3874"/>
      <c r="Z415" s="1719"/>
      <c r="AA415" s="1686">
        <v>1</v>
      </c>
      <c r="AB415" s="1101" t="s">
        <v>1453</v>
      </c>
      <c r="AC415" s="1091">
        <v>29452.99</v>
      </c>
      <c r="AD415" s="1101" t="str">
        <f>AB415</f>
        <v xml:space="preserve">      Амортизационные отчисления с выделением результатов переоценки основных средств и нематериальных активов</v>
      </c>
      <c r="AE415" s="1091">
        <v>0</v>
      </c>
      <c r="AF415" s="3876"/>
      <c r="AG415" s="3877"/>
      <c r="AH415" s="3877"/>
      <c r="AI415" s="3876"/>
      <c r="AJ415" s="3877"/>
      <c r="AK415" s="3877"/>
      <c r="AL415" s="1874"/>
      <c r="AM415" s="1714"/>
      <c r="AN415" s="1714"/>
      <c r="AO415" s="1714"/>
      <c r="AP415" s="1714"/>
      <c r="AQ415" s="1714"/>
      <c r="AR415" s="1714"/>
      <c r="AS415" s="1714"/>
      <c r="AT415" s="1714"/>
      <c r="AU415" s="1714"/>
      <c r="AV415" s="1714"/>
      <c r="AW415" s="1714"/>
      <c r="AX415" s="1714"/>
      <c r="AY415" s="1714"/>
      <c r="AZ415" s="1714"/>
      <c r="BA415" s="1714"/>
      <c r="BB415" s="1714"/>
      <c r="BC415" s="1714"/>
      <c r="BD415" s="1714"/>
      <c r="BE415" s="1714"/>
      <c r="BF415" s="1714"/>
    </row>
    <row r="416" spans="1:58" ht="11.25" customHeight="1">
      <c r="A416" s="1088" t="s">
        <v>1345</v>
      </c>
      <c r="D416" s="1082"/>
      <c r="E416" s="1092"/>
      <c r="F416" s="3875"/>
      <c r="G416" s="3875"/>
      <c r="H416" s="3875"/>
      <c r="I416" s="3875"/>
      <c r="J416" s="3875"/>
      <c r="K416" s="3875"/>
      <c r="L416" s="3875"/>
      <c r="M416" s="3875"/>
      <c r="N416" s="3875"/>
      <c r="O416" s="3875"/>
      <c r="P416" s="3875"/>
      <c r="Q416" s="3875"/>
      <c r="R416" s="3875"/>
      <c r="S416" s="3875"/>
      <c r="T416" s="3875"/>
      <c r="U416" s="3875"/>
      <c r="V416" s="3875"/>
      <c r="W416" s="3875"/>
      <c r="X416" s="3875"/>
      <c r="Y416" s="3875"/>
      <c r="Z416" s="617" t="s">
        <v>90</v>
      </c>
      <c r="AA416" s="1706" t="s">
        <v>89</v>
      </c>
      <c r="AB416" s="1101" t="s">
        <v>1443</v>
      </c>
      <c r="AC416" s="1091">
        <v>45118.12</v>
      </c>
      <c r="AD416" s="1101" t="str">
        <f>AB416</f>
        <v xml:space="preserve">  Прибыль направляемая на инвестиции</v>
      </c>
      <c r="AE416" s="1091">
        <v>0</v>
      </c>
      <c r="AF416" s="3902"/>
      <c r="AG416" s="3903"/>
      <c r="AH416" s="3903"/>
      <c r="AI416" s="3902"/>
      <c r="AJ416" s="3903"/>
      <c r="AK416" s="3904"/>
      <c r="AL416" s="1874"/>
      <c r="AM416" s="1714"/>
      <c r="AN416" s="1714"/>
      <c r="AO416" s="1714"/>
      <c r="AP416" s="1714"/>
      <c r="AQ416" s="1714"/>
      <c r="AR416" s="1714"/>
      <c r="AS416" s="1714"/>
      <c r="AT416" s="1714"/>
      <c r="AU416" s="1714"/>
      <c r="AV416" s="1714"/>
      <c r="AW416" s="1714"/>
      <c r="AX416" s="1714"/>
      <c r="AY416" s="1714"/>
      <c r="AZ416" s="1714"/>
      <c r="BA416" s="1714"/>
      <c r="BB416" s="1714"/>
      <c r="BC416" s="1714"/>
      <c r="BD416" s="1714"/>
      <c r="BE416" s="1714"/>
      <c r="BF416" s="1714"/>
    </row>
    <row r="417" spans="1:58" ht="11.25" customHeight="1">
      <c r="A417" s="1088" t="s">
        <v>1345</v>
      </c>
      <c r="D417" s="1082"/>
      <c r="E417" s="1092"/>
      <c r="F417" s="3895"/>
      <c r="G417" s="3875"/>
      <c r="H417" s="3885" t="s">
        <v>421</v>
      </c>
      <c r="I417" s="3886"/>
      <c r="J417" s="3883"/>
      <c r="K417" s="3887"/>
      <c r="L417" s="3599"/>
      <c r="M417" s="3600"/>
      <c r="N417" s="3878"/>
      <c r="O417" s="3879"/>
      <c r="P417" s="3882"/>
      <c r="Q417" s="3883"/>
      <c r="R417" s="3874"/>
      <c r="S417" s="3884"/>
      <c r="T417" s="3874"/>
      <c r="U417" s="3874"/>
      <c r="V417" s="3874"/>
      <c r="W417" s="3874"/>
      <c r="X417" s="3874"/>
      <c r="Y417" s="3874"/>
      <c r="Z417" s="1097"/>
      <c r="AA417" s="1098"/>
      <c r="AB417" s="1163" t="s">
        <v>1444</v>
      </c>
      <c r="AC417" s="1102"/>
      <c r="AD417" s="1102"/>
      <c r="AE417" s="1104"/>
      <c r="AF417" s="3876"/>
      <c r="AG417" s="3877"/>
      <c r="AH417" s="3877"/>
      <c r="AI417" s="3876"/>
      <c r="AJ417" s="3877"/>
      <c r="AK417" s="3877"/>
      <c r="AL417" s="1874"/>
      <c r="AM417" s="1714"/>
      <c r="AN417" s="1714"/>
      <c r="AO417" s="1714"/>
      <c r="AP417" s="1714"/>
      <c r="AQ417" s="1714"/>
      <c r="AR417" s="1714"/>
      <c r="AS417" s="1714"/>
      <c r="AT417" s="1714"/>
      <c r="AU417" s="1714"/>
      <c r="AV417" s="1714"/>
      <c r="AW417" s="1714"/>
      <c r="AX417" s="1714"/>
      <c r="AY417" s="1714"/>
      <c r="AZ417" s="1714"/>
      <c r="BA417" s="1714"/>
      <c r="BB417" s="1714"/>
      <c r="BC417" s="1714"/>
      <c r="BD417" s="1714"/>
      <c r="BE417" s="1714"/>
      <c r="BF417" s="1714"/>
    </row>
    <row r="418" spans="1:58" ht="11.25" customHeight="1">
      <c r="A418" s="1088" t="s">
        <v>1345</v>
      </c>
      <c r="D418" s="1082"/>
      <c r="E418" s="1092"/>
      <c r="F418" s="3895"/>
      <c r="G418" s="3875"/>
      <c r="H418" s="3885" t="s">
        <v>421</v>
      </c>
      <c r="I418" s="3886"/>
      <c r="J418" s="3883"/>
      <c r="K418" s="3887"/>
      <c r="L418" s="3599"/>
      <c r="M418" s="3600"/>
      <c r="N418" s="1097"/>
      <c r="O418" s="1098"/>
      <c r="P418" s="1090" t="s">
        <v>1445</v>
      </c>
      <c r="Q418" s="1098"/>
      <c r="R418" s="1098"/>
      <c r="S418" s="1098"/>
      <c r="T418" s="1098"/>
      <c r="U418" s="1098"/>
      <c r="V418" s="1098"/>
      <c r="W418" s="1098"/>
      <c r="X418" s="1098"/>
      <c r="Y418" s="1098"/>
      <c r="Z418" s="1098"/>
      <c r="AA418" s="1098"/>
      <c r="AB418" s="1098"/>
      <c r="AC418" s="1098"/>
      <c r="AD418" s="1098"/>
      <c r="AE418" s="1105"/>
      <c r="AF418" s="3876"/>
      <c r="AG418" s="3877"/>
      <c r="AH418" s="3877"/>
      <c r="AI418" s="3876"/>
      <c r="AJ418" s="3877"/>
      <c r="AK418" s="3877"/>
      <c r="AL418" s="1874"/>
      <c r="AM418" s="1714"/>
      <c r="AN418" s="1714"/>
      <c r="AO418" s="1714"/>
      <c r="AP418" s="1714"/>
      <c r="AQ418" s="1714"/>
      <c r="AR418" s="1714"/>
      <c r="AS418" s="1714"/>
      <c r="AT418" s="1714"/>
      <c r="AU418" s="1714"/>
      <c r="AV418" s="1714"/>
      <c r="AW418" s="1714"/>
      <c r="AX418" s="1714"/>
      <c r="AY418" s="1714"/>
      <c r="AZ418" s="1714"/>
      <c r="BA418" s="1714"/>
      <c r="BB418" s="1714"/>
      <c r="BC418" s="1714"/>
      <c r="BD418" s="1714"/>
      <c r="BE418" s="1714"/>
      <c r="BF418" s="1714"/>
    </row>
    <row r="419" spans="1:58" ht="12" customHeight="1">
      <c r="A419" s="1088" t="s">
        <v>1345</v>
      </c>
      <c r="D419" s="1082"/>
      <c r="E419" s="1092"/>
      <c r="F419" s="3896"/>
      <c r="G419" s="1112"/>
      <c r="H419" s="1112"/>
      <c r="I419" s="3893" t="s">
        <v>1451</v>
      </c>
      <c r="J419" s="3893"/>
      <c r="K419" s="3893"/>
      <c r="L419" s="1095"/>
      <c r="M419" s="1095"/>
      <c r="N419" s="1096"/>
      <c r="O419" s="1096"/>
      <c r="P419" s="1096"/>
      <c r="Q419" s="1096"/>
      <c r="R419" s="1096"/>
      <c r="S419" s="1096"/>
      <c r="T419" s="1096"/>
      <c r="U419" s="1096"/>
      <c r="V419" s="1096"/>
      <c r="W419" s="1096"/>
      <c r="X419" s="1096"/>
      <c r="Y419" s="1096"/>
      <c r="Z419" s="1096"/>
      <c r="AA419" s="1096"/>
      <c r="AB419" s="1096"/>
      <c r="AC419" s="1096"/>
      <c r="AD419" s="1096"/>
      <c r="AE419" s="1096"/>
      <c r="AF419" s="1096"/>
      <c r="AG419" s="1095"/>
      <c r="AH419" s="1095"/>
      <c r="AI419" s="1096"/>
      <c r="AJ419" s="1095"/>
      <c r="AK419" s="1096"/>
      <c r="AL419" s="1874"/>
      <c r="AM419" s="1714"/>
      <c r="AN419" s="1714"/>
      <c r="AO419" s="1714"/>
      <c r="AP419" s="1714"/>
      <c r="AQ419" s="1714"/>
      <c r="AR419" s="1714"/>
      <c r="AS419" s="1714"/>
      <c r="AT419" s="1714"/>
      <c r="AU419" s="1714"/>
      <c r="AV419" s="1714"/>
      <c r="AW419" s="1714"/>
      <c r="AX419" s="1714"/>
      <c r="AY419" s="1714"/>
      <c r="AZ419" s="1714"/>
      <c r="BA419" s="1714"/>
      <c r="BB419" s="1714"/>
      <c r="BC419" s="1714"/>
      <c r="BD419" s="1714"/>
      <c r="BE419" s="1714"/>
      <c r="BF419" s="1714"/>
    </row>
    <row r="420" spans="1:58" ht="21" customHeight="1">
      <c r="A420" s="1089" t="s">
        <v>1354</v>
      </c>
      <c r="D420" s="1082"/>
      <c r="E420" s="1092" t="s">
        <v>9</v>
      </c>
      <c r="F420" s="1045" t="str">
        <f>INDEX(IP_MAIN_LIST_NAME_IP,MATCH(A420,IP_MAIN_LIST_IP_ID,0))&amp;" ("&amp;INDEX(IP_MAIN_START_DATE,MATCH(A420,IP_MAIN_LIST_IP_ID,0))&amp;"-"&amp;INDEX(IP_MAIN_END_DATE,MATCH(A420,IP_MAIN_LIST_IP_ID,0))&amp;")"</f>
        <v>Инвестиционная программа № 29 от 12.03.2025 ООО "СМОЛЕНСКРЕГИОНТЕПЛОЭНЕРГО" в сфере теплоснабжения по строительству газовой котельной, на территории д Кощино, Смоленский муниципальный округ, Смоленский муниципальный округ на 2025-2034 годы (12.03.2025-31.12.2034)</v>
      </c>
      <c r="G420" s="1046"/>
      <c r="H420" s="1046"/>
      <c r="I420" s="1107"/>
      <c r="J420" s="1107"/>
      <c r="K420" s="1108"/>
      <c r="L420" s="1108"/>
      <c r="M420" s="1108"/>
      <c r="N420" s="1109"/>
      <c r="O420" s="1109"/>
      <c r="P420" s="1109"/>
      <c r="Q420" s="1109"/>
      <c r="R420" s="1109"/>
      <c r="S420" s="1109"/>
      <c r="T420" s="1109"/>
      <c r="U420" s="1109"/>
      <c r="V420" s="1109"/>
      <c r="W420" s="1109"/>
      <c r="X420" s="1109"/>
      <c r="Y420" s="1109"/>
      <c r="Z420" s="1109"/>
      <c r="AA420" s="1109"/>
      <c r="AB420" s="1109"/>
      <c r="AC420" s="1109"/>
      <c r="AD420" s="1109"/>
      <c r="AE420" s="1110"/>
      <c r="AF420" s="1108"/>
      <c r="AG420" s="1108"/>
      <c r="AH420" s="1108"/>
      <c r="AI420" s="1108"/>
      <c r="AJ420" s="1108"/>
      <c r="AK420" s="1108"/>
      <c r="AL420" s="1874"/>
      <c r="AM420" s="1714"/>
      <c r="AN420" s="1714"/>
      <c r="AO420" s="1714"/>
      <c r="AP420" s="1714"/>
      <c r="AQ420" s="1714"/>
      <c r="AR420" s="1714"/>
      <c r="AS420" s="1714"/>
      <c r="AT420" s="1714"/>
      <c r="AU420" s="1714"/>
      <c r="AV420" s="1714"/>
      <c r="AW420" s="1714"/>
      <c r="AX420" s="1714"/>
      <c r="AY420" s="1714"/>
      <c r="AZ420" s="1714"/>
      <c r="BA420" s="1714"/>
      <c r="BB420" s="1714"/>
      <c r="BC420" s="1714"/>
      <c r="BD420" s="1714"/>
      <c r="BE420" s="1714"/>
      <c r="BF420" s="1714"/>
    </row>
    <row r="421" spans="1:58" ht="0.75" customHeight="1">
      <c r="A421" s="1088" t="s">
        <v>1354</v>
      </c>
      <c r="D421" s="1082"/>
      <c r="E421" s="1092"/>
      <c r="F421" s="3894">
        <v>2025</v>
      </c>
      <c r="G421" s="3885"/>
      <c r="H421" s="3898" t="s">
        <v>421</v>
      </c>
      <c r="I421" s="3899"/>
      <c r="J421" s="3891"/>
      <c r="K421" s="3891"/>
      <c r="L421" s="3892"/>
      <c r="M421" s="3743"/>
      <c r="N421" s="1922"/>
      <c r="O421" s="1921"/>
      <c r="P421" s="1922"/>
      <c r="Q421" s="1922"/>
      <c r="R421" s="1922"/>
      <c r="S421" s="1922"/>
      <c r="T421" s="1922"/>
      <c r="U421" s="1922"/>
      <c r="V421" s="1922"/>
      <c r="W421" s="1922"/>
      <c r="X421" s="1922"/>
      <c r="Y421" s="1922"/>
      <c r="Z421" s="1922"/>
      <c r="AA421" s="1922"/>
      <c r="AB421" s="1922"/>
      <c r="AC421" s="1922"/>
      <c r="AD421" s="1922"/>
      <c r="AE421" s="1922"/>
      <c r="AF421" s="3897"/>
      <c r="AG421" s="3892"/>
      <c r="AH421" s="3892"/>
      <c r="AI421" s="3897"/>
      <c r="AJ421" s="3892"/>
      <c r="AK421" s="3892"/>
      <c r="AL421" s="1874"/>
      <c r="AM421" s="1714"/>
      <c r="AN421" s="1714"/>
      <c r="AO421" s="1714"/>
      <c r="AP421" s="1714"/>
      <c r="AQ421" s="1714"/>
      <c r="AR421" s="1714"/>
      <c r="AS421" s="1714"/>
      <c r="AT421" s="1714"/>
      <c r="AU421" s="1714"/>
      <c r="AV421" s="1714"/>
      <c r="AW421" s="1714"/>
      <c r="AX421" s="1714"/>
      <c r="AY421" s="1714"/>
      <c r="AZ421" s="1714"/>
      <c r="BA421" s="1714"/>
      <c r="BB421" s="1714"/>
      <c r="BC421" s="1714"/>
      <c r="BD421" s="1714"/>
      <c r="BE421" s="1714"/>
      <c r="BF421" s="1714"/>
    </row>
    <row r="422" spans="1:58" ht="0.75" customHeight="1">
      <c r="A422" s="1088" t="s">
        <v>1354</v>
      </c>
      <c r="D422" s="1082"/>
      <c r="E422" s="1092"/>
      <c r="F422" s="3894"/>
      <c r="G422" s="3885"/>
      <c r="H422" s="3898"/>
      <c r="I422" s="3899"/>
      <c r="J422" s="3891"/>
      <c r="K422" s="3891"/>
      <c r="L422" s="3892"/>
      <c r="M422" s="3743"/>
      <c r="N422" s="3900"/>
      <c r="O422" s="3901"/>
      <c r="P422" s="3888"/>
      <c r="Q422" s="3891"/>
      <c r="R422" s="3891"/>
      <c r="S422" s="3891"/>
      <c r="T422" s="3891"/>
      <c r="U422" s="3891"/>
      <c r="V422" s="3891"/>
      <c r="W422" s="3891"/>
      <c r="X422" s="3891"/>
      <c r="Y422" s="3891"/>
      <c r="Z422" s="1923"/>
      <c r="AA422" s="1924"/>
      <c r="AB422" s="1924"/>
      <c r="AC422" s="1925"/>
      <c r="AD422" s="1925"/>
      <c r="AE422" s="1926"/>
      <c r="AF422" s="3897"/>
      <c r="AG422" s="3892"/>
      <c r="AH422" s="3892"/>
      <c r="AI422" s="3897"/>
      <c r="AJ422" s="3892"/>
      <c r="AK422" s="3892"/>
      <c r="AL422" s="1874"/>
      <c r="AM422" s="1714"/>
      <c r="AN422" s="1714"/>
      <c r="AO422" s="1714"/>
      <c r="AP422" s="1714"/>
      <c r="AQ422" s="1714"/>
      <c r="AR422" s="1714"/>
      <c r="AS422" s="1714"/>
      <c r="AT422" s="1714"/>
      <c r="AU422" s="1714"/>
      <c r="AV422" s="1714"/>
      <c r="AW422" s="1714"/>
      <c r="AX422" s="1714"/>
      <c r="AY422" s="1714"/>
      <c r="AZ422" s="1714"/>
      <c r="BA422" s="1714"/>
      <c r="BB422" s="1714"/>
      <c r="BC422" s="1714"/>
      <c r="BD422" s="1714"/>
      <c r="BE422" s="1714"/>
      <c r="BF422" s="1714"/>
    </row>
    <row r="423" spans="1:58" ht="0.75" customHeight="1">
      <c r="A423" s="1088" t="s">
        <v>1354</v>
      </c>
      <c r="D423" s="1082"/>
      <c r="E423" s="1092"/>
      <c r="F423" s="3894"/>
      <c r="G423" s="3885"/>
      <c r="H423" s="3898"/>
      <c r="I423" s="3899"/>
      <c r="J423" s="3891"/>
      <c r="K423" s="3891"/>
      <c r="L423" s="3892"/>
      <c r="M423" s="3743"/>
      <c r="N423" s="3900"/>
      <c r="O423" s="3901"/>
      <c r="P423" s="3889"/>
      <c r="Q423" s="3891"/>
      <c r="R423" s="3891"/>
      <c r="S423" s="3891"/>
      <c r="T423" s="3891"/>
      <c r="U423" s="3891"/>
      <c r="V423" s="3891"/>
      <c r="W423" s="3891"/>
      <c r="X423" s="3891"/>
      <c r="Y423" s="3891"/>
      <c r="Z423" s="1927"/>
      <c r="AA423" s="1928"/>
      <c r="AB423" s="1929"/>
      <c r="AC423" s="1930"/>
      <c r="AD423" s="1929"/>
      <c r="AE423" s="1930"/>
      <c r="AF423" s="3897"/>
      <c r="AG423" s="3892"/>
      <c r="AH423" s="3892"/>
      <c r="AI423" s="3897"/>
      <c r="AJ423" s="3892"/>
      <c r="AK423" s="3892"/>
      <c r="AL423" s="1874"/>
      <c r="AM423" s="1714"/>
      <c r="AN423" s="1714"/>
      <c r="AO423" s="1714"/>
      <c r="AP423" s="1714"/>
      <c r="AQ423" s="1714"/>
      <c r="AR423" s="1714"/>
      <c r="AS423" s="1714"/>
      <c r="AT423" s="1714"/>
      <c r="AU423" s="1714"/>
      <c r="AV423" s="1714"/>
      <c r="AW423" s="1714"/>
      <c r="AX423" s="1714"/>
      <c r="AY423" s="1714"/>
      <c r="AZ423" s="1714"/>
      <c r="BA423" s="1714"/>
      <c r="BB423" s="1714"/>
      <c r="BC423" s="1714"/>
      <c r="BD423" s="1714"/>
      <c r="BE423" s="1714"/>
      <c r="BF423" s="1714"/>
    </row>
    <row r="424" spans="1:58" ht="0.75" customHeight="1">
      <c r="A424" s="1088" t="s">
        <v>1354</v>
      </c>
      <c r="D424" s="1082"/>
      <c r="E424" s="1092"/>
      <c r="F424" s="3894"/>
      <c r="G424" s="3885"/>
      <c r="H424" s="3898"/>
      <c r="I424" s="3899"/>
      <c r="J424" s="3891"/>
      <c r="K424" s="3891"/>
      <c r="L424" s="3892"/>
      <c r="M424" s="3743"/>
      <c r="N424" s="3900"/>
      <c r="O424" s="3901"/>
      <c r="P424" s="3890"/>
      <c r="Q424" s="3891"/>
      <c r="R424" s="3891"/>
      <c r="S424" s="3891"/>
      <c r="T424" s="3891"/>
      <c r="U424" s="3891"/>
      <c r="V424" s="3891"/>
      <c r="W424" s="3891"/>
      <c r="X424" s="3891"/>
      <c r="Y424" s="3891"/>
      <c r="Z424" s="1923"/>
      <c r="AA424" s="1924"/>
      <c r="AB424" s="1931"/>
      <c r="AC424" s="1925"/>
      <c r="AD424" s="1925"/>
      <c r="AE424" s="1932"/>
      <c r="AF424" s="3897"/>
      <c r="AG424" s="3892"/>
      <c r="AH424" s="3892"/>
      <c r="AI424" s="3897"/>
      <c r="AJ424" s="3892"/>
      <c r="AK424" s="3892"/>
      <c r="AL424" s="1874"/>
      <c r="AM424" s="1714"/>
      <c r="AN424" s="1714"/>
      <c r="AO424" s="1714"/>
      <c r="AP424" s="1714"/>
      <c r="AQ424" s="1714"/>
      <c r="AR424" s="1714"/>
      <c r="AS424" s="1714"/>
      <c r="AT424" s="1714"/>
      <c r="AU424" s="1714"/>
      <c r="AV424" s="1714"/>
      <c r="AW424" s="1714"/>
      <c r="AX424" s="1714"/>
      <c r="AY424" s="1714"/>
      <c r="AZ424" s="1714"/>
      <c r="BA424" s="1714"/>
      <c r="BB424" s="1714"/>
      <c r="BC424" s="1714"/>
      <c r="BD424" s="1714"/>
      <c r="BE424" s="1714"/>
      <c r="BF424" s="1714"/>
    </row>
    <row r="425" spans="1:58" ht="0.75" customHeight="1">
      <c r="A425" s="1088" t="s">
        <v>1354</v>
      </c>
      <c r="D425" s="1082"/>
      <c r="E425" s="1092"/>
      <c r="F425" s="3894"/>
      <c r="G425" s="3885"/>
      <c r="H425" s="3898"/>
      <c r="I425" s="3899"/>
      <c r="J425" s="3891"/>
      <c r="K425" s="3891"/>
      <c r="L425" s="3892"/>
      <c r="M425" s="3743"/>
      <c r="N425" s="1924"/>
      <c r="O425" s="1924"/>
      <c r="P425" s="1931"/>
      <c r="Q425" s="1924"/>
      <c r="R425" s="1924"/>
      <c r="S425" s="1924"/>
      <c r="T425" s="1924"/>
      <c r="U425" s="1924"/>
      <c r="V425" s="1924"/>
      <c r="W425" s="1924"/>
      <c r="X425" s="1924"/>
      <c r="Y425" s="1924"/>
      <c r="Z425" s="1924"/>
      <c r="AA425" s="1924"/>
      <c r="AB425" s="1924"/>
      <c r="AC425" s="1924"/>
      <c r="AD425" s="1924"/>
      <c r="AE425" s="1933"/>
      <c r="AF425" s="3897"/>
      <c r="AG425" s="3892"/>
      <c r="AH425" s="3892"/>
      <c r="AI425" s="3897"/>
      <c r="AJ425" s="3892"/>
      <c r="AK425" s="3892"/>
      <c r="AL425" s="1874"/>
      <c r="AM425" s="1714"/>
      <c r="AN425" s="1714"/>
      <c r="AO425" s="1714"/>
      <c r="AP425" s="1714"/>
      <c r="AQ425" s="1714"/>
      <c r="AR425" s="1714"/>
      <c r="AS425" s="1714"/>
      <c r="AT425" s="1714"/>
      <c r="AU425" s="1714"/>
      <c r="AV425" s="1714"/>
      <c r="AW425" s="1714"/>
      <c r="AX425" s="1714"/>
      <c r="AY425" s="1714"/>
      <c r="AZ425" s="1714"/>
      <c r="BA425" s="1714"/>
      <c r="BB425" s="1714"/>
      <c r="BC425" s="1714"/>
      <c r="BD425" s="1714"/>
      <c r="BE425" s="1714"/>
      <c r="BF425" s="1714"/>
    </row>
    <row r="426" spans="1:58" ht="11.25" customHeight="1">
      <c r="A426" s="1088" t="s">
        <v>1354</v>
      </c>
      <c r="D426" s="1082"/>
      <c r="E426" s="1092"/>
      <c r="F426" s="3895"/>
      <c r="G426" s="3853" t="s">
        <v>90</v>
      </c>
      <c r="H426" s="3885" t="s">
        <v>164</v>
      </c>
      <c r="I426" s="3886"/>
      <c r="J426" s="3883"/>
      <c r="K426" s="3887" t="s">
        <v>1488</v>
      </c>
      <c r="L426" s="3599" t="s">
        <v>6</v>
      </c>
      <c r="M426" s="3600"/>
      <c r="N426" s="1872"/>
      <c r="O426" s="1099" t="s">
        <v>421</v>
      </c>
      <c r="P426" s="1100"/>
      <c r="Q426" s="1100"/>
      <c r="R426" s="1100"/>
      <c r="S426" s="1100"/>
      <c r="T426" s="1100"/>
      <c r="U426" s="1100"/>
      <c r="V426" s="1100"/>
      <c r="W426" s="1100"/>
      <c r="X426" s="1100"/>
      <c r="Y426" s="1100"/>
      <c r="Z426" s="1100"/>
      <c r="AA426" s="1100"/>
      <c r="AB426" s="1100"/>
      <c r="AC426" s="1100"/>
      <c r="AD426" s="1100"/>
      <c r="AE426" s="1100"/>
      <c r="AF426" s="3876">
        <v>2025</v>
      </c>
      <c r="AG426" s="3877" t="s">
        <v>1447</v>
      </c>
      <c r="AH426" s="3877" t="s">
        <v>1487</v>
      </c>
      <c r="AI426" s="3876">
        <v>2025</v>
      </c>
      <c r="AJ426" s="3877" t="s">
        <v>1447</v>
      </c>
      <c r="AK426" s="3877" t="s">
        <v>1487</v>
      </c>
      <c r="AL426" s="1874"/>
      <c r="AM426" s="1714"/>
      <c r="AN426" s="1714"/>
      <c r="AO426" s="1714"/>
      <c r="AP426" s="1714"/>
      <c r="AQ426" s="1714"/>
      <c r="AR426" s="1714"/>
      <c r="AS426" s="1714"/>
      <c r="AT426" s="1714"/>
      <c r="AU426" s="1714"/>
      <c r="AV426" s="1714"/>
      <c r="AW426" s="1714"/>
      <c r="AX426" s="1714"/>
      <c r="AY426" s="1714"/>
      <c r="AZ426" s="1714"/>
      <c r="BA426" s="1714"/>
      <c r="BB426" s="1714"/>
      <c r="BC426" s="1714"/>
      <c r="BD426" s="1714"/>
      <c r="BE426" s="1714"/>
      <c r="BF426" s="1714"/>
    </row>
    <row r="427" spans="1:58" ht="11.25" customHeight="1">
      <c r="A427" s="1088" t="s">
        <v>1354</v>
      </c>
      <c r="D427" s="1082"/>
      <c r="E427" s="1092"/>
      <c r="F427" s="3895"/>
      <c r="G427" s="3875"/>
      <c r="H427" s="3885" t="s">
        <v>421</v>
      </c>
      <c r="I427" s="3886"/>
      <c r="J427" s="3883"/>
      <c r="K427" s="3887"/>
      <c r="L427" s="3599"/>
      <c r="M427" s="3600"/>
      <c r="N427" s="3878"/>
      <c r="O427" s="3879">
        <v>1</v>
      </c>
      <c r="P427" s="3880" t="s">
        <v>50</v>
      </c>
      <c r="Q427" s="3883" t="s">
        <v>1489</v>
      </c>
      <c r="R427" s="3884" t="s">
        <v>1457</v>
      </c>
      <c r="S427" s="3884" t="s">
        <v>136</v>
      </c>
      <c r="T427" s="3884" t="s">
        <v>136</v>
      </c>
      <c r="U427" s="3884" t="s">
        <v>137</v>
      </c>
      <c r="V427" s="3884" t="s">
        <v>1490</v>
      </c>
      <c r="W427" s="3884" t="s">
        <v>1491</v>
      </c>
      <c r="X427" s="3884" t="s">
        <v>1492</v>
      </c>
      <c r="Y427" s="3884" t="s">
        <v>1442</v>
      </c>
      <c r="Z427" s="1097"/>
      <c r="AA427" s="1098"/>
      <c r="AB427" s="1098"/>
      <c r="AC427" s="1102"/>
      <c r="AD427" s="1102"/>
      <c r="AE427" s="1103"/>
      <c r="AF427" s="3876"/>
      <c r="AG427" s="3877"/>
      <c r="AH427" s="3877"/>
      <c r="AI427" s="3876"/>
      <c r="AJ427" s="3877"/>
      <c r="AK427" s="3877"/>
      <c r="AL427" s="1874"/>
      <c r="AM427" s="1714"/>
      <c r="AN427" s="1714"/>
      <c r="AO427" s="1714"/>
      <c r="AP427" s="1714"/>
      <c r="AQ427" s="1714"/>
      <c r="AR427" s="1714"/>
      <c r="AS427" s="1714"/>
      <c r="AT427" s="1714"/>
      <c r="AU427" s="1714"/>
      <c r="AV427" s="1714"/>
      <c r="AW427" s="1714"/>
      <c r="AX427" s="1714"/>
      <c r="AY427" s="1714"/>
      <c r="AZ427" s="1714"/>
      <c r="BA427" s="1714"/>
      <c r="BB427" s="1714"/>
      <c r="BC427" s="1714"/>
      <c r="BD427" s="1714"/>
      <c r="BE427" s="1714"/>
      <c r="BF427" s="1714"/>
    </row>
    <row r="428" spans="1:58" ht="24" customHeight="1">
      <c r="A428" s="1088" t="s">
        <v>1354</v>
      </c>
      <c r="D428" s="1082"/>
      <c r="E428" s="1092"/>
      <c r="F428" s="3895"/>
      <c r="G428" s="3875"/>
      <c r="H428" s="3885" t="s">
        <v>421</v>
      </c>
      <c r="I428" s="3886"/>
      <c r="J428" s="3883"/>
      <c r="K428" s="3887"/>
      <c r="L428" s="3599"/>
      <c r="M428" s="3600"/>
      <c r="N428" s="3878"/>
      <c r="O428" s="3879"/>
      <c r="P428" s="3881"/>
      <c r="Q428" s="3883"/>
      <c r="R428" s="3874"/>
      <c r="S428" s="3884"/>
      <c r="T428" s="3874"/>
      <c r="U428" s="3874"/>
      <c r="V428" s="3874"/>
      <c r="W428" s="3874"/>
      <c r="X428" s="3874"/>
      <c r="Y428" s="3874"/>
      <c r="Z428" s="1719"/>
      <c r="AA428" s="1686">
        <v>1</v>
      </c>
      <c r="AB428" s="1101" t="s">
        <v>1443</v>
      </c>
      <c r="AC428" s="1091">
        <v>1710</v>
      </c>
      <c r="AD428" s="1101" t="str">
        <f>AB428</f>
        <v xml:space="preserve">  Прибыль направляемая на инвестиции</v>
      </c>
      <c r="AE428" s="1091">
        <v>19752.795999999998</v>
      </c>
      <c r="AF428" s="3876"/>
      <c r="AG428" s="3877"/>
      <c r="AH428" s="3877"/>
      <c r="AI428" s="3876"/>
      <c r="AJ428" s="3877"/>
      <c r="AK428" s="3877"/>
      <c r="AL428" s="1874"/>
      <c r="AM428" s="1714"/>
      <c r="AN428" s="1714"/>
      <c r="AO428" s="1714"/>
      <c r="AP428" s="1714"/>
      <c r="AQ428" s="1714"/>
      <c r="AR428" s="1714"/>
      <c r="AS428" s="1714"/>
      <c r="AT428" s="1714"/>
      <c r="AU428" s="1714"/>
      <c r="AV428" s="1714"/>
      <c r="AW428" s="1714"/>
      <c r="AX428" s="1714"/>
      <c r="AY428" s="1714"/>
      <c r="AZ428" s="1714"/>
      <c r="BA428" s="1714"/>
      <c r="BB428" s="1714"/>
      <c r="BC428" s="1714"/>
      <c r="BD428" s="1714"/>
      <c r="BE428" s="1714"/>
      <c r="BF428" s="1714"/>
    </row>
    <row r="429" spans="1:58" ht="22.5" customHeight="1">
      <c r="A429" s="1088" t="s">
        <v>1354</v>
      </c>
      <c r="D429" s="1082"/>
      <c r="E429" s="1092"/>
      <c r="F429" s="3875"/>
      <c r="G429" s="3875"/>
      <c r="H429" s="3875"/>
      <c r="I429" s="3875"/>
      <c r="J429" s="3875"/>
      <c r="K429" s="3875"/>
      <c r="L429" s="3875"/>
      <c r="M429" s="3875"/>
      <c r="N429" s="3875"/>
      <c r="O429" s="3875"/>
      <c r="P429" s="3875"/>
      <c r="Q429" s="3875"/>
      <c r="R429" s="3875"/>
      <c r="S429" s="3875"/>
      <c r="T429" s="3875"/>
      <c r="U429" s="3875"/>
      <c r="V429" s="3875"/>
      <c r="W429" s="3875"/>
      <c r="X429" s="3875"/>
      <c r="Y429" s="3875"/>
      <c r="Z429" s="617" t="s">
        <v>90</v>
      </c>
      <c r="AA429" s="1706" t="s">
        <v>89</v>
      </c>
      <c r="AB429" s="1101" t="s">
        <v>1493</v>
      </c>
      <c r="AC429" s="1091">
        <v>23500</v>
      </c>
      <c r="AD429" s="1101" t="str">
        <f>AB429</f>
        <v xml:space="preserve">  Бюджет муниципального образования</v>
      </c>
      <c r="AE429" s="1091">
        <v>23500</v>
      </c>
      <c r="AF429" s="3902"/>
      <c r="AG429" s="3903"/>
      <c r="AH429" s="3903"/>
      <c r="AI429" s="3902"/>
      <c r="AJ429" s="3903"/>
      <c r="AK429" s="3904"/>
      <c r="AL429" s="1874"/>
      <c r="AM429" s="1714"/>
      <c r="AN429" s="1714"/>
      <c r="AO429" s="1714"/>
      <c r="AP429" s="1714"/>
      <c r="AQ429" s="1714"/>
      <c r="AR429" s="1714"/>
      <c r="AS429" s="1714"/>
      <c r="AT429" s="1714"/>
      <c r="AU429" s="1714"/>
      <c r="AV429" s="1714"/>
      <c r="AW429" s="1714"/>
      <c r="AX429" s="1714"/>
      <c r="AY429" s="1714"/>
      <c r="AZ429" s="1714"/>
      <c r="BA429" s="1714"/>
      <c r="BB429" s="1714"/>
      <c r="BC429" s="1714"/>
      <c r="BD429" s="1714"/>
      <c r="BE429" s="1714"/>
      <c r="BF429" s="1714"/>
    </row>
    <row r="430" spans="1:58" ht="11.25" customHeight="1">
      <c r="A430" s="1088" t="s">
        <v>1354</v>
      </c>
      <c r="D430" s="1082"/>
      <c r="E430" s="1092"/>
      <c r="F430" s="3895"/>
      <c r="G430" s="3875"/>
      <c r="H430" s="3885" t="s">
        <v>421</v>
      </c>
      <c r="I430" s="3886"/>
      <c r="J430" s="3883"/>
      <c r="K430" s="3887"/>
      <c r="L430" s="3599"/>
      <c r="M430" s="3600"/>
      <c r="N430" s="3878"/>
      <c r="O430" s="3879"/>
      <c r="P430" s="3882"/>
      <c r="Q430" s="3883"/>
      <c r="R430" s="3874"/>
      <c r="S430" s="3884"/>
      <c r="T430" s="3874"/>
      <c r="U430" s="3874"/>
      <c r="V430" s="3874"/>
      <c r="W430" s="3874"/>
      <c r="X430" s="3874"/>
      <c r="Y430" s="3874"/>
      <c r="Z430" s="1097"/>
      <c r="AA430" s="1098"/>
      <c r="AB430" s="1163" t="s">
        <v>1444</v>
      </c>
      <c r="AC430" s="1102"/>
      <c r="AD430" s="1102"/>
      <c r="AE430" s="1104"/>
      <c r="AF430" s="3876"/>
      <c r="AG430" s="3877"/>
      <c r="AH430" s="3877"/>
      <c r="AI430" s="3876"/>
      <c r="AJ430" s="3877"/>
      <c r="AK430" s="3877"/>
      <c r="AL430" s="1874"/>
      <c r="AM430" s="1714"/>
      <c r="AN430" s="1714"/>
      <c r="AO430" s="1714"/>
      <c r="AP430" s="1714"/>
      <c r="AQ430" s="1714"/>
      <c r="AR430" s="1714"/>
      <c r="AS430" s="1714"/>
      <c r="AT430" s="1714"/>
      <c r="AU430" s="1714"/>
      <c r="AV430" s="1714"/>
      <c r="AW430" s="1714"/>
      <c r="AX430" s="1714"/>
      <c r="AY430" s="1714"/>
      <c r="AZ430" s="1714"/>
      <c r="BA430" s="1714"/>
      <c r="BB430" s="1714"/>
      <c r="BC430" s="1714"/>
      <c r="BD430" s="1714"/>
      <c r="BE430" s="1714"/>
      <c r="BF430" s="1714"/>
    </row>
    <row r="431" spans="1:58" ht="11.25" customHeight="1">
      <c r="A431" s="1088" t="s">
        <v>1354</v>
      </c>
      <c r="D431" s="1082"/>
      <c r="E431" s="1092"/>
      <c r="F431" s="3895"/>
      <c r="G431" s="3875"/>
      <c r="H431" s="3885" t="s">
        <v>421</v>
      </c>
      <c r="I431" s="3886"/>
      <c r="J431" s="3883"/>
      <c r="K431" s="3887"/>
      <c r="L431" s="3599"/>
      <c r="M431" s="3600"/>
      <c r="N431" s="1097"/>
      <c r="O431" s="1098"/>
      <c r="P431" s="1090" t="s">
        <v>1445</v>
      </c>
      <c r="Q431" s="1098"/>
      <c r="R431" s="1098"/>
      <c r="S431" s="1098"/>
      <c r="T431" s="1098"/>
      <c r="U431" s="1098"/>
      <c r="V431" s="1098"/>
      <c r="W431" s="1098"/>
      <c r="X431" s="1098"/>
      <c r="Y431" s="1098"/>
      <c r="Z431" s="1098"/>
      <c r="AA431" s="1098"/>
      <c r="AB431" s="1098"/>
      <c r="AC431" s="1098"/>
      <c r="AD431" s="1098"/>
      <c r="AE431" s="1105"/>
      <c r="AF431" s="3876"/>
      <c r="AG431" s="3877"/>
      <c r="AH431" s="3877"/>
      <c r="AI431" s="3876"/>
      <c r="AJ431" s="3877"/>
      <c r="AK431" s="3877"/>
      <c r="AL431" s="1874"/>
      <c r="AM431" s="1714"/>
      <c r="AN431" s="1714"/>
      <c r="AO431" s="1714"/>
      <c r="AP431" s="1714"/>
      <c r="AQ431" s="1714"/>
      <c r="AR431" s="1714"/>
      <c r="AS431" s="1714"/>
      <c r="AT431" s="1714"/>
      <c r="AU431" s="1714"/>
      <c r="AV431" s="1714"/>
      <c r="AW431" s="1714"/>
      <c r="AX431" s="1714"/>
      <c r="AY431" s="1714"/>
      <c r="AZ431" s="1714"/>
      <c r="BA431" s="1714"/>
      <c r="BB431" s="1714"/>
      <c r="BC431" s="1714"/>
      <c r="BD431" s="1714"/>
      <c r="BE431" s="1714"/>
      <c r="BF431" s="1714"/>
    </row>
    <row r="432" spans="1:58" ht="12" customHeight="1">
      <c r="A432" s="1088" t="s">
        <v>1354</v>
      </c>
      <c r="D432" s="1082"/>
      <c r="E432" s="1092"/>
      <c r="F432" s="3896"/>
      <c r="G432" s="1112"/>
      <c r="H432" s="1112"/>
      <c r="I432" s="3893" t="s">
        <v>1451</v>
      </c>
      <c r="J432" s="3893"/>
      <c r="K432" s="3893"/>
      <c r="L432" s="1095"/>
      <c r="M432" s="1095"/>
      <c r="N432" s="1096"/>
      <c r="O432" s="1096"/>
      <c r="P432" s="1096"/>
      <c r="Q432" s="1096"/>
      <c r="R432" s="1096"/>
      <c r="S432" s="1096"/>
      <c r="T432" s="1096"/>
      <c r="U432" s="1096"/>
      <c r="V432" s="1096"/>
      <c r="W432" s="1096"/>
      <c r="X432" s="1096"/>
      <c r="Y432" s="1096"/>
      <c r="Z432" s="1096"/>
      <c r="AA432" s="1096"/>
      <c r="AB432" s="1096"/>
      <c r="AC432" s="1096"/>
      <c r="AD432" s="1096"/>
      <c r="AE432" s="1096"/>
      <c r="AF432" s="1096"/>
      <c r="AG432" s="1095"/>
      <c r="AH432" s="1095"/>
      <c r="AI432" s="1096"/>
      <c r="AJ432" s="1095"/>
      <c r="AK432" s="1096"/>
      <c r="AL432" s="1874"/>
      <c r="AM432" s="1714"/>
      <c r="AN432" s="1714"/>
      <c r="AO432" s="1714"/>
      <c r="AP432" s="1714"/>
      <c r="AQ432" s="1714"/>
      <c r="AR432" s="1714"/>
      <c r="AS432" s="1714"/>
      <c r="AT432" s="1714"/>
      <c r="AU432" s="1714"/>
      <c r="AV432" s="1714"/>
      <c r="AW432" s="1714"/>
      <c r="AX432" s="1714"/>
      <c r="AY432" s="1714"/>
      <c r="AZ432" s="1714"/>
      <c r="BA432" s="1714"/>
      <c r="BB432" s="1714"/>
      <c r="BC432" s="1714"/>
      <c r="BD432" s="1714"/>
      <c r="BE432" s="1714"/>
      <c r="BF432" s="1714"/>
    </row>
    <row r="433" spans="1:58" ht="0.75" customHeight="1">
      <c r="A433" s="1088" t="s">
        <v>1354</v>
      </c>
      <c r="D433" s="1082"/>
      <c r="E433" s="1092"/>
      <c r="F433" s="3894">
        <v>2026</v>
      </c>
      <c r="G433" s="3885"/>
      <c r="H433" s="3898" t="s">
        <v>421</v>
      </c>
      <c r="I433" s="3899"/>
      <c r="J433" s="3891"/>
      <c r="K433" s="3891"/>
      <c r="L433" s="3892"/>
      <c r="M433" s="3743"/>
      <c r="N433" s="1922"/>
      <c r="O433" s="1921"/>
      <c r="P433" s="1922"/>
      <c r="Q433" s="1922"/>
      <c r="R433" s="1922"/>
      <c r="S433" s="1922"/>
      <c r="T433" s="1922"/>
      <c r="U433" s="1922"/>
      <c r="V433" s="1922"/>
      <c r="W433" s="1922"/>
      <c r="X433" s="1922"/>
      <c r="Y433" s="1922"/>
      <c r="Z433" s="1922"/>
      <c r="AA433" s="1922"/>
      <c r="AB433" s="1922"/>
      <c r="AC433" s="1922"/>
      <c r="AD433" s="1922"/>
      <c r="AE433" s="1922"/>
      <c r="AF433" s="3897"/>
      <c r="AG433" s="3892"/>
      <c r="AH433" s="3892"/>
      <c r="AI433" s="3897"/>
      <c r="AJ433" s="3892"/>
      <c r="AK433" s="3892"/>
      <c r="AL433" s="1874"/>
      <c r="AM433" s="1714"/>
      <c r="AN433" s="1714"/>
      <c r="AO433" s="1714"/>
      <c r="AP433" s="1714"/>
      <c r="AQ433" s="1714"/>
      <c r="AR433" s="1714"/>
      <c r="AS433" s="1714"/>
      <c r="AT433" s="1714"/>
      <c r="AU433" s="1714"/>
      <c r="AV433" s="1714"/>
      <c r="AW433" s="1714"/>
      <c r="AX433" s="1714"/>
      <c r="AY433" s="1714"/>
      <c r="AZ433" s="1714"/>
      <c r="BA433" s="1714"/>
      <c r="BB433" s="1714"/>
      <c r="BC433" s="1714"/>
      <c r="BD433" s="1714"/>
      <c r="BE433" s="1714"/>
      <c r="BF433" s="1714"/>
    </row>
    <row r="434" spans="1:58" ht="0.75" customHeight="1">
      <c r="A434" s="1088" t="s">
        <v>1354</v>
      </c>
      <c r="D434" s="1082"/>
      <c r="E434" s="1092"/>
      <c r="F434" s="3894"/>
      <c r="G434" s="3885"/>
      <c r="H434" s="3898"/>
      <c r="I434" s="3899"/>
      <c r="J434" s="3891"/>
      <c r="K434" s="3891"/>
      <c r="L434" s="3892"/>
      <c r="M434" s="3743"/>
      <c r="N434" s="3900"/>
      <c r="O434" s="3901"/>
      <c r="P434" s="3888"/>
      <c r="Q434" s="3891"/>
      <c r="R434" s="3891"/>
      <c r="S434" s="3891"/>
      <c r="T434" s="3891"/>
      <c r="U434" s="3891"/>
      <c r="V434" s="3891"/>
      <c r="W434" s="3891"/>
      <c r="X434" s="3891"/>
      <c r="Y434" s="3891"/>
      <c r="Z434" s="1923"/>
      <c r="AA434" s="1924"/>
      <c r="AB434" s="1924"/>
      <c r="AC434" s="1925"/>
      <c r="AD434" s="1925"/>
      <c r="AE434" s="1926"/>
      <c r="AF434" s="3897"/>
      <c r="AG434" s="3892"/>
      <c r="AH434" s="3892"/>
      <c r="AI434" s="3897"/>
      <c r="AJ434" s="3892"/>
      <c r="AK434" s="3892"/>
      <c r="AL434" s="1874"/>
      <c r="AM434" s="1714"/>
      <c r="AN434" s="1714"/>
      <c r="AO434" s="1714"/>
      <c r="AP434" s="1714"/>
      <c r="AQ434" s="1714"/>
      <c r="AR434" s="1714"/>
      <c r="AS434" s="1714"/>
      <c r="AT434" s="1714"/>
      <c r="AU434" s="1714"/>
      <c r="AV434" s="1714"/>
      <c r="AW434" s="1714"/>
      <c r="AX434" s="1714"/>
      <c r="AY434" s="1714"/>
      <c r="AZ434" s="1714"/>
      <c r="BA434" s="1714"/>
      <c r="BB434" s="1714"/>
      <c r="BC434" s="1714"/>
      <c r="BD434" s="1714"/>
      <c r="BE434" s="1714"/>
      <c r="BF434" s="1714"/>
    </row>
    <row r="435" spans="1:58" ht="0.75" customHeight="1">
      <c r="A435" s="1088" t="s">
        <v>1354</v>
      </c>
      <c r="D435" s="1082"/>
      <c r="E435" s="1092"/>
      <c r="F435" s="3894"/>
      <c r="G435" s="3885"/>
      <c r="H435" s="3898"/>
      <c r="I435" s="3899"/>
      <c r="J435" s="3891"/>
      <c r="K435" s="3891"/>
      <c r="L435" s="3892"/>
      <c r="M435" s="3743"/>
      <c r="N435" s="3900"/>
      <c r="O435" s="3901"/>
      <c r="P435" s="3889"/>
      <c r="Q435" s="3891"/>
      <c r="R435" s="3891"/>
      <c r="S435" s="3891"/>
      <c r="T435" s="3891"/>
      <c r="U435" s="3891"/>
      <c r="V435" s="3891"/>
      <c r="W435" s="3891"/>
      <c r="X435" s="3891"/>
      <c r="Y435" s="3891"/>
      <c r="Z435" s="1927"/>
      <c r="AA435" s="1928"/>
      <c r="AB435" s="1929"/>
      <c r="AC435" s="1930"/>
      <c r="AD435" s="1929"/>
      <c r="AE435" s="1930"/>
      <c r="AF435" s="3897"/>
      <c r="AG435" s="3892"/>
      <c r="AH435" s="3892"/>
      <c r="AI435" s="3897"/>
      <c r="AJ435" s="3892"/>
      <c r="AK435" s="3892"/>
      <c r="AL435" s="1874"/>
      <c r="AM435" s="1714"/>
      <c r="AN435" s="1714"/>
      <c r="AO435" s="1714"/>
      <c r="AP435" s="1714"/>
      <c r="AQ435" s="1714"/>
      <c r="AR435" s="1714"/>
      <c r="AS435" s="1714"/>
      <c r="AT435" s="1714"/>
      <c r="AU435" s="1714"/>
      <c r="AV435" s="1714"/>
      <c r="AW435" s="1714"/>
      <c r="AX435" s="1714"/>
      <c r="AY435" s="1714"/>
      <c r="AZ435" s="1714"/>
      <c r="BA435" s="1714"/>
      <c r="BB435" s="1714"/>
      <c r="BC435" s="1714"/>
      <c r="BD435" s="1714"/>
      <c r="BE435" s="1714"/>
      <c r="BF435" s="1714"/>
    </row>
    <row r="436" spans="1:58" ht="0.75" customHeight="1">
      <c r="A436" s="1088" t="s">
        <v>1354</v>
      </c>
      <c r="D436" s="1082"/>
      <c r="E436" s="1092"/>
      <c r="F436" s="3894"/>
      <c r="G436" s="3885"/>
      <c r="H436" s="3898"/>
      <c r="I436" s="3899"/>
      <c r="J436" s="3891"/>
      <c r="K436" s="3891"/>
      <c r="L436" s="3892"/>
      <c r="M436" s="3743"/>
      <c r="N436" s="3900"/>
      <c r="O436" s="3901"/>
      <c r="P436" s="3890"/>
      <c r="Q436" s="3891"/>
      <c r="R436" s="3891"/>
      <c r="S436" s="3891"/>
      <c r="T436" s="3891"/>
      <c r="U436" s="3891"/>
      <c r="V436" s="3891"/>
      <c r="W436" s="3891"/>
      <c r="X436" s="3891"/>
      <c r="Y436" s="3891"/>
      <c r="Z436" s="1923"/>
      <c r="AA436" s="1924"/>
      <c r="AB436" s="1931"/>
      <c r="AC436" s="1925"/>
      <c r="AD436" s="1925"/>
      <c r="AE436" s="1932"/>
      <c r="AF436" s="3897"/>
      <c r="AG436" s="3892"/>
      <c r="AH436" s="3892"/>
      <c r="AI436" s="3897"/>
      <c r="AJ436" s="3892"/>
      <c r="AK436" s="3892"/>
      <c r="AL436" s="1874"/>
      <c r="AM436" s="1714"/>
      <c r="AN436" s="1714"/>
      <c r="AO436" s="1714"/>
      <c r="AP436" s="1714"/>
      <c r="AQ436" s="1714"/>
      <c r="AR436" s="1714"/>
      <c r="AS436" s="1714"/>
      <c r="AT436" s="1714"/>
      <c r="AU436" s="1714"/>
      <c r="AV436" s="1714"/>
      <c r="AW436" s="1714"/>
      <c r="AX436" s="1714"/>
      <c r="AY436" s="1714"/>
      <c r="AZ436" s="1714"/>
      <c r="BA436" s="1714"/>
      <c r="BB436" s="1714"/>
      <c r="BC436" s="1714"/>
      <c r="BD436" s="1714"/>
      <c r="BE436" s="1714"/>
      <c r="BF436" s="1714"/>
    </row>
    <row r="437" spans="1:58" ht="0.75" customHeight="1">
      <c r="A437" s="1088" t="s">
        <v>1354</v>
      </c>
      <c r="D437" s="1082"/>
      <c r="E437" s="1092"/>
      <c r="F437" s="3894"/>
      <c r="G437" s="3885"/>
      <c r="H437" s="3898"/>
      <c r="I437" s="3899"/>
      <c r="J437" s="3891"/>
      <c r="K437" s="3891"/>
      <c r="L437" s="3892"/>
      <c r="M437" s="3743"/>
      <c r="N437" s="1924"/>
      <c r="O437" s="1924"/>
      <c r="P437" s="1931"/>
      <c r="Q437" s="1924"/>
      <c r="R437" s="1924"/>
      <c r="S437" s="1924"/>
      <c r="T437" s="1924"/>
      <c r="U437" s="1924"/>
      <c r="V437" s="1924"/>
      <c r="W437" s="1924"/>
      <c r="X437" s="1924"/>
      <c r="Y437" s="1924"/>
      <c r="Z437" s="1924"/>
      <c r="AA437" s="1924"/>
      <c r="AB437" s="1924"/>
      <c r="AC437" s="1924"/>
      <c r="AD437" s="1924"/>
      <c r="AE437" s="1933"/>
      <c r="AF437" s="3897"/>
      <c r="AG437" s="3892"/>
      <c r="AH437" s="3892"/>
      <c r="AI437" s="3897"/>
      <c r="AJ437" s="3892"/>
      <c r="AK437" s="3892"/>
      <c r="AL437" s="1874"/>
      <c r="AM437" s="1714"/>
      <c r="AN437" s="1714"/>
      <c r="AO437" s="1714"/>
      <c r="AP437" s="1714"/>
      <c r="AQ437" s="1714"/>
      <c r="AR437" s="1714"/>
      <c r="AS437" s="1714"/>
      <c r="AT437" s="1714"/>
      <c r="AU437" s="1714"/>
      <c r="AV437" s="1714"/>
      <c r="AW437" s="1714"/>
      <c r="AX437" s="1714"/>
      <c r="AY437" s="1714"/>
      <c r="AZ437" s="1714"/>
      <c r="BA437" s="1714"/>
      <c r="BB437" s="1714"/>
      <c r="BC437" s="1714"/>
      <c r="BD437" s="1714"/>
      <c r="BE437" s="1714"/>
      <c r="BF437" s="1714"/>
    </row>
    <row r="438" spans="1:58" ht="11.25" customHeight="1">
      <c r="A438" s="1088" t="s">
        <v>1354</v>
      </c>
      <c r="D438" s="1082"/>
      <c r="E438" s="1092"/>
      <c r="F438" s="3895"/>
      <c r="G438" s="3853" t="s">
        <v>90</v>
      </c>
      <c r="H438" s="3885" t="s">
        <v>164</v>
      </c>
      <c r="I438" s="3886"/>
      <c r="J438" s="3883"/>
      <c r="K438" s="3887" t="s">
        <v>1488</v>
      </c>
      <c r="L438" s="3599" t="s">
        <v>6</v>
      </c>
      <c r="M438" s="3600"/>
      <c r="N438" s="1872"/>
      <c r="O438" s="1099" t="s">
        <v>421</v>
      </c>
      <c r="P438" s="1100"/>
      <c r="Q438" s="1100"/>
      <c r="R438" s="1100"/>
      <c r="S438" s="1100"/>
      <c r="T438" s="1100"/>
      <c r="U438" s="1100"/>
      <c r="V438" s="1100"/>
      <c r="W438" s="1100"/>
      <c r="X438" s="1100"/>
      <c r="Y438" s="1100"/>
      <c r="Z438" s="1100"/>
      <c r="AA438" s="1100"/>
      <c r="AB438" s="1100"/>
      <c r="AC438" s="1100"/>
      <c r="AD438" s="1100"/>
      <c r="AE438" s="1100"/>
      <c r="AF438" s="3876">
        <v>2025</v>
      </c>
      <c r="AG438" s="3877" t="s">
        <v>1447</v>
      </c>
      <c r="AH438" s="3877" t="s">
        <v>1487</v>
      </c>
      <c r="AI438" s="3876">
        <v>2025</v>
      </c>
      <c r="AJ438" s="3877" t="s">
        <v>1447</v>
      </c>
      <c r="AK438" s="3877" t="s">
        <v>1487</v>
      </c>
      <c r="AL438" s="1874"/>
      <c r="AM438" s="1714"/>
      <c r="AN438" s="1714"/>
      <c r="AO438" s="1714"/>
      <c r="AP438" s="1714"/>
      <c r="AQ438" s="1714"/>
      <c r="AR438" s="1714"/>
      <c r="AS438" s="1714"/>
      <c r="AT438" s="1714"/>
      <c r="AU438" s="1714"/>
      <c r="AV438" s="1714"/>
      <c r="AW438" s="1714"/>
      <c r="AX438" s="1714"/>
      <c r="AY438" s="1714"/>
      <c r="AZ438" s="1714"/>
      <c r="BA438" s="1714"/>
      <c r="BB438" s="1714"/>
      <c r="BC438" s="1714"/>
      <c r="BD438" s="1714"/>
      <c r="BE438" s="1714"/>
      <c r="BF438" s="1714"/>
    </row>
    <row r="439" spans="1:58" ht="11.25" customHeight="1">
      <c r="A439" s="1088" t="s">
        <v>1354</v>
      </c>
      <c r="D439" s="1082"/>
      <c r="E439" s="1092"/>
      <c r="F439" s="3895"/>
      <c r="G439" s="3875"/>
      <c r="H439" s="3885" t="s">
        <v>421</v>
      </c>
      <c r="I439" s="3886"/>
      <c r="J439" s="3883"/>
      <c r="K439" s="3887"/>
      <c r="L439" s="3599"/>
      <c r="M439" s="3600"/>
      <c r="N439" s="3878"/>
      <c r="O439" s="3879">
        <v>1</v>
      </c>
      <c r="P439" s="3880" t="s">
        <v>50</v>
      </c>
      <c r="Q439" s="3883" t="s">
        <v>1489</v>
      </c>
      <c r="R439" s="3884" t="s">
        <v>1457</v>
      </c>
      <c r="S439" s="3884" t="s">
        <v>136</v>
      </c>
      <c r="T439" s="3884" t="s">
        <v>136</v>
      </c>
      <c r="U439" s="3884" t="s">
        <v>137</v>
      </c>
      <c r="V439" s="3884" t="s">
        <v>1490</v>
      </c>
      <c r="W439" s="3884" t="s">
        <v>1491</v>
      </c>
      <c r="X439" s="3884" t="s">
        <v>1492</v>
      </c>
      <c r="Y439" s="3884" t="s">
        <v>1442</v>
      </c>
      <c r="Z439" s="1097"/>
      <c r="AA439" s="1098"/>
      <c r="AB439" s="1098"/>
      <c r="AC439" s="1102"/>
      <c r="AD439" s="1102"/>
      <c r="AE439" s="1103"/>
      <c r="AF439" s="3876"/>
      <c r="AG439" s="3877"/>
      <c r="AH439" s="3877"/>
      <c r="AI439" s="3876"/>
      <c r="AJ439" s="3877"/>
      <c r="AK439" s="3877"/>
      <c r="AL439" s="1874"/>
      <c r="AM439" s="1714"/>
      <c r="AN439" s="1714"/>
      <c r="AO439" s="1714"/>
      <c r="AP439" s="1714"/>
      <c r="AQ439" s="1714"/>
      <c r="AR439" s="1714"/>
      <c r="AS439" s="1714"/>
      <c r="AT439" s="1714"/>
      <c r="AU439" s="1714"/>
      <c r="AV439" s="1714"/>
      <c r="AW439" s="1714"/>
      <c r="AX439" s="1714"/>
      <c r="AY439" s="1714"/>
      <c r="AZ439" s="1714"/>
      <c r="BA439" s="1714"/>
      <c r="BB439" s="1714"/>
      <c r="BC439" s="1714"/>
      <c r="BD439" s="1714"/>
      <c r="BE439" s="1714"/>
      <c r="BF439" s="1714"/>
    </row>
    <row r="440" spans="1:58" ht="11.25" customHeight="1">
      <c r="A440" s="1088" t="s">
        <v>1354</v>
      </c>
      <c r="D440" s="1082"/>
      <c r="E440" s="1092"/>
      <c r="F440" s="3895"/>
      <c r="G440" s="3875"/>
      <c r="H440" s="3885" t="s">
        <v>421</v>
      </c>
      <c r="I440" s="3886"/>
      <c r="J440" s="3883"/>
      <c r="K440" s="3887"/>
      <c r="L440" s="3599"/>
      <c r="M440" s="3600"/>
      <c r="N440" s="3878"/>
      <c r="O440" s="3879"/>
      <c r="P440" s="3881"/>
      <c r="Q440" s="3883"/>
      <c r="R440" s="3874"/>
      <c r="S440" s="3884"/>
      <c r="T440" s="3874"/>
      <c r="U440" s="3874"/>
      <c r="V440" s="3874"/>
      <c r="W440" s="3874"/>
      <c r="X440" s="3874"/>
      <c r="Y440" s="3874"/>
      <c r="Z440" s="1719"/>
      <c r="AA440" s="1686">
        <v>1</v>
      </c>
      <c r="AB440" s="1101" t="s">
        <v>1443</v>
      </c>
      <c r="AC440" s="1091">
        <v>1710</v>
      </c>
      <c r="AD440" s="1101" t="str">
        <f>AB440</f>
        <v xml:space="preserve">  Прибыль направляемая на инвестиции</v>
      </c>
      <c r="AE440" s="1091">
        <v>0</v>
      </c>
      <c r="AF440" s="3876"/>
      <c r="AG440" s="3877"/>
      <c r="AH440" s="3877"/>
      <c r="AI440" s="3876"/>
      <c r="AJ440" s="3877"/>
      <c r="AK440" s="3877"/>
      <c r="AL440" s="1874"/>
      <c r="AM440" s="1714"/>
      <c r="AN440" s="1714"/>
      <c r="AO440" s="1714"/>
      <c r="AP440" s="1714"/>
      <c r="AQ440" s="1714"/>
      <c r="AR440" s="1714"/>
      <c r="AS440" s="1714"/>
      <c r="AT440" s="1714"/>
      <c r="AU440" s="1714"/>
      <c r="AV440" s="1714"/>
      <c r="AW440" s="1714"/>
      <c r="AX440" s="1714"/>
      <c r="AY440" s="1714"/>
      <c r="AZ440" s="1714"/>
      <c r="BA440" s="1714"/>
      <c r="BB440" s="1714"/>
      <c r="BC440" s="1714"/>
      <c r="BD440" s="1714"/>
      <c r="BE440" s="1714"/>
      <c r="BF440" s="1714"/>
    </row>
    <row r="441" spans="1:58" ht="11.25" customHeight="1">
      <c r="A441" s="1088" t="s">
        <v>1354</v>
      </c>
      <c r="D441" s="1082"/>
      <c r="E441" s="1092"/>
      <c r="F441" s="3895"/>
      <c r="G441" s="3875"/>
      <c r="H441" s="3885" t="s">
        <v>421</v>
      </c>
      <c r="I441" s="3886"/>
      <c r="J441" s="3883"/>
      <c r="K441" s="3887"/>
      <c r="L441" s="3599"/>
      <c r="M441" s="3600"/>
      <c r="N441" s="3878"/>
      <c r="O441" s="3879"/>
      <c r="P441" s="3882"/>
      <c r="Q441" s="3883"/>
      <c r="R441" s="3874"/>
      <c r="S441" s="3884"/>
      <c r="T441" s="3874"/>
      <c r="U441" s="3874"/>
      <c r="V441" s="3874"/>
      <c r="W441" s="3874"/>
      <c r="X441" s="3874"/>
      <c r="Y441" s="3874"/>
      <c r="Z441" s="1097"/>
      <c r="AA441" s="1098"/>
      <c r="AB441" s="1163" t="s">
        <v>1444</v>
      </c>
      <c r="AC441" s="1102"/>
      <c r="AD441" s="1102"/>
      <c r="AE441" s="1104"/>
      <c r="AF441" s="3876"/>
      <c r="AG441" s="3877"/>
      <c r="AH441" s="3877"/>
      <c r="AI441" s="3876"/>
      <c r="AJ441" s="3877"/>
      <c r="AK441" s="3877"/>
      <c r="AL441" s="1874"/>
      <c r="AM441" s="1714"/>
      <c r="AN441" s="1714"/>
      <c r="AO441" s="1714"/>
      <c r="AP441" s="1714"/>
      <c r="AQ441" s="1714"/>
      <c r="AR441" s="1714"/>
      <c r="AS441" s="1714"/>
      <c r="AT441" s="1714"/>
      <c r="AU441" s="1714"/>
      <c r="AV441" s="1714"/>
      <c r="AW441" s="1714"/>
      <c r="AX441" s="1714"/>
      <c r="AY441" s="1714"/>
      <c r="AZ441" s="1714"/>
      <c r="BA441" s="1714"/>
      <c r="BB441" s="1714"/>
      <c r="BC441" s="1714"/>
      <c r="BD441" s="1714"/>
      <c r="BE441" s="1714"/>
      <c r="BF441" s="1714"/>
    </row>
    <row r="442" spans="1:58" ht="11.25" customHeight="1">
      <c r="A442" s="1088" t="s">
        <v>1354</v>
      </c>
      <c r="D442" s="1082"/>
      <c r="E442" s="1092"/>
      <c r="F442" s="3895"/>
      <c r="G442" s="3875"/>
      <c r="H442" s="3885" t="s">
        <v>421</v>
      </c>
      <c r="I442" s="3886"/>
      <c r="J442" s="3883"/>
      <c r="K442" s="3887"/>
      <c r="L442" s="3599"/>
      <c r="M442" s="3600"/>
      <c r="N442" s="1097"/>
      <c r="O442" s="1098"/>
      <c r="P442" s="1090" t="s">
        <v>1445</v>
      </c>
      <c r="Q442" s="1098"/>
      <c r="R442" s="1098"/>
      <c r="S442" s="1098"/>
      <c r="T442" s="1098"/>
      <c r="U442" s="1098"/>
      <c r="V442" s="1098"/>
      <c r="W442" s="1098"/>
      <c r="X442" s="1098"/>
      <c r="Y442" s="1098"/>
      <c r="Z442" s="1098"/>
      <c r="AA442" s="1098"/>
      <c r="AB442" s="1098"/>
      <c r="AC442" s="1098"/>
      <c r="AD442" s="1098"/>
      <c r="AE442" s="1105"/>
      <c r="AF442" s="3876"/>
      <c r="AG442" s="3877"/>
      <c r="AH442" s="3877"/>
      <c r="AI442" s="3876"/>
      <c r="AJ442" s="3877"/>
      <c r="AK442" s="3877"/>
      <c r="AL442" s="1874"/>
      <c r="AM442" s="1714"/>
      <c r="AN442" s="1714"/>
      <c r="AO442" s="1714"/>
      <c r="AP442" s="1714"/>
      <c r="AQ442" s="1714"/>
      <c r="AR442" s="1714"/>
      <c r="AS442" s="1714"/>
      <c r="AT442" s="1714"/>
      <c r="AU442" s="1714"/>
      <c r="AV442" s="1714"/>
      <c r="AW442" s="1714"/>
      <c r="AX442" s="1714"/>
      <c r="AY442" s="1714"/>
      <c r="AZ442" s="1714"/>
      <c r="BA442" s="1714"/>
      <c r="BB442" s="1714"/>
      <c r="BC442" s="1714"/>
      <c r="BD442" s="1714"/>
      <c r="BE442" s="1714"/>
      <c r="BF442" s="1714"/>
    </row>
    <row r="443" spans="1:58" ht="12" customHeight="1">
      <c r="A443" s="1088" t="s">
        <v>1354</v>
      </c>
      <c r="D443" s="1082"/>
      <c r="E443" s="1092"/>
      <c r="F443" s="3896"/>
      <c r="G443" s="1112"/>
      <c r="H443" s="1112"/>
      <c r="I443" s="3893" t="s">
        <v>1451</v>
      </c>
      <c r="J443" s="3893"/>
      <c r="K443" s="3893"/>
      <c r="L443" s="1095"/>
      <c r="M443" s="1095"/>
      <c r="N443" s="1096"/>
      <c r="O443" s="1096"/>
      <c r="P443" s="1096"/>
      <c r="Q443" s="1096"/>
      <c r="R443" s="1096"/>
      <c r="S443" s="1096"/>
      <c r="T443" s="1096"/>
      <c r="U443" s="1096"/>
      <c r="V443" s="1096"/>
      <c r="W443" s="1096"/>
      <c r="X443" s="1096"/>
      <c r="Y443" s="1096"/>
      <c r="Z443" s="1096"/>
      <c r="AA443" s="1096"/>
      <c r="AB443" s="1096"/>
      <c r="AC443" s="1096"/>
      <c r="AD443" s="1096"/>
      <c r="AE443" s="1096"/>
      <c r="AF443" s="1096"/>
      <c r="AG443" s="1095"/>
      <c r="AH443" s="1095"/>
      <c r="AI443" s="1096"/>
      <c r="AJ443" s="1095"/>
      <c r="AK443" s="1096"/>
      <c r="AL443" s="1874"/>
      <c r="AM443" s="1714"/>
      <c r="AN443" s="1714"/>
      <c r="AO443" s="1714"/>
      <c r="AP443" s="1714"/>
      <c r="AQ443" s="1714"/>
      <c r="AR443" s="1714"/>
      <c r="AS443" s="1714"/>
      <c r="AT443" s="1714"/>
      <c r="AU443" s="1714"/>
      <c r="AV443" s="1714"/>
      <c r="AW443" s="1714"/>
      <c r="AX443" s="1714"/>
      <c r="AY443" s="1714"/>
      <c r="AZ443" s="1714"/>
      <c r="BA443" s="1714"/>
      <c r="BB443" s="1714"/>
      <c r="BC443" s="1714"/>
      <c r="BD443" s="1714"/>
      <c r="BE443" s="1714"/>
      <c r="BF443" s="1714"/>
    </row>
    <row r="444" spans="1:58" ht="0.75" customHeight="1">
      <c r="A444" s="1088" t="s">
        <v>1354</v>
      </c>
      <c r="D444" s="1082"/>
      <c r="E444" s="1092"/>
      <c r="F444" s="3894">
        <v>2027</v>
      </c>
      <c r="G444" s="3885"/>
      <c r="H444" s="3898" t="s">
        <v>421</v>
      </c>
      <c r="I444" s="3899"/>
      <c r="J444" s="3891"/>
      <c r="K444" s="3891"/>
      <c r="L444" s="3892"/>
      <c r="M444" s="3743"/>
      <c r="N444" s="1922"/>
      <c r="O444" s="1921"/>
      <c r="P444" s="1922"/>
      <c r="Q444" s="1922"/>
      <c r="R444" s="1922"/>
      <c r="S444" s="1922"/>
      <c r="T444" s="1922"/>
      <c r="U444" s="1922"/>
      <c r="V444" s="1922"/>
      <c r="W444" s="1922"/>
      <c r="X444" s="1922"/>
      <c r="Y444" s="1922"/>
      <c r="Z444" s="1922"/>
      <c r="AA444" s="1922"/>
      <c r="AB444" s="1922"/>
      <c r="AC444" s="1922"/>
      <c r="AD444" s="1922"/>
      <c r="AE444" s="1922"/>
      <c r="AF444" s="3897"/>
      <c r="AG444" s="3892"/>
      <c r="AH444" s="3892"/>
      <c r="AI444" s="3897"/>
      <c r="AJ444" s="3892"/>
      <c r="AK444" s="3892"/>
      <c r="AL444" s="1874"/>
      <c r="AM444" s="1714"/>
      <c r="AN444" s="1714"/>
      <c r="AO444" s="1714"/>
      <c r="AP444" s="1714"/>
      <c r="AQ444" s="1714"/>
      <c r="AR444" s="1714"/>
      <c r="AS444" s="1714"/>
      <c r="AT444" s="1714"/>
      <c r="AU444" s="1714"/>
      <c r="AV444" s="1714"/>
      <c r="AW444" s="1714"/>
      <c r="AX444" s="1714"/>
      <c r="AY444" s="1714"/>
      <c r="AZ444" s="1714"/>
      <c r="BA444" s="1714"/>
      <c r="BB444" s="1714"/>
      <c r="BC444" s="1714"/>
      <c r="BD444" s="1714"/>
      <c r="BE444" s="1714"/>
      <c r="BF444" s="1714"/>
    </row>
    <row r="445" spans="1:58" ht="0.75" customHeight="1">
      <c r="A445" s="1088" t="s">
        <v>1354</v>
      </c>
      <c r="D445" s="1082"/>
      <c r="E445" s="1092"/>
      <c r="F445" s="3894"/>
      <c r="G445" s="3885"/>
      <c r="H445" s="3898"/>
      <c r="I445" s="3899"/>
      <c r="J445" s="3891"/>
      <c r="K445" s="3891"/>
      <c r="L445" s="3892"/>
      <c r="M445" s="3743"/>
      <c r="N445" s="3900"/>
      <c r="O445" s="3901"/>
      <c r="P445" s="3888"/>
      <c r="Q445" s="3891"/>
      <c r="R445" s="3891"/>
      <c r="S445" s="3891"/>
      <c r="T445" s="3891"/>
      <c r="U445" s="3891"/>
      <c r="V445" s="3891"/>
      <c r="W445" s="3891"/>
      <c r="X445" s="3891"/>
      <c r="Y445" s="3891"/>
      <c r="Z445" s="1923"/>
      <c r="AA445" s="1924"/>
      <c r="AB445" s="1924"/>
      <c r="AC445" s="1925"/>
      <c r="AD445" s="1925"/>
      <c r="AE445" s="1926"/>
      <c r="AF445" s="3897"/>
      <c r="AG445" s="3892"/>
      <c r="AH445" s="3892"/>
      <c r="AI445" s="3897"/>
      <c r="AJ445" s="3892"/>
      <c r="AK445" s="3892"/>
      <c r="AL445" s="1874"/>
      <c r="AM445" s="1714"/>
      <c r="AN445" s="1714"/>
      <c r="AO445" s="1714"/>
      <c r="AP445" s="1714"/>
      <c r="AQ445" s="1714"/>
      <c r="AR445" s="1714"/>
      <c r="AS445" s="1714"/>
      <c r="AT445" s="1714"/>
      <c r="AU445" s="1714"/>
      <c r="AV445" s="1714"/>
      <c r="AW445" s="1714"/>
      <c r="AX445" s="1714"/>
      <c r="AY445" s="1714"/>
      <c r="AZ445" s="1714"/>
      <c r="BA445" s="1714"/>
      <c r="BB445" s="1714"/>
      <c r="BC445" s="1714"/>
      <c r="BD445" s="1714"/>
      <c r="BE445" s="1714"/>
      <c r="BF445" s="1714"/>
    </row>
    <row r="446" spans="1:58" ht="0.75" customHeight="1">
      <c r="A446" s="1088" t="s">
        <v>1354</v>
      </c>
      <c r="D446" s="1082"/>
      <c r="E446" s="1092"/>
      <c r="F446" s="3894"/>
      <c r="G446" s="3885"/>
      <c r="H446" s="3898"/>
      <c r="I446" s="3899"/>
      <c r="J446" s="3891"/>
      <c r="K446" s="3891"/>
      <c r="L446" s="3892"/>
      <c r="M446" s="3743"/>
      <c r="N446" s="3900"/>
      <c r="O446" s="3901"/>
      <c r="P446" s="3889"/>
      <c r="Q446" s="3891"/>
      <c r="R446" s="3891"/>
      <c r="S446" s="3891"/>
      <c r="T446" s="3891"/>
      <c r="U446" s="3891"/>
      <c r="V446" s="3891"/>
      <c r="W446" s="3891"/>
      <c r="X446" s="3891"/>
      <c r="Y446" s="3891"/>
      <c r="Z446" s="1927"/>
      <c r="AA446" s="1928"/>
      <c r="AB446" s="1929"/>
      <c r="AC446" s="1930"/>
      <c r="AD446" s="1929"/>
      <c r="AE446" s="1930"/>
      <c r="AF446" s="3897"/>
      <c r="AG446" s="3892"/>
      <c r="AH446" s="3892"/>
      <c r="AI446" s="3897"/>
      <c r="AJ446" s="3892"/>
      <c r="AK446" s="3892"/>
      <c r="AL446" s="1874"/>
      <c r="AM446" s="1714"/>
      <c r="AN446" s="1714"/>
      <c r="AO446" s="1714"/>
      <c r="AP446" s="1714"/>
      <c r="AQ446" s="1714"/>
      <c r="AR446" s="1714"/>
      <c r="AS446" s="1714"/>
      <c r="AT446" s="1714"/>
      <c r="AU446" s="1714"/>
      <c r="AV446" s="1714"/>
      <c r="AW446" s="1714"/>
      <c r="AX446" s="1714"/>
      <c r="AY446" s="1714"/>
      <c r="AZ446" s="1714"/>
      <c r="BA446" s="1714"/>
      <c r="BB446" s="1714"/>
      <c r="BC446" s="1714"/>
      <c r="BD446" s="1714"/>
      <c r="BE446" s="1714"/>
      <c r="BF446" s="1714"/>
    </row>
    <row r="447" spans="1:58" ht="0.75" customHeight="1">
      <c r="A447" s="1088" t="s">
        <v>1354</v>
      </c>
      <c r="D447" s="1082"/>
      <c r="E447" s="1092"/>
      <c r="F447" s="3894"/>
      <c r="G447" s="3885"/>
      <c r="H447" s="3898"/>
      <c r="I447" s="3899"/>
      <c r="J447" s="3891"/>
      <c r="K447" s="3891"/>
      <c r="L447" s="3892"/>
      <c r="M447" s="3743"/>
      <c r="N447" s="3900"/>
      <c r="O447" s="3901"/>
      <c r="P447" s="3890"/>
      <c r="Q447" s="3891"/>
      <c r="R447" s="3891"/>
      <c r="S447" s="3891"/>
      <c r="T447" s="3891"/>
      <c r="U447" s="3891"/>
      <c r="V447" s="3891"/>
      <c r="W447" s="3891"/>
      <c r="X447" s="3891"/>
      <c r="Y447" s="3891"/>
      <c r="Z447" s="1923"/>
      <c r="AA447" s="1924"/>
      <c r="AB447" s="1931"/>
      <c r="AC447" s="1925"/>
      <c r="AD447" s="1925"/>
      <c r="AE447" s="1932"/>
      <c r="AF447" s="3897"/>
      <c r="AG447" s="3892"/>
      <c r="AH447" s="3892"/>
      <c r="AI447" s="3897"/>
      <c r="AJ447" s="3892"/>
      <c r="AK447" s="3892"/>
      <c r="AL447" s="1874"/>
      <c r="AM447" s="1714"/>
      <c r="AN447" s="1714"/>
      <c r="AO447" s="1714"/>
      <c r="AP447" s="1714"/>
      <c r="AQ447" s="1714"/>
      <c r="AR447" s="1714"/>
      <c r="AS447" s="1714"/>
      <c r="AT447" s="1714"/>
      <c r="AU447" s="1714"/>
      <c r="AV447" s="1714"/>
      <c r="AW447" s="1714"/>
      <c r="AX447" s="1714"/>
      <c r="AY447" s="1714"/>
      <c r="AZ447" s="1714"/>
      <c r="BA447" s="1714"/>
      <c r="BB447" s="1714"/>
      <c r="BC447" s="1714"/>
      <c r="BD447" s="1714"/>
      <c r="BE447" s="1714"/>
      <c r="BF447" s="1714"/>
    </row>
    <row r="448" spans="1:58" ht="0.75" customHeight="1">
      <c r="A448" s="1088" t="s">
        <v>1354</v>
      </c>
      <c r="D448" s="1082"/>
      <c r="E448" s="1092"/>
      <c r="F448" s="3894"/>
      <c r="G448" s="3885"/>
      <c r="H448" s="3898"/>
      <c r="I448" s="3899"/>
      <c r="J448" s="3891"/>
      <c r="K448" s="3891"/>
      <c r="L448" s="3892"/>
      <c r="M448" s="3743"/>
      <c r="N448" s="1924"/>
      <c r="O448" s="1924"/>
      <c r="P448" s="1931"/>
      <c r="Q448" s="1924"/>
      <c r="R448" s="1924"/>
      <c r="S448" s="1924"/>
      <c r="T448" s="1924"/>
      <c r="U448" s="1924"/>
      <c r="V448" s="1924"/>
      <c r="W448" s="1924"/>
      <c r="X448" s="1924"/>
      <c r="Y448" s="1924"/>
      <c r="Z448" s="1924"/>
      <c r="AA448" s="1924"/>
      <c r="AB448" s="1924"/>
      <c r="AC448" s="1924"/>
      <c r="AD448" s="1924"/>
      <c r="AE448" s="1933"/>
      <c r="AF448" s="3897"/>
      <c r="AG448" s="3892"/>
      <c r="AH448" s="3892"/>
      <c r="AI448" s="3897"/>
      <c r="AJ448" s="3892"/>
      <c r="AK448" s="3892"/>
      <c r="AL448" s="1874"/>
      <c r="AM448" s="1714"/>
      <c r="AN448" s="1714"/>
      <c r="AO448" s="1714"/>
      <c r="AP448" s="1714"/>
      <c r="AQ448" s="1714"/>
      <c r="AR448" s="1714"/>
      <c r="AS448" s="1714"/>
      <c r="AT448" s="1714"/>
      <c r="AU448" s="1714"/>
      <c r="AV448" s="1714"/>
      <c r="AW448" s="1714"/>
      <c r="AX448" s="1714"/>
      <c r="AY448" s="1714"/>
      <c r="AZ448" s="1714"/>
      <c r="BA448" s="1714"/>
      <c r="BB448" s="1714"/>
      <c r="BC448" s="1714"/>
      <c r="BD448" s="1714"/>
      <c r="BE448" s="1714"/>
      <c r="BF448" s="1714"/>
    </row>
    <row r="449" spans="1:58" ht="11.25" customHeight="1">
      <c r="A449" s="1088" t="s">
        <v>1354</v>
      </c>
      <c r="D449" s="1082"/>
      <c r="E449" s="1092"/>
      <c r="F449" s="3895"/>
      <c r="G449" s="3853" t="s">
        <v>90</v>
      </c>
      <c r="H449" s="3885" t="s">
        <v>164</v>
      </c>
      <c r="I449" s="3886"/>
      <c r="J449" s="3883"/>
      <c r="K449" s="3887" t="s">
        <v>1488</v>
      </c>
      <c r="L449" s="3599" t="s">
        <v>6</v>
      </c>
      <c r="M449" s="3600"/>
      <c r="N449" s="1872"/>
      <c r="O449" s="1099" t="s">
        <v>421</v>
      </c>
      <c r="P449" s="1100"/>
      <c r="Q449" s="1100"/>
      <c r="R449" s="1100"/>
      <c r="S449" s="1100"/>
      <c r="T449" s="1100"/>
      <c r="U449" s="1100"/>
      <c r="V449" s="1100"/>
      <c r="W449" s="1100"/>
      <c r="X449" s="1100"/>
      <c r="Y449" s="1100"/>
      <c r="Z449" s="1100"/>
      <c r="AA449" s="1100"/>
      <c r="AB449" s="1100"/>
      <c r="AC449" s="1100"/>
      <c r="AD449" s="1100"/>
      <c r="AE449" s="1100"/>
      <c r="AF449" s="3876">
        <v>2025</v>
      </c>
      <c r="AG449" s="3877" t="s">
        <v>1447</v>
      </c>
      <c r="AH449" s="3877" t="s">
        <v>1487</v>
      </c>
      <c r="AI449" s="3876">
        <v>2025</v>
      </c>
      <c r="AJ449" s="3877" t="s">
        <v>1447</v>
      </c>
      <c r="AK449" s="3877" t="s">
        <v>1487</v>
      </c>
      <c r="AL449" s="1874"/>
      <c r="AM449" s="1714"/>
      <c r="AN449" s="1714"/>
      <c r="AO449" s="1714"/>
      <c r="AP449" s="1714"/>
      <c r="AQ449" s="1714"/>
      <c r="AR449" s="1714"/>
      <c r="AS449" s="1714"/>
      <c r="AT449" s="1714"/>
      <c r="AU449" s="1714"/>
      <c r="AV449" s="1714"/>
      <c r="AW449" s="1714"/>
      <c r="AX449" s="1714"/>
      <c r="AY449" s="1714"/>
      <c r="AZ449" s="1714"/>
      <c r="BA449" s="1714"/>
      <c r="BB449" s="1714"/>
      <c r="BC449" s="1714"/>
      <c r="BD449" s="1714"/>
      <c r="BE449" s="1714"/>
      <c r="BF449" s="1714"/>
    </row>
    <row r="450" spans="1:58" ht="11.25" customHeight="1">
      <c r="A450" s="1088" t="s">
        <v>1354</v>
      </c>
      <c r="D450" s="1082"/>
      <c r="E450" s="1092"/>
      <c r="F450" s="3895"/>
      <c r="G450" s="3875"/>
      <c r="H450" s="3885" t="s">
        <v>421</v>
      </c>
      <c r="I450" s="3886"/>
      <c r="J450" s="3883"/>
      <c r="K450" s="3887"/>
      <c r="L450" s="3599"/>
      <c r="M450" s="3600"/>
      <c r="N450" s="3878"/>
      <c r="O450" s="3879">
        <v>1</v>
      </c>
      <c r="P450" s="3880" t="s">
        <v>50</v>
      </c>
      <c r="Q450" s="3883" t="s">
        <v>1489</v>
      </c>
      <c r="R450" s="3884" t="s">
        <v>1457</v>
      </c>
      <c r="S450" s="3884" t="s">
        <v>136</v>
      </c>
      <c r="T450" s="3884" t="s">
        <v>136</v>
      </c>
      <c r="U450" s="3884" t="s">
        <v>137</v>
      </c>
      <c r="V450" s="3884" t="s">
        <v>1490</v>
      </c>
      <c r="W450" s="3884" t="s">
        <v>1491</v>
      </c>
      <c r="X450" s="3884" t="s">
        <v>1492</v>
      </c>
      <c r="Y450" s="3884" t="s">
        <v>1442</v>
      </c>
      <c r="Z450" s="1097"/>
      <c r="AA450" s="1098"/>
      <c r="AB450" s="1098"/>
      <c r="AC450" s="1102"/>
      <c r="AD450" s="1102"/>
      <c r="AE450" s="1103"/>
      <c r="AF450" s="3876"/>
      <c r="AG450" s="3877"/>
      <c r="AH450" s="3877"/>
      <c r="AI450" s="3876"/>
      <c r="AJ450" s="3877"/>
      <c r="AK450" s="3877"/>
      <c r="AL450" s="1874"/>
      <c r="AM450" s="1714"/>
      <c r="AN450" s="1714"/>
      <c r="AO450" s="1714"/>
      <c r="AP450" s="1714"/>
      <c r="AQ450" s="1714"/>
      <c r="AR450" s="1714"/>
      <c r="AS450" s="1714"/>
      <c r="AT450" s="1714"/>
      <c r="AU450" s="1714"/>
      <c r="AV450" s="1714"/>
      <c r="AW450" s="1714"/>
      <c r="AX450" s="1714"/>
      <c r="AY450" s="1714"/>
      <c r="AZ450" s="1714"/>
      <c r="BA450" s="1714"/>
      <c r="BB450" s="1714"/>
      <c r="BC450" s="1714"/>
      <c r="BD450" s="1714"/>
      <c r="BE450" s="1714"/>
      <c r="BF450" s="1714"/>
    </row>
    <row r="451" spans="1:58" ht="11.25" customHeight="1">
      <c r="A451" s="1088" t="s">
        <v>1354</v>
      </c>
      <c r="D451" s="1082"/>
      <c r="E451" s="1092"/>
      <c r="F451" s="3895"/>
      <c r="G451" s="3875"/>
      <c r="H451" s="3885" t="s">
        <v>421</v>
      </c>
      <c r="I451" s="3886"/>
      <c r="J451" s="3883"/>
      <c r="K451" s="3887"/>
      <c r="L451" s="3599"/>
      <c r="M451" s="3600"/>
      <c r="N451" s="3878"/>
      <c r="O451" s="3879"/>
      <c r="P451" s="3881"/>
      <c r="Q451" s="3883"/>
      <c r="R451" s="3874"/>
      <c r="S451" s="3884"/>
      <c r="T451" s="3874"/>
      <c r="U451" s="3874"/>
      <c r="V451" s="3874"/>
      <c r="W451" s="3874"/>
      <c r="X451" s="3874"/>
      <c r="Y451" s="3874"/>
      <c r="Z451" s="1719"/>
      <c r="AA451" s="1686">
        <v>1</v>
      </c>
      <c r="AB451" s="1101" t="s">
        <v>1443</v>
      </c>
      <c r="AC451" s="1091">
        <v>1710</v>
      </c>
      <c r="AD451" s="1101" t="str">
        <f>AB451</f>
        <v xml:space="preserve">  Прибыль направляемая на инвестиции</v>
      </c>
      <c r="AE451" s="1091">
        <v>0</v>
      </c>
      <c r="AF451" s="3876"/>
      <c r="AG451" s="3877"/>
      <c r="AH451" s="3877"/>
      <c r="AI451" s="3876"/>
      <c r="AJ451" s="3877"/>
      <c r="AK451" s="3877"/>
      <c r="AL451" s="1874"/>
      <c r="AM451" s="1714"/>
      <c r="AN451" s="1714"/>
      <c r="AO451" s="1714"/>
      <c r="AP451" s="1714"/>
      <c r="AQ451" s="1714"/>
      <c r="AR451" s="1714"/>
      <c r="AS451" s="1714"/>
      <c r="AT451" s="1714"/>
      <c r="AU451" s="1714"/>
      <c r="AV451" s="1714"/>
      <c r="AW451" s="1714"/>
      <c r="AX451" s="1714"/>
      <c r="AY451" s="1714"/>
      <c r="AZ451" s="1714"/>
      <c r="BA451" s="1714"/>
      <c r="BB451" s="1714"/>
      <c r="BC451" s="1714"/>
      <c r="BD451" s="1714"/>
      <c r="BE451" s="1714"/>
      <c r="BF451" s="1714"/>
    </row>
    <row r="452" spans="1:58" ht="11.25" customHeight="1">
      <c r="A452" s="1088" t="s">
        <v>1354</v>
      </c>
      <c r="D452" s="1082"/>
      <c r="E452" s="1092"/>
      <c r="F452" s="3895"/>
      <c r="G452" s="3875"/>
      <c r="H452" s="3885" t="s">
        <v>421</v>
      </c>
      <c r="I452" s="3886"/>
      <c r="J452" s="3883"/>
      <c r="K452" s="3887"/>
      <c r="L452" s="3599"/>
      <c r="M452" s="3600"/>
      <c r="N452" s="3878"/>
      <c r="O452" s="3879"/>
      <c r="P452" s="3882"/>
      <c r="Q452" s="3883"/>
      <c r="R452" s="3874"/>
      <c r="S452" s="3884"/>
      <c r="T452" s="3874"/>
      <c r="U452" s="3874"/>
      <c r="V452" s="3874"/>
      <c r="W452" s="3874"/>
      <c r="X452" s="3874"/>
      <c r="Y452" s="3874"/>
      <c r="Z452" s="1097"/>
      <c r="AA452" s="1098"/>
      <c r="AB452" s="1163" t="s">
        <v>1444</v>
      </c>
      <c r="AC452" s="1102"/>
      <c r="AD452" s="1102"/>
      <c r="AE452" s="1104"/>
      <c r="AF452" s="3876"/>
      <c r="AG452" s="3877"/>
      <c r="AH452" s="3877"/>
      <c r="AI452" s="3876"/>
      <c r="AJ452" s="3877"/>
      <c r="AK452" s="3877"/>
      <c r="AL452" s="1874"/>
      <c r="AM452" s="1714"/>
      <c r="AN452" s="1714"/>
      <c r="AO452" s="1714"/>
      <c r="AP452" s="1714"/>
      <c r="AQ452" s="1714"/>
      <c r="AR452" s="1714"/>
      <c r="AS452" s="1714"/>
      <c r="AT452" s="1714"/>
      <c r="AU452" s="1714"/>
      <c r="AV452" s="1714"/>
      <c r="AW452" s="1714"/>
      <c r="AX452" s="1714"/>
      <c r="AY452" s="1714"/>
      <c r="AZ452" s="1714"/>
      <c r="BA452" s="1714"/>
      <c r="BB452" s="1714"/>
      <c r="BC452" s="1714"/>
      <c r="BD452" s="1714"/>
      <c r="BE452" s="1714"/>
      <c r="BF452" s="1714"/>
    </row>
    <row r="453" spans="1:58" ht="11.25" customHeight="1">
      <c r="A453" s="1088" t="s">
        <v>1354</v>
      </c>
      <c r="D453" s="1082"/>
      <c r="E453" s="1092"/>
      <c r="F453" s="3895"/>
      <c r="G453" s="3875"/>
      <c r="H453" s="3885" t="s">
        <v>421</v>
      </c>
      <c r="I453" s="3886"/>
      <c r="J453" s="3883"/>
      <c r="K453" s="3887"/>
      <c r="L453" s="3599"/>
      <c r="M453" s="3600"/>
      <c r="N453" s="1097"/>
      <c r="O453" s="1098"/>
      <c r="P453" s="1090" t="s">
        <v>1445</v>
      </c>
      <c r="Q453" s="1098"/>
      <c r="R453" s="1098"/>
      <c r="S453" s="1098"/>
      <c r="T453" s="1098"/>
      <c r="U453" s="1098"/>
      <c r="V453" s="1098"/>
      <c r="W453" s="1098"/>
      <c r="X453" s="1098"/>
      <c r="Y453" s="1098"/>
      <c r="Z453" s="1098"/>
      <c r="AA453" s="1098"/>
      <c r="AB453" s="1098"/>
      <c r="AC453" s="1098"/>
      <c r="AD453" s="1098"/>
      <c r="AE453" s="1105"/>
      <c r="AF453" s="3876"/>
      <c r="AG453" s="3877"/>
      <c r="AH453" s="3877"/>
      <c r="AI453" s="3876"/>
      <c r="AJ453" s="3877"/>
      <c r="AK453" s="3877"/>
      <c r="AL453" s="1874"/>
      <c r="AM453" s="1714"/>
      <c r="AN453" s="1714"/>
      <c r="AO453" s="1714"/>
      <c r="AP453" s="1714"/>
      <c r="AQ453" s="1714"/>
      <c r="AR453" s="1714"/>
      <c r="AS453" s="1714"/>
      <c r="AT453" s="1714"/>
      <c r="AU453" s="1714"/>
      <c r="AV453" s="1714"/>
      <c r="AW453" s="1714"/>
      <c r="AX453" s="1714"/>
      <c r="AY453" s="1714"/>
      <c r="AZ453" s="1714"/>
      <c r="BA453" s="1714"/>
      <c r="BB453" s="1714"/>
      <c r="BC453" s="1714"/>
      <c r="BD453" s="1714"/>
      <c r="BE453" s="1714"/>
      <c r="BF453" s="1714"/>
    </row>
    <row r="454" spans="1:58" ht="12" customHeight="1">
      <c r="A454" s="1088" t="s">
        <v>1354</v>
      </c>
      <c r="D454" s="1082"/>
      <c r="E454" s="1092"/>
      <c r="F454" s="3896"/>
      <c r="G454" s="1112"/>
      <c r="H454" s="1112"/>
      <c r="I454" s="3893" t="s">
        <v>1451</v>
      </c>
      <c r="J454" s="3893"/>
      <c r="K454" s="3893"/>
      <c r="L454" s="1095"/>
      <c r="M454" s="1095"/>
      <c r="N454" s="1096"/>
      <c r="O454" s="1096"/>
      <c r="P454" s="1096"/>
      <c r="Q454" s="1096"/>
      <c r="R454" s="1096"/>
      <c r="S454" s="1096"/>
      <c r="T454" s="1096"/>
      <c r="U454" s="1096"/>
      <c r="V454" s="1096"/>
      <c r="W454" s="1096"/>
      <c r="X454" s="1096"/>
      <c r="Y454" s="1096"/>
      <c r="Z454" s="1096"/>
      <c r="AA454" s="1096"/>
      <c r="AB454" s="1096"/>
      <c r="AC454" s="1096"/>
      <c r="AD454" s="1096"/>
      <c r="AE454" s="1096"/>
      <c r="AF454" s="1096"/>
      <c r="AG454" s="1095"/>
      <c r="AH454" s="1095"/>
      <c r="AI454" s="1096"/>
      <c r="AJ454" s="1095"/>
      <c r="AK454" s="1096"/>
      <c r="AL454" s="1874"/>
      <c r="AM454" s="1714"/>
      <c r="AN454" s="1714"/>
      <c r="AO454" s="1714"/>
      <c r="AP454" s="1714"/>
      <c r="AQ454" s="1714"/>
      <c r="AR454" s="1714"/>
      <c r="AS454" s="1714"/>
      <c r="AT454" s="1714"/>
      <c r="AU454" s="1714"/>
      <c r="AV454" s="1714"/>
      <c r="AW454" s="1714"/>
      <c r="AX454" s="1714"/>
      <c r="AY454" s="1714"/>
      <c r="AZ454" s="1714"/>
      <c r="BA454" s="1714"/>
      <c r="BB454" s="1714"/>
      <c r="BC454" s="1714"/>
      <c r="BD454" s="1714"/>
      <c r="BE454" s="1714"/>
      <c r="BF454" s="1714"/>
    </row>
    <row r="455" spans="1:58" ht="0.75" customHeight="1">
      <c r="A455" s="1088" t="s">
        <v>1354</v>
      </c>
      <c r="D455" s="1082"/>
      <c r="E455" s="1092"/>
      <c r="F455" s="3894">
        <v>2028</v>
      </c>
      <c r="G455" s="3885"/>
      <c r="H455" s="3898" t="s">
        <v>421</v>
      </c>
      <c r="I455" s="3899"/>
      <c r="J455" s="3891"/>
      <c r="K455" s="3891"/>
      <c r="L455" s="3892"/>
      <c r="M455" s="3743"/>
      <c r="N455" s="1922"/>
      <c r="O455" s="1921"/>
      <c r="P455" s="1922"/>
      <c r="Q455" s="1922"/>
      <c r="R455" s="1922"/>
      <c r="S455" s="1922"/>
      <c r="T455" s="1922"/>
      <c r="U455" s="1922"/>
      <c r="V455" s="1922"/>
      <c r="W455" s="1922"/>
      <c r="X455" s="1922"/>
      <c r="Y455" s="1922"/>
      <c r="Z455" s="1922"/>
      <c r="AA455" s="1922"/>
      <c r="AB455" s="1922"/>
      <c r="AC455" s="1922"/>
      <c r="AD455" s="1922"/>
      <c r="AE455" s="1922"/>
      <c r="AF455" s="3897"/>
      <c r="AG455" s="3892"/>
      <c r="AH455" s="3892"/>
      <c r="AI455" s="3897"/>
      <c r="AJ455" s="3892"/>
      <c r="AK455" s="3892"/>
      <c r="AL455" s="1874"/>
      <c r="AM455" s="1714"/>
      <c r="AN455" s="1714"/>
      <c r="AO455" s="1714"/>
      <c r="AP455" s="1714"/>
      <c r="AQ455" s="1714"/>
      <c r="AR455" s="1714"/>
      <c r="AS455" s="1714"/>
      <c r="AT455" s="1714"/>
      <c r="AU455" s="1714"/>
      <c r="AV455" s="1714"/>
      <c r="AW455" s="1714"/>
      <c r="AX455" s="1714"/>
      <c r="AY455" s="1714"/>
      <c r="AZ455" s="1714"/>
      <c r="BA455" s="1714"/>
      <c r="BB455" s="1714"/>
      <c r="BC455" s="1714"/>
      <c r="BD455" s="1714"/>
      <c r="BE455" s="1714"/>
      <c r="BF455" s="1714"/>
    </row>
    <row r="456" spans="1:58" ht="0.75" customHeight="1">
      <c r="A456" s="1088" t="s">
        <v>1354</v>
      </c>
      <c r="D456" s="1082"/>
      <c r="E456" s="1092"/>
      <c r="F456" s="3894"/>
      <c r="G456" s="3885"/>
      <c r="H456" s="3898"/>
      <c r="I456" s="3899"/>
      <c r="J456" s="3891"/>
      <c r="K456" s="3891"/>
      <c r="L456" s="3892"/>
      <c r="M456" s="3743"/>
      <c r="N456" s="3900"/>
      <c r="O456" s="3901"/>
      <c r="P456" s="3888"/>
      <c r="Q456" s="3891"/>
      <c r="R456" s="3891"/>
      <c r="S456" s="3891"/>
      <c r="T456" s="3891"/>
      <c r="U456" s="3891"/>
      <c r="V456" s="3891"/>
      <c r="W456" s="3891"/>
      <c r="X456" s="3891"/>
      <c r="Y456" s="3891"/>
      <c r="Z456" s="1923"/>
      <c r="AA456" s="1924"/>
      <c r="AB456" s="1924"/>
      <c r="AC456" s="1925"/>
      <c r="AD456" s="1925"/>
      <c r="AE456" s="1926"/>
      <c r="AF456" s="3897"/>
      <c r="AG456" s="3892"/>
      <c r="AH456" s="3892"/>
      <c r="AI456" s="3897"/>
      <c r="AJ456" s="3892"/>
      <c r="AK456" s="3892"/>
      <c r="AL456" s="1874"/>
      <c r="AM456" s="1714"/>
      <c r="AN456" s="1714"/>
      <c r="AO456" s="1714"/>
      <c r="AP456" s="1714"/>
      <c r="AQ456" s="1714"/>
      <c r="AR456" s="1714"/>
      <c r="AS456" s="1714"/>
      <c r="AT456" s="1714"/>
      <c r="AU456" s="1714"/>
      <c r="AV456" s="1714"/>
      <c r="AW456" s="1714"/>
      <c r="AX456" s="1714"/>
      <c r="AY456" s="1714"/>
      <c r="AZ456" s="1714"/>
      <c r="BA456" s="1714"/>
      <c r="BB456" s="1714"/>
      <c r="BC456" s="1714"/>
      <c r="BD456" s="1714"/>
      <c r="BE456" s="1714"/>
      <c r="BF456" s="1714"/>
    </row>
    <row r="457" spans="1:58" ht="0.75" customHeight="1">
      <c r="A457" s="1088" t="s">
        <v>1354</v>
      </c>
      <c r="D457" s="1082"/>
      <c r="E457" s="1092"/>
      <c r="F457" s="3894"/>
      <c r="G457" s="3885"/>
      <c r="H457" s="3898"/>
      <c r="I457" s="3899"/>
      <c r="J457" s="3891"/>
      <c r="K457" s="3891"/>
      <c r="L457" s="3892"/>
      <c r="M457" s="3743"/>
      <c r="N457" s="3900"/>
      <c r="O457" s="3901"/>
      <c r="P457" s="3889"/>
      <c r="Q457" s="3891"/>
      <c r="R457" s="3891"/>
      <c r="S457" s="3891"/>
      <c r="T457" s="3891"/>
      <c r="U457" s="3891"/>
      <c r="V457" s="3891"/>
      <c r="W457" s="3891"/>
      <c r="X457" s="3891"/>
      <c r="Y457" s="3891"/>
      <c r="Z457" s="1927"/>
      <c r="AA457" s="1928"/>
      <c r="AB457" s="1929"/>
      <c r="AC457" s="1930"/>
      <c r="AD457" s="1929"/>
      <c r="AE457" s="1930"/>
      <c r="AF457" s="3897"/>
      <c r="AG457" s="3892"/>
      <c r="AH457" s="3892"/>
      <c r="AI457" s="3897"/>
      <c r="AJ457" s="3892"/>
      <c r="AK457" s="3892"/>
      <c r="AL457" s="1874"/>
      <c r="AM457" s="1714"/>
      <c r="AN457" s="1714"/>
      <c r="AO457" s="1714"/>
      <c r="AP457" s="1714"/>
      <c r="AQ457" s="1714"/>
      <c r="AR457" s="1714"/>
      <c r="AS457" s="1714"/>
      <c r="AT457" s="1714"/>
      <c r="AU457" s="1714"/>
      <c r="AV457" s="1714"/>
      <c r="AW457" s="1714"/>
      <c r="AX457" s="1714"/>
      <c r="AY457" s="1714"/>
      <c r="AZ457" s="1714"/>
      <c r="BA457" s="1714"/>
      <c r="BB457" s="1714"/>
      <c r="BC457" s="1714"/>
      <c r="BD457" s="1714"/>
      <c r="BE457" s="1714"/>
      <c r="BF457" s="1714"/>
    </row>
    <row r="458" spans="1:58" ht="0.75" customHeight="1">
      <c r="A458" s="1088" t="s">
        <v>1354</v>
      </c>
      <c r="D458" s="1082"/>
      <c r="E458" s="1092"/>
      <c r="F458" s="3894"/>
      <c r="G458" s="3885"/>
      <c r="H458" s="3898"/>
      <c r="I458" s="3899"/>
      <c r="J458" s="3891"/>
      <c r="K458" s="3891"/>
      <c r="L458" s="3892"/>
      <c r="M458" s="3743"/>
      <c r="N458" s="3900"/>
      <c r="O458" s="3901"/>
      <c r="P458" s="3890"/>
      <c r="Q458" s="3891"/>
      <c r="R458" s="3891"/>
      <c r="S458" s="3891"/>
      <c r="T458" s="3891"/>
      <c r="U458" s="3891"/>
      <c r="V458" s="3891"/>
      <c r="W458" s="3891"/>
      <c r="X458" s="3891"/>
      <c r="Y458" s="3891"/>
      <c r="Z458" s="1923"/>
      <c r="AA458" s="1924"/>
      <c r="AB458" s="1931"/>
      <c r="AC458" s="1925"/>
      <c r="AD458" s="1925"/>
      <c r="AE458" s="1932"/>
      <c r="AF458" s="3897"/>
      <c r="AG458" s="3892"/>
      <c r="AH458" s="3892"/>
      <c r="AI458" s="3897"/>
      <c r="AJ458" s="3892"/>
      <c r="AK458" s="3892"/>
      <c r="AL458" s="1874"/>
      <c r="AM458" s="1714"/>
      <c r="AN458" s="1714"/>
      <c r="AO458" s="1714"/>
      <c r="AP458" s="1714"/>
      <c r="AQ458" s="1714"/>
      <c r="AR458" s="1714"/>
      <c r="AS458" s="1714"/>
      <c r="AT458" s="1714"/>
      <c r="AU458" s="1714"/>
      <c r="AV458" s="1714"/>
      <c r="AW458" s="1714"/>
      <c r="AX458" s="1714"/>
      <c r="AY458" s="1714"/>
      <c r="AZ458" s="1714"/>
      <c r="BA458" s="1714"/>
      <c r="BB458" s="1714"/>
      <c r="BC458" s="1714"/>
      <c r="BD458" s="1714"/>
      <c r="BE458" s="1714"/>
      <c r="BF458" s="1714"/>
    </row>
    <row r="459" spans="1:58" ht="0.75" customHeight="1">
      <c r="A459" s="1088" t="s">
        <v>1354</v>
      </c>
      <c r="D459" s="1082"/>
      <c r="E459" s="1092"/>
      <c r="F459" s="3894"/>
      <c r="G459" s="3885"/>
      <c r="H459" s="3898"/>
      <c r="I459" s="3899"/>
      <c r="J459" s="3891"/>
      <c r="K459" s="3891"/>
      <c r="L459" s="3892"/>
      <c r="M459" s="3743"/>
      <c r="N459" s="1924"/>
      <c r="O459" s="1924"/>
      <c r="P459" s="1931"/>
      <c r="Q459" s="1924"/>
      <c r="R459" s="1924"/>
      <c r="S459" s="1924"/>
      <c r="T459" s="1924"/>
      <c r="U459" s="1924"/>
      <c r="V459" s="1924"/>
      <c r="W459" s="1924"/>
      <c r="X459" s="1924"/>
      <c r="Y459" s="1924"/>
      <c r="Z459" s="1924"/>
      <c r="AA459" s="1924"/>
      <c r="AB459" s="1924"/>
      <c r="AC459" s="1924"/>
      <c r="AD459" s="1924"/>
      <c r="AE459" s="1933"/>
      <c r="AF459" s="3897"/>
      <c r="AG459" s="3892"/>
      <c r="AH459" s="3892"/>
      <c r="AI459" s="3897"/>
      <c r="AJ459" s="3892"/>
      <c r="AK459" s="3892"/>
      <c r="AL459" s="1874"/>
      <c r="AM459" s="1714"/>
      <c r="AN459" s="1714"/>
      <c r="AO459" s="1714"/>
      <c r="AP459" s="1714"/>
      <c r="AQ459" s="1714"/>
      <c r="AR459" s="1714"/>
      <c r="AS459" s="1714"/>
      <c r="AT459" s="1714"/>
      <c r="AU459" s="1714"/>
      <c r="AV459" s="1714"/>
      <c r="AW459" s="1714"/>
      <c r="AX459" s="1714"/>
      <c r="AY459" s="1714"/>
      <c r="AZ459" s="1714"/>
      <c r="BA459" s="1714"/>
      <c r="BB459" s="1714"/>
      <c r="BC459" s="1714"/>
      <c r="BD459" s="1714"/>
      <c r="BE459" s="1714"/>
      <c r="BF459" s="1714"/>
    </row>
    <row r="460" spans="1:58" ht="11.25" customHeight="1">
      <c r="A460" s="1088" t="s">
        <v>1354</v>
      </c>
      <c r="D460" s="1082"/>
      <c r="E460" s="1092"/>
      <c r="F460" s="3895"/>
      <c r="G460" s="3853" t="s">
        <v>90</v>
      </c>
      <c r="H460" s="3885" t="s">
        <v>164</v>
      </c>
      <c r="I460" s="3886"/>
      <c r="J460" s="3883"/>
      <c r="K460" s="3887" t="s">
        <v>1488</v>
      </c>
      <c r="L460" s="3599" t="s">
        <v>6</v>
      </c>
      <c r="M460" s="3600"/>
      <c r="N460" s="1872"/>
      <c r="O460" s="1099" t="s">
        <v>421</v>
      </c>
      <c r="P460" s="1100"/>
      <c r="Q460" s="1100"/>
      <c r="R460" s="1100"/>
      <c r="S460" s="1100"/>
      <c r="T460" s="1100"/>
      <c r="U460" s="1100"/>
      <c r="V460" s="1100"/>
      <c r="W460" s="1100"/>
      <c r="X460" s="1100"/>
      <c r="Y460" s="1100"/>
      <c r="Z460" s="1100"/>
      <c r="AA460" s="1100"/>
      <c r="AB460" s="1100"/>
      <c r="AC460" s="1100"/>
      <c r="AD460" s="1100"/>
      <c r="AE460" s="1100"/>
      <c r="AF460" s="3876">
        <v>2025</v>
      </c>
      <c r="AG460" s="3877" t="s">
        <v>1447</v>
      </c>
      <c r="AH460" s="3877" t="s">
        <v>1487</v>
      </c>
      <c r="AI460" s="3876">
        <v>2025</v>
      </c>
      <c r="AJ460" s="3877" t="s">
        <v>1447</v>
      </c>
      <c r="AK460" s="3877" t="s">
        <v>1487</v>
      </c>
      <c r="AL460" s="1874"/>
      <c r="AM460" s="1714"/>
      <c r="AN460" s="1714"/>
      <c r="AO460" s="1714"/>
      <c r="AP460" s="1714"/>
      <c r="AQ460" s="1714"/>
      <c r="AR460" s="1714"/>
      <c r="AS460" s="1714"/>
      <c r="AT460" s="1714"/>
      <c r="AU460" s="1714"/>
      <c r="AV460" s="1714"/>
      <c r="AW460" s="1714"/>
      <c r="AX460" s="1714"/>
      <c r="AY460" s="1714"/>
      <c r="AZ460" s="1714"/>
      <c r="BA460" s="1714"/>
      <c r="BB460" s="1714"/>
      <c r="BC460" s="1714"/>
      <c r="BD460" s="1714"/>
      <c r="BE460" s="1714"/>
      <c r="BF460" s="1714"/>
    </row>
    <row r="461" spans="1:58" ht="11.25" customHeight="1">
      <c r="A461" s="1088" t="s">
        <v>1354</v>
      </c>
      <c r="D461" s="1082"/>
      <c r="E461" s="1092"/>
      <c r="F461" s="3895"/>
      <c r="G461" s="3875"/>
      <c r="H461" s="3885" t="s">
        <v>421</v>
      </c>
      <c r="I461" s="3886"/>
      <c r="J461" s="3883"/>
      <c r="K461" s="3887"/>
      <c r="L461" s="3599"/>
      <c r="M461" s="3600"/>
      <c r="N461" s="3878"/>
      <c r="O461" s="3879">
        <v>1</v>
      </c>
      <c r="P461" s="3880" t="s">
        <v>50</v>
      </c>
      <c r="Q461" s="3883" t="s">
        <v>1489</v>
      </c>
      <c r="R461" s="3884" t="s">
        <v>1457</v>
      </c>
      <c r="S461" s="3884" t="s">
        <v>136</v>
      </c>
      <c r="T461" s="3884" t="s">
        <v>136</v>
      </c>
      <c r="U461" s="3884" t="s">
        <v>137</v>
      </c>
      <c r="V461" s="3884" t="s">
        <v>1490</v>
      </c>
      <c r="W461" s="3884" t="s">
        <v>1491</v>
      </c>
      <c r="X461" s="3884" t="s">
        <v>1492</v>
      </c>
      <c r="Y461" s="3884" t="s">
        <v>1442</v>
      </c>
      <c r="Z461" s="1097"/>
      <c r="AA461" s="1098"/>
      <c r="AB461" s="1098"/>
      <c r="AC461" s="1102"/>
      <c r="AD461" s="1102"/>
      <c r="AE461" s="1103"/>
      <c r="AF461" s="3876"/>
      <c r="AG461" s="3877"/>
      <c r="AH461" s="3877"/>
      <c r="AI461" s="3876"/>
      <c r="AJ461" s="3877"/>
      <c r="AK461" s="3877"/>
      <c r="AL461" s="1874"/>
      <c r="AM461" s="1714"/>
      <c r="AN461" s="1714"/>
      <c r="AO461" s="1714"/>
      <c r="AP461" s="1714"/>
      <c r="AQ461" s="1714"/>
      <c r="AR461" s="1714"/>
      <c r="AS461" s="1714"/>
      <c r="AT461" s="1714"/>
      <c r="AU461" s="1714"/>
      <c r="AV461" s="1714"/>
      <c r="AW461" s="1714"/>
      <c r="AX461" s="1714"/>
      <c r="AY461" s="1714"/>
      <c r="AZ461" s="1714"/>
      <c r="BA461" s="1714"/>
      <c r="BB461" s="1714"/>
      <c r="BC461" s="1714"/>
      <c r="BD461" s="1714"/>
      <c r="BE461" s="1714"/>
      <c r="BF461" s="1714"/>
    </row>
    <row r="462" spans="1:58" ht="11.25" customHeight="1">
      <c r="A462" s="1088" t="s">
        <v>1354</v>
      </c>
      <c r="D462" s="1082"/>
      <c r="E462" s="1092"/>
      <c r="F462" s="3895"/>
      <c r="G462" s="3875"/>
      <c r="H462" s="3885" t="s">
        <v>421</v>
      </c>
      <c r="I462" s="3886"/>
      <c r="J462" s="3883"/>
      <c r="K462" s="3887"/>
      <c r="L462" s="3599"/>
      <c r="M462" s="3600"/>
      <c r="N462" s="3878"/>
      <c r="O462" s="3879"/>
      <c r="P462" s="3881"/>
      <c r="Q462" s="3883"/>
      <c r="R462" s="3874"/>
      <c r="S462" s="3884"/>
      <c r="T462" s="3874"/>
      <c r="U462" s="3874"/>
      <c r="V462" s="3874"/>
      <c r="W462" s="3874"/>
      <c r="X462" s="3874"/>
      <c r="Y462" s="3874"/>
      <c r="Z462" s="1719"/>
      <c r="AA462" s="1686">
        <v>1</v>
      </c>
      <c r="AB462" s="1101" t="s">
        <v>1443</v>
      </c>
      <c r="AC462" s="1091">
        <v>1710</v>
      </c>
      <c r="AD462" s="1101" t="str">
        <f>AB462</f>
        <v xml:space="preserve">  Прибыль направляемая на инвестиции</v>
      </c>
      <c r="AE462" s="1091">
        <v>0</v>
      </c>
      <c r="AF462" s="3876"/>
      <c r="AG462" s="3877"/>
      <c r="AH462" s="3877"/>
      <c r="AI462" s="3876"/>
      <c r="AJ462" s="3877"/>
      <c r="AK462" s="3877"/>
      <c r="AL462" s="1874"/>
      <c r="AM462" s="1714"/>
      <c r="AN462" s="1714"/>
      <c r="AO462" s="1714"/>
      <c r="AP462" s="1714"/>
      <c r="AQ462" s="1714"/>
      <c r="AR462" s="1714"/>
      <c r="AS462" s="1714"/>
      <c r="AT462" s="1714"/>
      <c r="AU462" s="1714"/>
      <c r="AV462" s="1714"/>
      <c r="AW462" s="1714"/>
      <c r="AX462" s="1714"/>
      <c r="AY462" s="1714"/>
      <c r="AZ462" s="1714"/>
      <c r="BA462" s="1714"/>
      <c r="BB462" s="1714"/>
      <c r="BC462" s="1714"/>
      <c r="BD462" s="1714"/>
      <c r="BE462" s="1714"/>
      <c r="BF462" s="1714"/>
    </row>
    <row r="463" spans="1:58" ht="11.25" customHeight="1">
      <c r="A463" s="1088" t="s">
        <v>1354</v>
      </c>
      <c r="D463" s="1082"/>
      <c r="E463" s="1092"/>
      <c r="F463" s="3895"/>
      <c r="G463" s="3875"/>
      <c r="H463" s="3885" t="s">
        <v>421</v>
      </c>
      <c r="I463" s="3886"/>
      <c r="J463" s="3883"/>
      <c r="K463" s="3887"/>
      <c r="L463" s="3599"/>
      <c r="M463" s="3600"/>
      <c r="N463" s="3878"/>
      <c r="O463" s="3879"/>
      <c r="P463" s="3882"/>
      <c r="Q463" s="3883"/>
      <c r="R463" s="3874"/>
      <c r="S463" s="3884"/>
      <c r="T463" s="3874"/>
      <c r="U463" s="3874"/>
      <c r="V463" s="3874"/>
      <c r="W463" s="3874"/>
      <c r="X463" s="3874"/>
      <c r="Y463" s="3874"/>
      <c r="Z463" s="1097"/>
      <c r="AA463" s="1098"/>
      <c r="AB463" s="1163" t="s">
        <v>1444</v>
      </c>
      <c r="AC463" s="1102"/>
      <c r="AD463" s="1102"/>
      <c r="AE463" s="1104"/>
      <c r="AF463" s="3876"/>
      <c r="AG463" s="3877"/>
      <c r="AH463" s="3877"/>
      <c r="AI463" s="3876"/>
      <c r="AJ463" s="3877"/>
      <c r="AK463" s="3877"/>
      <c r="AL463" s="1874"/>
      <c r="AM463" s="1714"/>
      <c r="AN463" s="1714"/>
      <c r="AO463" s="1714"/>
      <c r="AP463" s="1714"/>
      <c r="AQ463" s="1714"/>
      <c r="AR463" s="1714"/>
      <c r="AS463" s="1714"/>
      <c r="AT463" s="1714"/>
      <c r="AU463" s="1714"/>
      <c r="AV463" s="1714"/>
      <c r="AW463" s="1714"/>
      <c r="AX463" s="1714"/>
      <c r="AY463" s="1714"/>
      <c r="AZ463" s="1714"/>
      <c r="BA463" s="1714"/>
      <c r="BB463" s="1714"/>
      <c r="BC463" s="1714"/>
      <c r="BD463" s="1714"/>
      <c r="BE463" s="1714"/>
      <c r="BF463" s="1714"/>
    </row>
    <row r="464" spans="1:58" ht="11.25" customHeight="1">
      <c r="A464" s="1088" t="s">
        <v>1354</v>
      </c>
      <c r="D464" s="1082"/>
      <c r="E464" s="1092"/>
      <c r="F464" s="3895"/>
      <c r="G464" s="3875"/>
      <c r="H464" s="3885" t="s">
        <v>421</v>
      </c>
      <c r="I464" s="3886"/>
      <c r="J464" s="3883"/>
      <c r="K464" s="3887"/>
      <c r="L464" s="3599"/>
      <c r="M464" s="3600"/>
      <c r="N464" s="1097"/>
      <c r="O464" s="1098"/>
      <c r="P464" s="1090" t="s">
        <v>1445</v>
      </c>
      <c r="Q464" s="1098"/>
      <c r="R464" s="1098"/>
      <c r="S464" s="1098"/>
      <c r="T464" s="1098"/>
      <c r="U464" s="1098"/>
      <c r="V464" s="1098"/>
      <c r="W464" s="1098"/>
      <c r="X464" s="1098"/>
      <c r="Y464" s="1098"/>
      <c r="Z464" s="1098"/>
      <c r="AA464" s="1098"/>
      <c r="AB464" s="1098"/>
      <c r="AC464" s="1098"/>
      <c r="AD464" s="1098"/>
      <c r="AE464" s="1105"/>
      <c r="AF464" s="3876"/>
      <c r="AG464" s="3877"/>
      <c r="AH464" s="3877"/>
      <c r="AI464" s="3876"/>
      <c r="AJ464" s="3877"/>
      <c r="AK464" s="3877"/>
      <c r="AL464" s="1874"/>
      <c r="AM464" s="1714"/>
      <c r="AN464" s="1714"/>
      <c r="AO464" s="1714"/>
      <c r="AP464" s="1714"/>
      <c r="AQ464" s="1714"/>
      <c r="AR464" s="1714"/>
      <c r="AS464" s="1714"/>
      <c r="AT464" s="1714"/>
      <c r="AU464" s="1714"/>
      <c r="AV464" s="1714"/>
      <c r="AW464" s="1714"/>
      <c r="AX464" s="1714"/>
      <c r="AY464" s="1714"/>
      <c r="AZ464" s="1714"/>
      <c r="BA464" s="1714"/>
      <c r="BB464" s="1714"/>
      <c r="BC464" s="1714"/>
      <c r="BD464" s="1714"/>
      <c r="BE464" s="1714"/>
      <c r="BF464" s="1714"/>
    </row>
    <row r="465" spans="1:58" ht="12" customHeight="1">
      <c r="A465" s="1088" t="s">
        <v>1354</v>
      </c>
      <c r="D465" s="1082"/>
      <c r="E465" s="1092"/>
      <c r="F465" s="3896"/>
      <c r="G465" s="1112"/>
      <c r="H465" s="1112"/>
      <c r="I465" s="3893" t="s">
        <v>1451</v>
      </c>
      <c r="J465" s="3893"/>
      <c r="K465" s="3893"/>
      <c r="L465" s="1095"/>
      <c r="M465" s="1095"/>
      <c r="N465" s="1096"/>
      <c r="O465" s="1096"/>
      <c r="P465" s="1096"/>
      <c r="Q465" s="1096"/>
      <c r="R465" s="1096"/>
      <c r="S465" s="1096"/>
      <c r="T465" s="1096"/>
      <c r="U465" s="1096"/>
      <c r="V465" s="1096"/>
      <c r="W465" s="1096"/>
      <c r="X465" s="1096"/>
      <c r="Y465" s="1096"/>
      <c r="Z465" s="1096"/>
      <c r="AA465" s="1096"/>
      <c r="AB465" s="1096"/>
      <c r="AC465" s="1096"/>
      <c r="AD465" s="1096"/>
      <c r="AE465" s="1096"/>
      <c r="AF465" s="1096"/>
      <c r="AG465" s="1095"/>
      <c r="AH465" s="1095"/>
      <c r="AI465" s="1096"/>
      <c r="AJ465" s="1095"/>
      <c r="AK465" s="1096"/>
      <c r="AL465" s="1874"/>
      <c r="AM465" s="1714"/>
      <c r="AN465" s="1714"/>
      <c r="AO465" s="1714"/>
      <c r="AP465" s="1714"/>
      <c r="AQ465" s="1714"/>
      <c r="AR465" s="1714"/>
      <c r="AS465" s="1714"/>
      <c r="AT465" s="1714"/>
      <c r="AU465" s="1714"/>
      <c r="AV465" s="1714"/>
      <c r="AW465" s="1714"/>
      <c r="AX465" s="1714"/>
      <c r="AY465" s="1714"/>
      <c r="AZ465" s="1714"/>
      <c r="BA465" s="1714"/>
      <c r="BB465" s="1714"/>
      <c r="BC465" s="1714"/>
      <c r="BD465" s="1714"/>
      <c r="BE465" s="1714"/>
      <c r="BF465" s="1714"/>
    </row>
    <row r="466" spans="1:58" ht="0.75" customHeight="1">
      <c r="A466" s="1088" t="s">
        <v>1354</v>
      </c>
      <c r="D466" s="1082"/>
      <c r="E466" s="1092"/>
      <c r="F466" s="3894">
        <v>2029</v>
      </c>
      <c r="G466" s="3885"/>
      <c r="H466" s="3898" t="s">
        <v>421</v>
      </c>
      <c r="I466" s="3899"/>
      <c r="J466" s="3891"/>
      <c r="K466" s="3891"/>
      <c r="L466" s="3892"/>
      <c r="M466" s="3743"/>
      <c r="N466" s="1922"/>
      <c r="O466" s="1921"/>
      <c r="P466" s="1922"/>
      <c r="Q466" s="1922"/>
      <c r="R466" s="1922"/>
      <c r="S466" s="1922"/>
      <c r="T466" s="1922"/>
      <c r="U466" s="1922"/>
      <c r="V466" s="1922"/>
      <c r="W466" s="1922"/>
      <c r="X466" s="1922"/>
      <c r="Y466" s="1922"/>
      <c r="Z466" s="1922"/>
      <c r="AA466" s="1922"/>
      <c r="AB466" s="1922"/>
      <c r="AC466" s="1922"/>
      <c r="AD466" s="1922"/>
      <c r="AE466" s="1922"/>
      <c r="AF466" s="3897"/>
      <c r="AG466" s="3892"/>
      <c r="AH466" s="3892"/>
      <c r="AI466" s="3897"/>
      <c r="AJ466" s="3892"/>
      <c r="AK466" s="3892"/>
      <c r="AL466" s="1874"/>
      <c r="AM466" s="1714"/>
      <c r="AN466" s="1714"/>
      <c r="AO466" s="1714"/>
      <c r="AP466" s="1714"/>
      <c r="AQ466" s="1714"/>
      <c r="AR466" s="1714"/>
      <c r="AS466" s="1714"/>
      <c r="AT466" s="1714"/>
      <c r="AU466" s="1714"/>
      <c r="AV466" s="1714"/>
      <c r="AW466" s="1714"/>
      <c r="AX466" s="1714"/>
      <c r="AY466" s="1714"/>
      <c r="AZ466" s="1714"/>
      <c r="BA466" s="1714"/>
      <c r="BB466" s="1714"/>
      <c r="BC466" s="1714"/>
      <c r="BD466" s="1714"/>
      <c r="BE466" s="1714"/>
      <c r="BF466" s="1714"/>
    </row>
    <row r="467" spans="1:58" ht="0.75" customHeight="1">
      <c r="A467" s="1088" t="s">
        <v>1354</v>
      </c>
      <c r="D467" s="1082"/>
      <c r="E467" s="1092"/>
      <c r="F467" s="3894"/>
      <c r="G467" s="3885"/>
      <c r="H467" s="3898"/>
      <c r="I467" s="3899"/>
      <c r="J467" s="3891"/>
      <c r="K467" s="3891"/>
      <c r="L467" s="3892"/>
      <c r="M467" s="3743"/>
      <c r="N467" s="3900"/>
      <c r="O467" s="3901"/>
      <c r="P467" s="3888"/>
      <c r="Q467" s="3891"/>
      <c r="R467" s="3891"/>
      <c r="S467" s="3891"/>
      <c r="T467" s="3891"/>
      <c r="U467" s="3891"/>
      <c r="V467" s="3891"/>
      <c r="W467" s="3891"/>
      <c r="X467" s="3891"/>
      <c r="Y467" s="3891"/>
      <c r="Z467" s="1923"/>
      <c r="AA467" s="1924"/>
      <c r="AB467" s="1924"/>
      <c r="AC467" s="1925"/>
      <c r="AD467" s="1925"/>
      <c r="AE467" s="1926"/>
      <c r="AF467" s="3897"/>
      <c r="AG467" s="3892"/>
      <c r="AH467" s="3892"/>
      <c r="AI467" s="3897"/>
      <c r="AJ467" s="3892"/>
      <c r="AK467" s="3892"/>
      <c r="AL467" s="1874"/>
      <c r="AM467" s="1714"/>
      <c r="AN467" s="1714"/>
      <c r="AO467" s="1714"/>
      <c r="AP467" s="1714"/>
      <c r="AQ467" s="1714"/>
      <c r="AR467" s="1714"/>
      <c r="AS467" s="1714"/>
      <c r="AT467" s="1714"/>
      <c r="AU467" s="1714"/>
      <c r="AV467" s="1714"/>
      <c r="AW467" s="1714"/>
      <c r="AX467" s="1714"/>
      <c r="AY467" s="1714"/>
      <c r="AZ467" s="1714"/>
      <c r="BA467" s="1714"/>
      <c r="BB467" s="1714"/>
      <c r="BC467" s="1714"/>
      <c r="BD467" s="1714"/>
      <c r="BE467" s="1714"/>
      <c r="BF467" s="1714"/>
    </row>
    <row r="468" spans="1:58" ht="0.75" customHeight="1">
      <c r="A468" s="1088" t="s">
        <v>1354</v>
      </c>
      <c r="D468" s="1082"/>
      <c r="E468" s="1092"/>
      <c r="F468" s="3894"/>
      <c r="G468" s="3885"/>
      <c r="H468" s="3898"/>
      <c r="I468" s="3899"/>
      <c r="J468" s="3891"/>
      <c r="K468" s="3891"/>
      <c r="L468" s="3892"/>
      <c r="M468" s="3743"/>
      <c r="N468" s="3900"/>
      <c r="O468" s="3901"/>
      <c r="P468" s="3889"/>
      <c r="Q468" s="3891"/>
      <c r="R468" s="3891"/>
      <c r="S468" s="3891"/>
      <c r="T468" s="3891"/>
      <c r="U468" s="3891"/>
      <c r="V468" s="3891"/>
      <c r="W468" s="3891"/>
      <c r="X468" s="3891"/>
      <c r="Y468" s="3891"/>
      <c r="Z468" s="1927"/>
      <c r="AA468" s="1928"/>
      <c r="AB468" s="1929"/>
      <c r="AC468" s="1930"/>
      <c r="AD468" s="1929"/>
      <c r="AE468" s="1930"/>
      <c r="AF468" s="3897"/>
      <c r="AG468" s="3892"/>
      <c r="AH468" s="3892"/>
      <c r="AI468" s="3897"/>
      <c r="AJ468" s="3892"/>
      <c r="AK468" s="3892"/>
      <c r="AL468" s="1874"/>
      <c r="AM468" s="1714"/>
      <c r="AN468" s="1714"/>
      <c r="AO468" s="1714"/>
      <c r="AP468" s="1714"/>
      <c r="AQ468" s="1714"/>
      <c r="AR468" s="1714"/>
      <c r="AS468" s="1714"/>
      <c r="AT468" s="1714"/>
      <c r="AU468" s="1714"/>
      <c r="AV468" s="1714"/>
      <c r="AW468" s="1714"/>
      <c r="AX468" s="1714"/>
      <c r="AY468" s="1714"/>
      <c r="AZ468" s="1714"/>
      <c r="BA468" s="1714"/>
      <c r="BB468" s="1714"/>
      <c r="BC468" s="1714"/>
      <c r="BD468" s="1714"/>
      <c r="BE468" s="1714"/>
      <c r="BF468" s="1714"/>
    </row>
    <row r="469" spans="1:58" ht="0.75" customHeight="1">
      <c r="A469" s="1088" t="s">
        <v>1354</v>
      </c>
      <c r="D469" s="1082"/>
      <c r="E469" s="1092"/>
      <c r="F469" s="3894"/>
      <c r="G469" s="3885"/>
      <c r="H469" s="3898"/>
      <c r="I469" s="3899"/>
      <c r="J469" s="3891"/>
      <c r="K469" s="3891"/>
      <c r="L469" s="3892"/>
      <c r="M469" s="3743"/>
      <c r="N469" s="3900"/>
      <c r="O469" s="3901"/>
      <c r="P469" s="3890"/>
      <c r="Q469" s="3891"/>
      <c r="R469" s="3891"/>
      <c r="S469" s="3891"/>
      <c r="T469" s="3891"/>
      <c r="U469" s="3891"/>
      <c r="V469" s="3891"/>
      <c r="W469" s="3891"/>
      <c r="X469" s="3891"/>
      <c r="Y469" s="3891"/>
      <c r="Z469" s="1923"/>
      <c r="AA469" s="1924"/>
      <c r="AB469" s="1931"/>
      <c r="AC469" s="1925"/>
      <c r="AD469" s="1925"/>
      <c r="AE469" s="1932"/>
      <c r="AF469" s="3897"/>
      <c r="AG469" s="3892"/>
      <c r="AH469" s="3892"/>
      <c r="AI469" s="3897"/>
      <c r="AJ469" s="3892"/>
      <c r="AK469" s="3892"/>
      <c r="AL469" s="1874"/>
      <c r="AM469" s="1714"/>
      <c r="AN469" s="1714"/>
      <c r="AO469" s="1714"/>
      <c r="AP469" s="1714"/>
      <c r="AQ469" s="1714"/>
      <c r="AR469" s="1714"/>
      <c r="AS469" s="1714"/>
      <c r="AT469" s="1714"/>
      <c r="AU469" s="1714"/>
      <c r="AV469" s="1714"/>
      <c r="AW469" s="1714"/>
      <c r="AX469" s="1714"/>
      <c r="AY469" s="1714"/>
      <c r="AZ469" s="1714"/>
      <c r="BA469" s="1714"/>
      <c r="BB469" s="1714"/>
      <c r="BC469" s="1714"/>
      <c r="BD469" s="1714"/>
      <c r="BE469" s="1714"/>
      <c r="BF469" s="1714"/>
    </row>
    <row r="470" spans="1:58" ht="0.75" customHeight="1">
      <c r="A470" s="1088" t="s">
        <v>1354</v>
      </c>
      <c r="D470" s="1082"/>
      <c r="E470" s="1092"/>
      <c r="F470" s="3894"/>
      <c r="G470" s="3885"/>
      <c r="H470" s="3898"/>
      <c r="I470" s="3899"/>
      <c r="J470" s="3891"/>
      <c r="K470" s="3891"/>
      <c r="L470" s="3892"/>
      <c r="M470" s="3743"/>
      <c r="N470" s="1924"/>
      <c r="O470" s="1924"/>
      <c r="P470" s="1931"/>
      <c r="Q470" s="1924"/>
      <c r="R470" s="1924"/>
      <c r="S470" s="1924"/>
      <c r="T470" s="1924"/>
      <c r="U470" s="1924"/>
      <c r="V470" s="1924"/>
      <c r="W470" s="1924"/>
      <c r="X470" s="1924"/>
      <c r="Y470" s="1924"/>
      <c r="Z470" s="1924"/>
      <c r="AA470" s="1924"/>
      <c r="AB470" s="1924"/>
      <c r="AC470" s="1924"/>
      <c r="AD470" s="1924"/>
      <c r="AE470" s="1933"/>
      <c r="AF470" s="3897"/>
      <c r="AG470" s="3892"/>
      <c r="AH470" s="3892"/>
      <c r="AI470" s="3897"/>
      <c r="AJ470" s="3892"/>
      <c r="AK470" s="3892"/>
      <c r="AL470" s="1874"/>
      <c r="AM470" s="1714"/>
      <c r="AN470" s="1714"/>
      <c r="AO470" s="1714"/>
      <c r="AP470" s="1714"/>
      <c r="AQ470" s="1714"/>
      <c r="AR470" s="1714"/>
      <c r="AS470" s="1714"/>
      <c r="AT470" s="1714"/>
      <c r="AU470" s="1714"/>
      <c r="AV470" s="1714"/>
      <c r="AW470" s="1714"/>
      <c r="AX470" s="1714"/>
      <c r="AY470" s="1714"/>
      <c r="AZ470" s="1714"/>
      <c r="BA470" s="1714"/>
      <c r="BB470" s="1714"/>
      <c r="BC470" s="1714"/>
      <c r="BD470" s="1714"/>
      <c r="BE470" s="1714"/>
      <c r="BF470" s="1714"/>
    </row>
    <row r="471" spans="1:58" ht="11.25" customHeight="1">
      <c r="A471" s="1088" t="s">
        <v>1354</v>
      </c>
      <c r="D471" s="1082"/>
      <c r="E471" s="1092"/>
      <c r="F471" s="3895"/>
      <c r="G471" s="3853" t="s">
        <v>90</v>
      </c>
      <c r="H471" s="3885" t="s">
        <v>164</v>
      </c>
      <c r="I471" s="3886"/>
      <c r="J471" s="3883"/>
      <c r="K471" s="3887" t="s">
        <v>1488</v>
      </c>
      <c r="L471" s="3599" t="s">
        <v>6</v>
      </c>
      <c r="M471" s="3600"/>
      <c r="N471" s="1872"/>
      <c r="O471" s="1099" t="s">
        <v>421</v>
      </c>
      <c r="P471" s="1100"/>
      <c r="Q471" s="1100"/>
      <c r="R471" s="1100"/>
      <c r="S471" s="1100"/>
      <c r="T471" s="1100"/>
      <c r="U471" s="1100"/>
      <c r="V471" s="1100"/>
      <c r="W471" s="1100"/>
      <c r="X471" s="1100"/>
      <c r="Y471" s="1100"/>
      <c r="Z471" s="1100"/>
      <c r="AA471" s="1100"/>
      <c r="AB471" s="1100"/>
      <c r="AC471" s="1100"/>
      <c r="AD471" s="1100"/>
      <c r="AE471" s="1100"/>
      <c r="AF471" s="3876">
        <v>2025</v>
      </c>
      <c r="AG471" s="3877" t="s">
        <v>1447</v>
      </c>
      <c r="AH471" s="3877" t="s">
        <v>1487</v>
      </c>
      <c r="AI471" s="3876">
        <v>2025</v>
      </c>
      <c r="AJ471" s="3877" t="s">
        <v>1447</v>
      </c>
      <c r="AK471" s="3877" t="s">
        <v>1487</v>
      </c>
      <c r="AL471" s="1874"/>
      <c r="AM471" s="1714"/>
      <c r="AN471" s="1714"/>
      <c r="AO471" s="1714"/>
      <c r="AP471" s="1714"/>
      <c r="AQ471" s="1714"/>
      <c r="AR471" s="1714"/>
      <c r="AS471" s="1714"/>
      <c r="AT471" s="1714"/>
      <c r="AU471" s="1714"/>
      <c r="AV471" s="1714"/>
      <c r="AW471" s="1714"/>
      <c r="AX471" s="1714"/>
      <c r="AY471" s="1714"/>
      <c r="AZ471" s="1714"/>
      <c r="BA471" s="1714"/>
      <c r="BB471" s="1714"/>
      <c r="BC471" s="1714"/>
      <c r="BD471" s="1714"/>
      <c r="BE471" s="1714"/>
      <c r="BF471" s="1714"/>
    </row>
    <row r="472" spans="1:58" ht="11.25" customHeight="1">
      <c r="A472" s="1088" t="s">
        <v>1354</v>
      </c>
      <c r="D472" s="1082"/>
      <c r="E472" s="1092"/>
      <c r="F472" s="3895"/>
      <c r="G472" s="3875"/>
      <c r="H472" s="3885" t="s">
        <v>421</v>
      </c>
      <c r="I472" s="3886"/>
      <c r="J472" s="3883"/>
      <c r="K472" s="3887"/>
      <c r="L472" s="3599"/>
      <c r="M472" s="3600"/>
      <c r="N472" s="3878"/>
      <c r="O472" s="3879">
        <v>1</v>
      </c>
      <c r="P472" s="3880" t="s">
        <v>50</v>
      </c>
      <c r="Q472" s="3883" t="s">
        <v>1489</v>
      </c>
      <c r="R472" s="3884" t="s">
        <v>1457</v>
      </c>
      <c r="S472" s="3884" t="s">
        <v>136</v>
      </c>
      <c r="T472" s="3884" t="s">
        <v>136</v>
      </c>
      <c r="U472" s="3884" t="s">
        <v>137</v>
      </c>
      <c r="V472" s="3884" t="s">
        <v>1490</v>
      </c>
      <c r="W472" s="3884" t="s">
        <v>1491</v>
      </c>
      <c r="X472" s="3884" t="s">
        <v>1492</v>
      </c>
      <c r="Y472" s="3884" t="s">
        <v>1442</v>
      </c>
      <c r="Z472" s="1097"/>
      <c r="AA472" s="1098"/>
      <c r="AB472" s="1098"/>
      <c r="AC472" s="1102"/>
      <c r="AD472" s="1102"/>
      <c r="AE472" s="1103"/>
      <c r="AF472" s="3876"/>
      <c r="AG472" s="3877"/>
      <c r="AH472" s="3877"/>
      <c r="AI472" s="3876"/>
      <c r="AJ472" s="3877"/>
      <c r="AK472" s="3877"/>
      <c r="AL472" s="1874"/>
      <c r="AM472" s="1714"/>
      <c r="AN472" s="1714"/>
      <c r="AO472" s="1714"/>
      <c r="AP472" s="1714"/>
      <c r="AQ472" s="1714"/>
      <c r="AR472" s="1714"/>
      <c r="AS472" s="1714"/>
      <c r="AT472" s="1714"/>
      <c r="AU472" s="1714"/>
      <c r="AV472" s="1714"/>
      <c r="AW472" s="1714"/>
      <c r="AX472" s="1714"/>
      <c r="AY472" s="1714"/>
      <c r="AZ472" s="1714"/>
      <c r="BA472" s="1714"/>
      <c r="BB472" s="1714"/>
      <c r="BC472" s="1714"/>
      <c r="BD472" s="1714"/>
      <c r="BE472" s="1714"/>
      <c r="BF472" s="1714"/>
    </row>
    <row r="473" spans="1:58" ht="11.25" customHeight="1">
      <c r="A473" s="1088" t="s">
        <v>1354</v>
      </c>
      <c r="D473" s="1082"/>
      <c r="E473" s="1092"/>
      <c r="F473" s="3895"/>
      <c r="G473" s="3875"/>
      <c r="H473" s="3885" t="s">
        <v>421</v>
      </c>
      <c r="I473" s="3886"/>
      <c r="J473" s="3883"/>
      <c r="K473" s="3887"/>
      <c r="L473" s="3599"/>
      <c r="M473" s="3600"/>
      <c r="N473" s="3878"/>
      <c r="O473" s="3879"/>
      <c r="P473" s="3881"/>
      <c r="Q473" s="3883"/>
      <c r="R473" s="3874"/>
      <c r="S473" s="3884"/>
      <c r="T473" s="3874"/>
      <c r="U473" s="3874"/>
      <c r="V473" s="3874"/>
      <c r="W473" s="3874"/>
      <c r="X473" s="3874"/>
      <c r="Y473" s="3874"/>
      <c r="Z473" s="1719"/>
      <c r="AA473" s="1686">
        <v>1</v>
      </c>
      <c r="AB473" s="1101" t="s">
        <v>1443</v>
      </c>
      <c r="AC473" s="1091">
        <v>1710</v>
      </c>
      <c r="AD473" s="1101" t="str">
        <f>AB473</f>
        <v xml:space="preserve">  Прибыль направляемая на инвестиции</v>
      </c>
      <c r="AE473" s="1091">
        <v>0</v>
      </c>
      <c r="AF473" s="3876"/>
      <c r="AG473" s="3877"/>
      <c r="AH473" s="3877"/>
      <c r="AI473" s="3876"/>
      <c r="AJ473" s="3877"/>
      <c r="AK473" s="3877"/>
      <c r="AL473" s="1874"/>
      <c r="AM473" s="1714"/>
      <c r="AN473" s="1714"/>
      <c r="AO473" s="1714"/>
      <c r="AP473" s="1714"/>
      <c r="AQ473" s="1714"/>
      <c r="AR473" s="1714"/>
      <c r="AS473" s="1714"/>
      <c r="AT473" s="1714"/>
      <c r="AU473" s="1714"/>
      <c r="AV473" s="1714"/>
      <c r="AW473" s="1714"/>
      <c r="AX473" s="1714"/>
      <c r="AY473" s="1714"/>
      <c r="AZ473" s="1714"/>
      <c r="BA473" s="1714"/>
      <c r="BB473" s="1714"/>
      <c r="BC473" s="1714"/>
      <c r="BD473" s="1714"/>
      <c r="BE473" s="1714"/>
      <c r="BF473" s="1714"/>
    </row>
    <row r="474" spans="1:58" ht="11.25" customHeight="1">
      <c r="A474" s="1088" t="s">
        <v>1354</v>
      </c>
      <c r="D474" s="1082"/>
      <c r="E474" s="1092"/>
      <c r="F474" s="3895"/>
      <c r="G474" s="3875"/>
      <c r="H474" s="3885" t="s">
        <v>421</v>
      </c>
      <c r="I474" s="3886"/>
      <c r="J474" s="3883"/>
      <c r="K474" s="3887"/>
      <c r="L474" s="3599"/>
      <c r="M474" s="3600"/>
      <c r="N474" s="3878"/>
      <c r="O474" s="3879"/>
      <c r="P474" s="3882"/>
      <c r="Q474" s="3883"/>
      <c r="R474" s="3874"/>
      <c r="S474" s="3884"/>
      <c r="T474" s="3874"/>
      <c r="U474" s="3874"/>
      <c r="V474" s="3874"/>
      <c r="W474" s="3874"/>
      <c r="X474" s="3874"/>
      <c r="Y474" s="3874"/>
      <c r="Z474" s="1097"/>
      <c r="AA474" s="1098"/>
      <c r="AB474" s="1163" t="s">
        <v>1444</v>
      </c>
      <c r="AC474" s="1102"/>
      <c r="AD474" s="1102"/>
      <c r="AE474" s="1104"/>
      <c r="AF474" s="3876"/>
      <c r="AG474" s="3877"/>
      <c r="AH474" s="3877"/>
      <c r="AI474" s="3876"/>
      <c r="AJ474" s="3877"/>
      <c r="AK474" s="3877"/>
      <c r="AL474" s="1874"/>
      <c r="AM474" s="1714"/>
      <c r="AN474" s="1714"/>
      <c r="AO474" s="1714"/>
      <c r="AP474" s="1714"/>
      <c r="AQ474" s="1714"/>
      <c r="AR474" s="1714"/>
      <c r="AS474" s="1714"/>
      <c r="AT474" s="1714"/>
      <c r="AU474" s="1714"/>
      <c r="AV474" s="1714"/>
      <c r="AW474" s="1714"/>
      <c r="AX474" s="1714"/>
      <c r="AY474" s="1714"/>
      <c r="AZ474" s="1714"/>
      <c r="BA474" s="1714"/>
      <c r="BB474" s="1714"/>
      <c r="BC474" s="1714"/>
      <c r="BD474" s="1714"/>
      <c r="BE474" s="1714"/>
      <c r="BF474" s="1714"/>
    </row>
    <row r="475" spans="1:58" ht="11.25" customHeight="1">
      <c r="A475" s="1088" t="s">
        <v>1354</v>
      </c>
      <c r="D475" s="1082"/>
      <c r="E475" s="1092"/>
      <c r="F475" s="3895"/>
      <c r="G475" s="3875"/>
      <c r="H475" s="3885" t="s">
        <v>421</v>
      </c>
      <c r="I475" s="3886"/>
      <c r="J475" s="3883"/>
      <c r="K475" s="3887"/>
      <c r="L475" s="3599"/>
      <c r="M475" s="3600"/>
      <c r="N475" s="1097"/>
      <c r="O475" s="1098"/>
      <c r="P475" s="1090" t="s">
        <v>1445</v>
      </c>
      <c r="Q475" s="1098"/>
      <c r="R475" s="1098"/>
      <c r="S475" s="1098"/>
      <c r="T475" s="1098"/>
      <c r="U475" s="1098"/>
      <c r="V475" s="1098"/>
      <c r="W475" s="1098"/>
      <c r="X475" s="1098"/>
      <c r="Y475" s="1098"/>
      <c r="Z475" s="1098"/>
      <c r="AA475" s="1098"/>
      <c r="AB475" s="1098"/>
      <c r="AC475" s="1098"/>
      <c r="AD475" s="1098"/>
      <c r="AE475" s="1105"/>
      <c r="AF475" s="3876"/>
      <c r="AG475" s="3877"/>
      <c r="AH475" s="3877"/>
      <c r="AI475" s="3876"/>
      <c r="AJ475" s="3877"/>
      <c r="AK475" s="3877"/>
      <c r="AL475" s="1874"/>
      <c r="AM475" s="1714"/>
      <c r="AN475" s="1714"/>
      <c r="AO475" s="1714"/>
      <c r="AP475" s="1714"/>
      <c r="AQ475" s="1714"/>
      <c r="AR475" s="1714"/>
      <c r="AS475" s="1714"/>
      <c r="AT475" s="1714"/>
      <c r="AU475" s="1714"/>
      <c r="AV475" s="1714"/>
      <c r="AW475" s="1714"/>
      <c r="AX475" s="1714"/>
      <c r="AY475" s="1714"/>
      <c r="AZ475" s="1714"/>
      <c r="BA475" s="1714"/>
      <c r="BB475" s="1714"/>
      <c r="BC475" s="1714"/>
      <c r="BD475" s="1714"/>
      <c r="BE475" s="1714"/>
      <c r="BF475" s="1714"/>
    </row>
    <row r="476" spans="1:58" ht="12" customHeight="1">
      <c r="A476" s="1088" t="s">
        <v>1354</v>
      </c>
      <c r="D476" s="1082"/>
      <c r="E476" s="1092"/>
      <c r="F476" s="3896"/>
      <c r="G476" s="1112"/>
      <c r="H476" s="1112"/>
      <c r="I476" s="3893" t="s">
        <v>1451</v>
      </c>
      <c r="J476" s="3893"/>
      <c r="K476" s="3893"/>
      <c r="L476" s="1095"/>
      <c r="M476" s="1095"/>
      <c r="N476" s="1096"/>
      <c r="O476" s="1096"/>
      <c r="P476" s="1096"/>
      <c r="Q476" s="1096"/>
      <c r="R476" s="1096"/>
      <c r="S476" s="1096"/>
      <c r="T476" s="1096"/>
      <c r="U476" s="1096"/>
      <c r="V476" s="1096"/>
      <c r="W476" s="1096"/>
      <c r="X476" s="1096"/>
      <c r="Y476" s="1096"/>
      <c r="Z476" s="1096"/>
      <c r="AA476" s="1096"/>
      <c r="AB476" s="1096"/>
      <c r="AC476" s="1096"/>
      <c r="AD476" s="1096"/>
      <c r="AE476" s="1096"/>
      <c r="AF476" s="1096"/>
      <c r="AG476" s="1095"/>
      <c r="AH476" s="1095"/>
      <c r="AI476" s="1096"/>
      <c r="AJ476" s="1095"/>
      <c r="AK476" s="1096"/>
      <c r="AL476" s="1874"/>
      <c r="AM476" s="1714"/>
      <c r="AN476" s="1714"/>
      <c r="AO476" s="1714"/>
      <c r="AP476" s="1714"/>
      <c r="AQ476" s="1714"/>
      <c r="AR476" s="1714"/>
      <c r="AS476" s="1714"/>
      <c r="AT476" s="1714"/>
      <c r="AU476" s="1714"/>
      <c r="AV476" s="1714"/>
      <c r="AW476" s="1714"/>
      <c r="AX476" s="1714"/>
      <c r="AY476" s="1714"/>
      <c r="AZ476" s="1714"/>
      <c r="BA476" s="1714"/>
      <c r="BB476" s="1714"/>
      <c r="BC476" s="1714"/>
      <c r="BD476" s="1714"/>
      <c r="BE476" s="1714"/>
      <c r="BF476" s="1714"/>
    </row>
    <row r="477" spans="1:58" ht="0.75" customHeight="1">
      <c r="A477" s="1088" t="s">
        <v>1354</v>
      </c>
      <c r="D477" s="1082"/>
      <c r="E477" s="1092"/>
      <c r="F477" s="3894">
        <v>2030</v>
      </c>
      <c r="G477" s="3885"/>
      <c r="H477" s="3898" t="s">
        <v>421</v>
      </c>
      <c r="I477" s="3899"/>
      <c r="J477" s="3891"/>
      <c r="K477" s="3891"/>
      <c r="L477" s="3892"/>
      <c r="M477" s="3743"/>
      <c r="N477" s="1922"/>
      <c r="O477" s="1921"/>
      <c r="P477" s="1922"/>
      <c r="Q477" s="1922"/>
      <c r="R477" s="1922"/>
      <c r="S477" s="1922"/>
      <c r="T477" s="1922"/>
      <c r="U477" s="1922"/>
      <c r="V477" s="1922"/>
      <c r="W477" s="1922"/>
      <c r="X477" s="1922"/>
      <c r="Y477" s="1922"/>
      <c r="Z477" s="1922"/>
      <c r="AA477" s="1922"/>
      <c r="AB477" s="1922"/>
      <c r="AC477" s="1922"/>
      <c r="AD477" s="1922"/>
      <c r="AE477" s="1922"/>
      <c r="AF477" s="3897"/>
      <c r="AG477" s="3892"/>
      <c r="AH477" s="3892"/>
      <c r="AI477" s="3897"/>
      <c r="AJ477" s="3892"/>
      <c r="AK477" s="3892"/>
      <c r="AL477" s="1874"/>
      <c r="AM477" s="1714"/>
      <c r="AN477" s="1714"/>
      <c r="AO477" s="1714"/>
      <c r="AP477" s="1714"/>
      <c r="AQ477" s="1714"/>
      <c r="AR477" s="1714"/>
      <c r="AS477" s="1714"/>
      <c r="AT477" s="1714"/>
      <c r="AU477" s="1714"/>
      <c r="AV477" s="1714"/>
      <c r="AW477" s="1714"/>
      <c r="AX477" s="1714"/>
      <c r="AY477" s="1714"/>
      <c r="AZ477" s="1714"/>
      <c r="BA477" s="1714"/>
      <c r="BB477" s="1714"/>
      <c r="BC477" s="1714"/>
      <c r="BD477" s="1714"/>
      <c r="BE477" s="1714"/>
      <c r="BF477" s="1714"/>
    </row>
    <row r="478" spans="1:58" ht="0.75" customHeight="1">
      <c r="A478" s="1088" t="s">
        <v>1354</v>
      </c>
      <c r="D478" s="1082"/>
      <c r="E478" s="1092"/>
      <c r="F478" s="3894"/>
      <c r="G478" s="3885"/>
      <c r="H478" s="3898"/>
      <c r="I478" s="3899"/>
      <c r="J478" s="3891"/>
      <c r="K478" s="3891"/>
      <c r="L478" s="3892"/>
      <c r="M478" s="3743"/>
      <c r="N478" s="3900"/>
      <c r="O478" s="3901"/>
      <c r="P478" s="3888"/>
      <c r="Q478" s="3891"/>
      <c r="R478" s="3891"/>
      <c r="S478" s="3891"/>
      <c r="T478" s="3891"/>
      <c r="U478" s="3891"/>
      <c r="V478" s="3891"/>
      <c r="W478" s="3891"/>
      <c r="X478" s="3891"/>
      <c r="Y478" s="3891"/>
      <c r="Z478" s="1923"/>
      <c r="AA478" s="1924"/>
      <c r="AB478" s="1924"/>
      <c r="AC478" s="1925"/>
      <c r="AD478" s="1925"/>
      <c r="AE478" s="1926"/>
      <c r="AF478" s="3897"/>
      <c r="AG478" s="3892"/>
      <c r="AH478" s="3892"/>
      <c r="AI478" s="3897"/>
      <c r="AJ478" s="3892"/>
      <c r="AK478" s="3892"/>
      <c r="AL478" s="1874"/>
      <c r="AM478" s="1714"/>
      <c r="AN478" s="1714"/>
      <c r="AO478" s="1714"/>
      <c r="AP478" s="1714"/>
      <c r="AQ478" s="1714"/>
      <c r="AR478" s="1714"/>
      <c r="AS478" s="1714"/>
      <c r="AT478" s="1714"/>
      <c r="AU478" s="1714"/>
      <c r="AV478" s="1714"/>
      <c r="AW478" s="1714"/>
      <c r="AX478" s="1714"/>
      <c r="AY478" s="1714"/>
      <c r="AZ478" s="1714"/>
      <c r="BA478" s="1714"/>
      <c r="BB478" s="1714"/>
      <c r="BC478" s="1714"/>
      <c r="BD478" s="1714"/>
      <c r="BE478" s="1714"/>
      <c r="BF478" s="1714"/>
    </row>
    <row r="479" spans="1:58" ht="0.75" customHeight="1">
      <c r="A479" s="1088" t="s">
        <v>1354</v>
      </c>
      <c r="D479" s="1082"/>
      <c r="E479" s="1092"/>
      <c r="F479" s="3894"/>
      <c r="G479" s="3885"/>
      <c r="H479" s="3898"/>
      <c r="I479" s="3899"/>
      <c r="J479" s="3891"/>
      <c r="K479" s="3891"/>
      <c r="L479" s="3892"/>
      <c r="M479" s="3743"/>
      <c r="N479" s="3900"/>
      <c r="O479" s="3901"/>
      <c r="P479" s="3889"/>
      <c r="Q479" s="3891"/>
      <c r="R479" s="3891"/>
      <c r="S479" s="3891"/>
      <c r="T479" s="3891"/>
      <c r="U479" s="3891"/>
      <c r="V479" s="3891"/>
      <c r="W479" s="3891"/>
      <c r="X479" s="3891"/>
      <c r="Y479" s="3891"/>
      <c r="Z479" s="1927"/>
      <c r="AA479" s="1928"/>
      <c r="AB479" s="1929"/>
      <c r="AC479" s="1930"/>
      <c r="AD479" s="1929"/>
      <c r="AE479" s="1930"/>
      <c r="AF479" s="3897"/>
      <c r="AG479" s="3892"/>
      <c r="AH479" s="3892"/>
      <c r="AI479" s="3897"/>
      <c r="AJ479" s="3892"/>
      <c r="AK479" s="3892"/>
      <c r="AL479" s="1874"/>
      <c r="AM479" s="1714"/>
      <c r="AN479" s="1714"/>
      <c r="AO479" s="1714"/>
      <c r="AP479" s="1714"/>
      <c r="AQ479" s="1714"/>
      <c r="AR479" s="1714"/>
      <c r="AS479" s="1714"/>
      <c r="AT479" s="1714"/>
      <c r="AU479" s="1714"/>
      <c r="AV479" s="1714"/>
      <c r="AW479" s="1714"/>
      <c r="AX479" s="1714"/>
      <c r="AY479" s="1714"/>
      <c r="AZ479" s="1714"/>
      <c r="BA479" s="1714"/>
      <c r="BB479" s="1714"/>
      <c r="BC479" s="1714"/>
      <c r="BD479" s="1714"/>
      <c r="BE479" s="1714"/>
      <c r="BF479" s="1714"/>
    </row>
    <row r="480" spans="1:58" ht="0.75" customHeight="1">
      <c r="A480" s="1088" t="s">
        <v>1354</v>
      </c>
      <c r="D480" s="1082"/>
      <c r="E480" s="1092"/>
      <c r="F480" s="3894"/>
      <c r="G480" s="3885"/>
      <c r="H480" s="3898"/>
      <c r="I480" s="3899"/>
      <c r="J480" s="3891"/>
      <c r="K480" s="3891"/>
      <c r="L480" s="3892"/>
      <c r="M480" s="3743"/>
      <c r="N480" s="3900"/>
      <c r="O480" s="3901"/>
      <c r="P480" s="3890"/>
      <c r="Q480" s="3891"/>
      <c r="R480" s="3891"/>
      <c r="S480" s="3891"/>
      <c r="T480" s="3891"/>
      <c r="U480" s="3891"/>
      <c r="V480" s="3891"/>
      <c r="W480" s="3891"/>
      <c r="X480" s="3891"/>
      <c r="Y480" s="3891"/>
      <c r="Z480" s="1923"/>
      <c r="AA480" s="1924"/>
      <c r="AB480" s="1931"/>
      <c r="AC480" s="1925"/>
      <c r="AD480" s="1925"/>
      <c r="AE480" s="1932"/>
      <c r="AF480" s="3897"/>
      <c r="AG480" s="3892"/>
      <c r="AH480" s="3892"/>
      <c r="AI480" s="3897"/>
      <c r="AJ480" s="3892"/>
      <c r="AK480" s="3892"/>
      <c r="AL480" s="1874"/>
      <c r="AM480" s="1714"/>
      <c r="AN480" s="1714"/>
      <c r="AO480" s="1714"/>
      <c r="AP480" s="1714"/>
      <c r="AQ480" s="1714"/>
      <c r="AR480" s="1714"/>
      <c r="AS480" s="1714"/>
      <c r="AT480" s="1714"/>
      <c r="AU480" s="1714"/>
      <c r="AV480" s="1714"/>
      <c r="AW480" s="1714"/>
      <c r="AX480" s="1714"/>
      <c r="AY480" s="1714"/>
      <c r="AZ480" s="1714"/>
      <c r="BA480" s="1714"/>
      <c r="BB480" s="1714"/>
      <c r="BC480" s="1714"/>
      <c r="BD480" s="1714"/>
      <c r="BE480" s="1714"/>
      <c r="BF480" s="1714"/>
    </row>
    <row r="481" spans="1:58" ht="0.75" customHeight="1">
      <c r="A481" s="1088" t="s">
        <v>1354</v>
      </c>
      <c r="D481" s="1082"/>
      <c r="E481" s="1092"/>
      <c r="F481" s="3894"/>
      <c r="G481" s="3885"/>
      <c r="H481" s="3898"/>
      <c r="I481" s="3899"/>
      <c r="J481" s="3891"/>
      <c r="K481" s="3891"/>
      <c r="L481" s="3892"/>
      <c r="M481" s="3743"/>
      <c r="N481" s="1924"/>
      <c r="O481" s="1924"/>
      <c r="P481" s="1931"/>
      <c r="Q481" s="1924"/>
      <c r="R481" s="1924"/>
      <c r="S481" s="1924"/>
      <c r="T481" s="1924"/>
      <c r="U481" s="1924"/>
      <c r="V481" s="1924"/>
      <c r="W481" s="1924"/>
      <c r="X481" s="1924"/>
      <c r="Y481" s="1924"/>
      <c r="Z481" s="1924"/>
      <c r="AA481" s="1924"/>
      <c r="AB481" s="1924"/>
      <c r="AC481" s="1924"/>
      <c r="AD481" s="1924"/>
      <c r="AE481" s="1933"/>
      <c r="AF481" s="3897"/>
      <c r="AG481" s="3892"/>
      <c r="AH481" s="3892"/>
      <c r="AI481" s="3897"/>
      <c r="AJ481" s="3892"/>
      <c r="AK481" s="3892"/>
      <c r="AL481" s="1874"/>
      <c r="AM481" s="1714"/>
      <c r="AN481" s="1714"/>
      <c r="AO481" s="1714"/>
      <c r="AP481" s="1714"/>
      <c r="AQ481" s="1714"/>
      <c r="AR481" s="1714"/>
      <c r="AS481" s="1714"/>
      <c r="AT481" s="1714"/>
      <c r="AU481" s="1714"/>
      <c r="AV481" s="1714"/>
      <c r="AW481" s="1714"/>
      <c r="AX481" s="1714"/>
      <c r="AY481" s="1714"/>
      <c r="AZ481" s="1714"/>
      <c r="BA481" s="1714"/>
      <c r="BB481" s="1714"/>
      <c r="BC481" s="1714"/>
      <c r="BD481" s="1714"/>
      <c r="BE481" s="1714"/>
      <c r="BF481" s="1714"/>
    </row>
    <row r="482" spans="1:58" ht="11.25" customHeight="1">
      <c r="A482" s="1088" t="s">
        <v>1354</v>
      </c>
      <c r="D482" s="1082"/>
      <c r="E482" s="1092"/>
      <c r="F482" s="3895"/>
      <c r="G482" s="3853" t="s">
        <v>90</v>
      </c>
      <c r="H482" s="3885" t="s">
        <v>164</v>
      </c>
      <c r="I482" s="3886"/>
      <c r="J482" s="3883"/>
      <c r="K482" s="3887" t="s">
        <v>1488</v>
      </c>
      <c r="L482" s="3599" t="s">
        <v>6</v>
      </c>
      <c r="M482" s="3600"/>
      <c r="N482" s="1872"/>
      <c r="O482" s="1099" t="s">
        <v>421</v>
      </c>
      <c r="P482" s="1100"/>
      <c r="Q482" s="1100"/>
      <c r="R482" s="1100"/>
      <c r="S482" s="1100"/>
      <c r="T482" s="1100"/>
      <c r="U482" s="1100"/>
      <c r="V482" s="1100"/>
      <c r="W482" s="1100"/>
      <c r="X482" s="1100"/>
      <c r="Y482" s="1100"/>
      <c r="Z482" s="1100"/>
      <c r="AA482" s="1100"/>
      <c r="AB482" s="1100"/>
      <c r="AC482" s="1100"/>
      <c r="AD482" s="1100"/>
      <c r="AE482" s="1100"/>
      <c r="AF482" s="3876">
        <v>2025</v>
      </c>
      <c r="AG482" s="3877" t="s">
        <v>1447</v>
      </c>
      <c r="AH482" s="3877" t="s">
        <v>1487</v>
      </c>
      <c r="AI482" s="3876">
        <v>2025</v>
      </c>
      <c r="AJ482" s="3877" t="s">
        <v>1447</v>
      </c>
      <c r="AK482" s="3877" t="s">
        <v>1487</v>
      </c>
      <c r="AL482" s="1874"/>
      <c r="AM482" s="1714"/>
      <c r="AN482" s="1714"/>
      <c r="AO482" s="1714"/>
      <c r="AP482" s="1714"/>
      <c r="AQ482" s="1714"/>
      <c r="AR482" s="1714"/>
      <c r="AS482" s="1714"/>
      <c r="AT482" s="1714"/>
      <c r="AU482" s="1714"/>
      <c r="AV482" s="1714"/>
      <c r="AW482" s="1714"/>
      <c r="AX482" s="1714"/>
      <c r="AY482" s="1714"/>
      <c r="AZ482" s="1714"/>
      <c r="BA482" s="1714"/>
      <c r="BB482" s="1714"/>
      <c r="BC482" s="1714"/>
      <c r="BD482" s="1714"/>
      <c r="BE482" s="1714"/>
      <c r="BF482" s="1714"/>
    </row>
    <row r="483" spans="1:58" ht="11.25" customHeight="1">
      <c r="A483" s="1088" t="s">
        <v>1354</v>
      </c>
      <c r="D483" s="1082"/>
      <c r="E483" s="1092"/>
      <c r="F483" s="3895"/>
      <c r="G483" s="3875"/>
      <c r="H483" s="3885" t="s">
        <v>421</v>
      </c>
      <c r="I483" s="3886"/>
      <c r="J483" s="3883"/>
      <c r="K483" s="3887"/>
      <c r="L483" s="3599"/>
      <c r="M483" s="3600"/>
      <c r="N483" s="3878"/>
      <c r="O483" s="3879">
        <v>1</v>
      </c>
      <c r="P483" s="3880" t="s">
        <v>50</v>
      </c>
      <c r="Q483" s="3883" t="s">
        <v>1489</v>
      </c>
      <c r="R483" s="3884" t="s">
        <v>1457</v>
      </c>
      <c r="S483" s="3884" t="s">
        <v>136</v>
      </c>
      <c r="T483" s="3884" t="s">
        <v>136</v>
      </c>
      <c r="U483" s="3884" t="s">
        <v>137</v>
      </c>
      <c r="V483" s="3884" t="s">
        <v>1490</v>
      </c>
      <c r="W483" s="3884" t="s">
        <v>1491</v>
      </c>
      <c r="X483" s="3884" t="s">
        <v>1492</v>
      </c>
      <c r="Y483" s="3884" t="s">
        <v>1442</v>
      </c>
      <c r="Z483" s="1097"/>
      <c r="AA483" s="1098"/>
      <c r="AB483" s="1098"/>
      <c r="AC483" s="1102"/>
      <c r="AD483" s="1102"/>
      <c r="AE483" s="1103"/>
      <c r="AF483" s="3876"/>
      <c r="AG483" s="3877"/>
      <c r="AH483" s="3877"/>
      <c r="AI483" s="3876"/>
      <c r="AJ483" s="3877"/>
      <c r="AK483" s="3877"/>
      <c r="AL483" s="1874"/>
      <c r="AM483" s="1714"/>
      <c r="AN483" s="1714"/>
      <c r="AO483" s="1714"/>
      <c r="AP483" s="1714"/>
      <c r="AQ483" s="1714"/>
      <c r="AR483" s="1714"/>
      <c r="AS483" s="1714"/>
      <c r="AT483" s="1714"/>
      <c r="AU483" s="1714"/>
      <c r="AV483" s="1714"/>
      <c r="AW483" s="1714"/>
      <c r="AX483" s="1714"/>
      <c r="AY483" s="1714"/>
      <c r="AZ483" s="1714"/>
      <c r="BA483" s="1714"/>
      <c r="BB483" s="1714"/>
      <c r="BC483" s="1714"/>
      <c r="BD483" s="1714"/>
      <c r="BE483" s="1714"/>
      <c r="BF483" s="1714"/>
    </row>
    <row r="484" spans="1:58" ht="11.25" customHeight="1">
      <c r="A484" s="1088" t="s">
        <v>1354</v>
      </c>
      <c r="D484" s="1082"/>
      <c r="E484" s="1092"/>
      <c r="F484" s="3895"/>
      <c r="G484" s="3875"/>
      <c r="H484" s="3885" t="s">
        <v>421</v>
      </c>
      <c r="I484" s="3886"/>
      <c r="J484" s="3883"/>
      <c r="K484" s="3887"/>
      <c r="L484" s="3599"/>
      <c r="M484" s="3600"/>
      <c r="N484" s="3878"/>
      <c r="O484" s="3879"/>
      <c r="P484" s="3881"/>
      <c r="Q484" s="3883"/>
      <c r="R484" s="3874"/>
      <c r="S484" s="3884"/>
      <c r="T484" s="3874"/>
      <c r="U484" s="3874"/>
      <c r="V484" s="3874"/>
      <c r="W484" s="3874"/>
      <c r="X484" s="3874"/>
      <c r="Y484" s="3874"/>
      <c r="Z484" s="1719"/>
      <c r="AA484" s="1686">
        <v>1</v>
      </c>
      <c r="AB484" s="1101" t="s">
        <v>1443</v>
      </c>
      <c r="AC484" s="1091">
        <v>1710</v>
      </c>
      <c r="AD484" s="1101" t="str">
        <f>AB484</f>
        <v xml:space="preserve">  Прибыль направляемая на инвестиции</v>
      </c>
      <c r="AE484" s="1091">
        <v>0</v>
      </c>
      <c r="AF484" s="3876"/>
      <c r="AG484" s="3877"/>
      <c r="AH484" s="3877"/>
      <c r="AI484" s="3876"/>
      <c r="AJ484" s="3877"/>
      <c r="AK484" s="3877"/>
      <c r="AL484" s="1874"/>
      <c r="AM484" s="1714"/>
      <c r="AN484" s="1714"/>
      <c r="AO484" s="1714"/>
      <c r="AP484" s="1714"/>
      <c r="AQ484" s="1714"/>
      <c r="AR484" s="1714"/>
      <c r="AS484" s="1714"/>
      <c r="AT484" s="1714"/>
      <c r="AU484" s="1714"/>
      <c r="AV484" s="1714"/>
      <c r="AW484" s="1714"/>
      <c r="AX484" s="1714"/>
      <c r="AY484" s="1714"/>
      <c r="AZ484" s="1714"/>
      <c r="BA484" s="1714"/>
      <c r="BB484" s="1714"/>
      <c r="BC484" s="1714"/>
      <c r="BD484" s="1714"/>
      <c r="BE484" s="1714"/>
      <c r="BF484" s="1714"/>
    </row>
    <row r="485" spans="1:58" ht="11.25" customHeight="1">
      <c r="A485" s="1088" t="s">
        <v>1354</v>
      </c>
      <c r="D485" s="1082"/>
      <c r="E485" s="1092"/>
      <c r="F485" s="3895"/>
      <c r="G485" s="3875"/>
      <c r="H485" s="3885" t="s">
        <v>421</v>
      </c>
      <c r="I485" s="3886"/>
      <c r="J485" s="3883"/>
      <c r="K485" s="3887"/>
      <c r="L485" s="3599"/>
      <c r="M485" s="3600"/>
      <c r="N485" s="3878"/>
      <c r="O485" s="3879"/>
      <c r="P485" s="3882"/>
      <c r="Q485" s="3883"/>
      <c r="R485" s="3874"/>
      <c r="S485" s="3884"/>
      <c r="T485" s="3874"/>
      <c r="U485" s="3874"/>
      <c r="V485" s="3874"/>
      <c r="W485" s="3874"/>
      <c r="X485" s="3874"/>
      <c r="Y485" s="3874"/>
      <c r="Z485" s="1097"/>
      <c r="AA485" s="1098"/>
      <c r="AB485" s="1163" t="s">
        <v>1444</v>
      </c>
      <c r="AC485" s="1102"/>
      <c r="AD485" s="1102"/>
      <c r="AE485" s="1104"/>
      <c r="AF485" s="3876"/>
      <c r="AG485" s="3877"/>
      <c r="AH485" s="3877"/>
      <c r="AI485" s="3876"/>
      <c r="AJ485" s="3877"/>
      <c r="AK485" s="3877"/>
      <c r="AL485" s="1874"/>
      <c r="AM485" s="1714"/>
      <c r="AN485" s="1714"/>
      <c r="AO485" s="1714"/>
      <c r="AP485" s="1714"/>
      <c r="AQ485" s="1714"/>
      <c r="AR485" s="1714"/>
      <c r="AS485" s="1714"/>
      <c r="AT485" s="1714"/>
      <c r="AU485" s="1714"/>
      <c r="AV485" s="1714"/>
      <c r="AW485" s="1714"/>
      <c r="AX485" s="1714"/>
      <c r="AY485" s="1714"/>
      <c r="AZ485" s="1714"/>
      <c r="BA485" s="1714"/>
      <c r="BB485" s="1714"/>
      <c r="BC485" s="1714"/>
      <c r="BD485" s="1714"/>
      <c r="BE485" s="1714"/>
      <c r="BF485" s="1714"/>
    </row>
    <row r="486" spans="1:58" ht="11.25" customHeight="1">
      <c r="A486" s="1088" t="s">
        <v>1354</v>
      </c>
      <c r="D486" s="1082"/>
      <c r="E486" s="1092"/>
      <c r="F486" s="3895"/>
      <c r="G486" s="3875"/>
      <c r="H486" s="3885" t="s">
        <v>421</v>
      </c>
      <c r="I486" s="3886"/>
      <c r="J486" s="3883"/>
      <c r="K486" s="3887"/>
      <c r="L486" s="3599"/>
      <c r="M486" s="3600"/>
      <c r="N486" s="1097"/>
      <c r="O486" s="1098"/>
      <c r="P486" s="1090" t="s">
        <v>1445</v>
      </c>
      <c r="Q486" s="1098"/>
      <c r="R486" s="1098"/>
      <c r="S486" s="1098"/>
      <c r="T486" s="1098"/>
      <c r="U486" s="1098"/>
      <c r="V486" s="1098"/>
      <c r="W486" s="1098"/>
      <c r="X486" s="1098"/>
      <c r="Y486" s="1098"/>
      <c r="Z486" s="1098"/>
      <c r="AA486" s="1098"/>
      <c r="AB486" s="1098"/>
      <c r="AC486" s="1098"/>
      <c r="AD486" s="1098"/>
      <c r="AE486" s="1105"/>
      <c r="AF486" s="3876"/>
      <c r="AG486" s="3877"/>
      <c r="AH486" s="3877"/>
      <c r="AI486" s="3876"/>
      <c r="AJ486" s="3877"/>
      <c r="AK486" s="3877"/>
      <c r="AL486" s="1874"/>
      <c r="AM486" s="1714"/>
      <c r="AN486" s="1714"/>
      <c r="AO486" s="1714"/>
      <c r="AP486" s="1714"/>
      <c r="AQ486" s="1714"/>
      <c r="AR486" s="1714"/>
      <c r="AS486" s="1714"/>
      <c r="AT486" s="1714"/>
      <c r="AU486" s="1714"/>
      <c r="AV486" s="1714"/>
      <c r="AW486" s="1714"/>
      <c r="AX486" s="1714"/>
      <c r="AY486" s="1714"/>
      <c r="AZ486" s="1714"/>
      <c r="BA486" s="1714"/>
      <c r="BB486" s="1714"/>
      <c r="BC486" s="1714"/>
      <c r="BD486" s="1714"/>
      <c r="BE486" s="1714"/>
      <c r="BF486" s="1714"/>
    </row>
    <row r="487" spans="1:58" ht="12" customHeight="1">
      <c r="A487" s="1088" t="s">
        <v>1354</v>
      </c>
      <c r="D487" s="1082"/>
      <c r="E487" s="1092"/>
      <c r="F487" s="3896"/>
      <c r="G487" s="1112"/>
      <c r="H487" s="1112"/>
      <c r="I487" s="3893" t="s">
        <v>1451</v>
      </c>
      <c r="J487" s="3893"/>
      <c r="K487" s="3893"/>
      <c r="L487" s="1095"/>
      <c r="M487" s="1095"/>
      <c r="N487" s="1096"/>
      <c r="O487" s="1096"/>
      <c r="P487" s="1096"/>
      <c r="Q487" s="1096"/>
      <c r="R487" s="1096"/>
      <c r="S487" s="1096"/>
      <c r="T487" s="1096"/>
      <c r="U487" s="1096"/>
      <c r="V487" s="1096"/>
      <c r="W487" s="1096"/>
      <c r="X487" s="1096"/>
      <c r="Y487" s="1096"/>
      <c r="Z487" s="1096"/>
      <c r="AA487" s="1096"/>
      <c r="AB487" s="1096"/>
      <c r="AC487" s="1096"/>
      <c r="AD487" s="1096"/>
      <c r="AE487" s="1096"/>
      <c r="AF487" s="1096"/>
      <c r="AG487" s="1095"/>
      <c r="AH487" s="1095"/>
      <c r="AI487" s="1096"/>
      <c r="AJ487" s="1095"/>
      <c r="AK487" s="1096"/>
      <c r="AL487" s="1874"/>
      <c r="AM487" s="1714"/>
      <c r="AN487" s="1714"/>
      <c r="AO487" s="1714"/>
      <c r="AP487" s="1714"/>
      <c r="AQ487" s="1714"/>
      <c r="AR487" s="1714"/>
      <c r="AS487" s="1714"/>
      <c r="AT487" s="1714"/>
      <c r="AU487" s="1714"/>
      <c r="AV487" s="1714"/>
      <c r="AW487" s="1714"/>
      <c r="AX487" s="1714"/>
      <c r="AY487" s="1714"/>
      <c r="AZ487" s="1714"/>
      <c r="BA487" s="1714"/>
      <c r="BB487" s="1714"/>
      <c r="BC487" s="1714"/>
      <c r="BD487" s="1714"/>
      <c r="BE487" s="1714"/>
      <c r="BF487" s="1714"/>
    </row>
    <row r="488" spans="1:58" ht="0.75" customHeight="1">
      <c r="A488" s="1088" t="s">
        <v>1354</v>
      </c>
      <c r="D488" s="1082"/>
      <c r="E488" s="1092"/>
      <c r="F488" s="3894">
        <v>2031</v>
      </c>
      <c r="G488" s="3885"/>
      <c r="H488" s="3898" t="s">
        <v>421</v>
      </c>
      <c r="I488" s="3899"/>
      <c r="J488" s="3891"/>
      <c r="K488" s="3891"/>
      <c r="L488" s="3892"/>
      <c r="M488" s="3743"/>
      <c r="N488" s="1922"/>
      <c r="O488" s="1921"/>
      <c r="P488" s="1922"/>
      <c r="Q488" s="1922"/>
      <c r="R488" s="1922"/>
      <c r="S488" s="1922"/>
      <c r="T488" s="1922"/>
      <c r="U488" s="1922"/>
      <c r="V488" s="1922"/>
      <c r="W488" s="1922"/>
      <c r="X488" s="1922"/>
      <c r="Y488" s="1922"/>
      <c r="Z488" s="1922"/>
      <c r="AA488" s="1922"/>
      <c r="AB488" s="1922"/>
      <c r="AC488" s="1922"/>
      <c r="AD488" s="1922"/>
      <c r="AE488" s="1922"/>
      <c r="AF488" s="3897"/>
      <c r="AG488" s="3892"/>
      <c r="AH488" s="3892"/>
      <c r="AI488" s="3897"/>
      <c r="AJ488" s="3892"/>
      <c r="AK488" s="3892"/>
      <c r="AL488" s="1874"/>
      <c r="AM488" s="1714"/>
      <c r="AN488" s="1714"/>
      <c r="AO488" s="1714"/>
      <c r="AP488" s="1714"/>
      <c r="AQ488" s="1714"/>
      <c r="AR488" s="1714"/>
      <c r="AS488" s="1714"/>
      <c r="AT488" s="1714"/>
      <c r="AU488" s="1714"/>
      <c r="AV488" s="1714"/>
      <c r="AW488" s="1714"/>
      <c r="AX488" s="1714"/>
      <c r="AY488" s="1714"/>
      <c r="AZ488" s="1714"/>
      <c r="BA488" s="1714"/>
      <c r="BB488" s="1714"/>
      <c r="BC488" s="1714"/>
      <c r="BD488" s="1714"/>
      <c r="BE488" s="1714"/>
      <c r="BF488" s="1714"/>
    </row>
    <row r="489" spans="1:58" ht="0.75" customHeight="1">
      <c r="A489" s="1088" t="s">
        <v>1354</v>
      </c>
      <c r="D489" s="1082"/>
      <c r="E489" s="1092"/>
      <c r="F489" s="3894"/>
      <c r="G489" s="3885"/>
      <c r="H489" s="3898"/>
      <c r="I489" s="3899"/>
      <c r="J489" s="3891"/>
      <c r="K489" s="3891"/>
      <c r="L489" s="3892"/>
      <c r="M489" s="3743"/>
      <c r="N489" s="3900"/>
      <c r="O489" s="3901"/>
      <c r="P489" s="3888"/>
      <c r="Q489" s="3891"/>
      <c r="R489" s="3891"/>
      <c r="S489" s="3891"/>
      <c r="T489" s="3891"/>
      <c r="U489" s="3891"/>
      <c r="V489" s="3891"/>
      <c r="W489" s="3891"/>
      <c r="X489" s="3891"/>
      <c r="Y489" s="3891"/>
      <c r="Z489" s="1923"/>
      <c r="AA489" s="1924"/>
      <c r="AB489" s="1924"/>
      <c r="AC489" s="1925"/>
      <c r="AD489" s="1925"/>
      <c r="AE489" s="1926"/>
      <c r="AF489" s="3897"/>
      <c r="AG489" s="3892"/>
      <c r="AH489" s="3892"/>
      <c r="AI489" s="3897"/>
      <c r="AJ489" s="3892"/>
      <c r="AK489" s="3892"/>
      <c r="AL489" s="1874"/>
      <c r="AM489" s="1714"/>
      <c r="AN489" s="1714"/>
      <c r="AO489" s="1714"/>
      <c r="AP489" s="1714"/>
      <c r="AQ489" s="1714"/>
      <c r="AR489" s="1714"/>
      <c r="AS489" s="1714"/>
      <c r="AT489" s="1714"/>
      <c r="AU489" s="1714"/>
      <c r="AV489" s="1714"/>
      <c r="AW489" s="1714"/>
      <c r="AX489" s="1714"/>
      <c r="AY489" s="1714"/>
      <c r="AZ489" s="1714"/>
      <c r="BA489" s="1714"/>
      <c r="BB489" s="1714"/>
      <c r="BC489" s="1714"/>
      <c r="BD489" s="1714"/>
      <c r="BE489" s="1714"/>
      <c r="BF489" s="1714"/>
    </row>
    <row r="490" spans="1:58" ht="0.75" customHeight="1">
      <c r="A490" s="1088" t="s">
        <v>1354</v>
      </c>
      <c r="D490" s="1082"/>
      <c r="E490" s="1092"/>
      <c r="F490" s="3894"/>
      <c r="G490" s="3885"/>
      <c r="H490" s="3898"/>
      <c r="I490" s="3899"/>
      <c r="J490" s="3891"/>
      <c r="K490" s="3891"/>
      <c r="L490" s="3892"/>
      <c r="M490" s="3743"/>
      <c r="N490" s="3900"/>
      <c r="O490" s="3901"/>
      <c r="P490" s="3889"/>
      <c r="Q490" s="3891"/>
      <c r="R490" s="3891"/>
      <c r="S490" s="3891"/>
      <c r="T490" s="3891"/>
      <c r="U490" s="3891"/>
      <c r="V490" s="3891"/>
      <c r="W490" s="3891"/>
      <c r="X490" s="3891"/>
      <c r="Y490" s="3891"/>
      <c r="Z490" s="1927"/>
      <c r="AA490" s="1928"/>
      <c r="AB490" s="1929"/>
      <c r="AC490" s="1930"/>
      <c r="AD490" s="1929"/>
      <c r="AE490" s="1930"/>
      <c r="AF490" s="3897"/>
      <c r="AG490" s="3892"/>
      <c r="AH490" s="3892"/>
      <c r="AI490" s="3897"/>
      <c r="AJ490" s="3892"/>
      <c r="AK490" s="3892"/>
      <c r="AL490" s="1874"/>
      <c r="AM490" s="1714"/>
      <c r="AN490" s="1714"/>
      <c r="AO490" s="1714"/>
      <c r="AP490" s="1714"/>
      <c r="AQ490" s="1714"/>
      <c r="AR490" s="1714"/>
      <c r="AS490" s="1714"/>
      <c r="AT490" s="1714"/>
      <c r="AU490" s="1714"/>
      <c r="AV490" s="1714"/>
      <c r="AW490" s="1714"/>
      <c r="AX490" s="1714"/>
      <c r="AY490" s="1714"/>
      <c r="AZ490" s="1714"/>
      <c r="BA490" s="1714"/>
      <c r="BB490" s="1714"/>
      <c r="BC490" s="1714"/>
      <c r="BD490" s="1714"/>
      <c r="BE490" s="1714"/>
      <c r="BF490" s="1714"/>
    </row>
    <row r="491" spans="1:58" ht="0.75" customHeight="1">
      <c r="A491" s="1088" t="s">
        <v>1354</v>
      </c>
      <c r="D491" s="1082"/>
      <c r="E491" s="1092"/>
      <c r="F491" s="3894"/>
      <c r="G491" s="3885"/>
      <c r="H491" s="3898"/>
      <c r="I491" s="3899"/>
      <c r="J491" s="3891"/>
      <c r="K491" s="3891"/>
      <c r="L491" s="3892"/>
      <c r="M491" s="3743"/>
      <c r="N491" s="3900"/>
      <c r="O491" s="3901"/>
      <c r="P491" s="3890"/>
      <c r="Q491" s="3891"/>
      <c r="R491" s="3891"/>
      <c r="S491" s="3891"/>
      <c r="T491" s="3891"/>
      <c r="U491" s="3891"/>
      <c r="V491" s="3891"/>
      <c r="W491" s="3891"/>
      <c r="X491" s="3891"/>
      <c r="Y491" s="3891"/>
      <c r="Z491" s="1923"/>
      <c r="AA491" s="1924"/>
      <c r="AB491" s="1931"/>
      <c r="AC491" s="1925"/>
      <c r="AD491" s="1925"/>
      <c r="AE491" s="1932"/>
      <c r="AF491" s="3897"/>
      <c r="AG491" s="3892"/>
      <c r="AH491" s="3892"/>
      <c r="AI491" s="3897"/>
      <c r="AJ491" s="3892"/>
      <c r="AK491" s="3892"/>
      <c r="AL491" s="1874"/>
      <c r="AM491" s="1714"/>
      <c r="AN491" s="1714"/>
      <c r="AO491" s="1714"/>
      <c r="AP491" s="1714"/>
      <c r="AQ491" s="1714"/>
      <c r="AR491" s="1714"/>
      <c r="AS491" s="1714"/>
      <c r="AT491" s="1714"/>
      <c r="AU491" s="1714"/>
      <c r="AV491" s="1714"/>
      <c r="AW491" s="1714"/>
      <c r="AX491" s="1714"/>
      <c r="AY491" s="1714"/>
      <c r="AZ491" s="1714"/>
      <c r="BA491" s="1714"/>
      <c r="BB491" s="1714"/>
      <c r="BC491" s="1714"/>
      <c r="BD491" s="1714"/>
      <c r="BE491" s="1714"/>
      <c r="BF491" s="1714"/>
    </row>
    <row r="492" spans="1:58" ht="0.75" customHeight="1">
      <c r="A492" s="1088" t="s">
        <v>1354</v>
      </c>
      <c r="D492" s="1082"/>
      <c r="E492" s="1092"/>
      <c r="F492" s="3894"/>
      <c r="G492" s="3885"/>
      <c r="H492" s="3898"/>
      <c r="I492" s="3899"/>
      <c r="J492" s="3891"/>
      <c r="K492" s="3891"/>
      <c r="L492" s="3892"/>
      <c r="M492" s="3743"/>
      <c r="N492" s="1924"/>
      <c r="O492" s="1924"/>
      <c r="P492" s="1931"/>
      <c r="Q492" s="1924"/>
      <c r="R492" s="1924"/>
      <c r="S492" s="1924"/>
      <c r="T492" s="1924"/>
      <c r="U492" s="1924"/>
      <c r="V492" s="1924"/>
      <c r="W492" s="1924"/>
      <c r="X492" s="1924"/>
      <c r="Y492" s="1924"/>
      <c r="Z492" s="1924"/>
      <c r="AA492" s="1924"/>
      <c r="AB492" s="1924"/>
      <c r="AC492" s="1924"/>
      <c r="AD492" s="1924"/>
      <c r="AE492" s="1933"/>
      <c r="AF492" s="3897"/>
      <c r="AG492" s="3892"/>
      <c r="AH492" s="3892"/>
      <c r="AI492" s="3897"/>
      <c r="AJ492" s="3892"/>
      <c r="AK492" s="3892"/>
      <c r="AL492" s="1874"/>
      <c r="AM492" s="1714"/>
      <c r="AN492" s="1714"/>
      <c r="AO492" s="1714"/>
      <c r="AP492" s="1714"/>
      <c r="AQ492" s="1714"/>
      <c r="AR492" s="1714"/>
      <c r="AS492" s="1714"/>
      <c r="AT492" s="1714"/>
      <c r="AU492" s="1714"/>
      <c r="AV492" s="1714"/>
      <c r="AW492" s="1714"/>
      <c r="AX492" s="1714"/>
      <c r="AY492" s="1714"/>
      <c r="AZ492" s="1714"/>
      <c r="BA492" s="1714"/>
      <c r="BB492" s="1714"/>
      <c r="BC492" s="1714"/>
      <c r="BD492" s="1714"/>
      <c r="BE492" s="1714"/>
      <c r="BF492" s="1714"/>
    </row>
    <row r="493" spans="1:58" ht="11.25" customHeight="1">
      <c r="A493" s="1088" t="s">
        <v>1354</v>
      </c>
      <c r="D493" s="1082"/>
      <c r="E493" s="1092"/>
      <c r="F493" s="3895"/>
      <c r="G493" s="3853" t="s">
        <v>90</v>
      </c>
      <c r="H493" s="3885" t="s">
        <v>164</v>
      </c>
      <c r="I493" s="3886"/>
      <c r="J493" s="3883"/>
      <c r="K493" s="3887" t="s">
        <v>1488</v>
      </c>
      <c r="L493" s="3599" t="s">
        <v>6</v>
      </c>
      <c r="M493" s="3600"/>
      <c r="N493" s="1872"/>
      <c r="O493" s="1099" t="s">
        <v>421</v>
      </c>
      <c r="P493" s="1100"/>
      <c r="Q493" s="1100"/>
      <c r="R493" s="1100"/>
      <c r="S493" s="1100"/>
      <c r="T493" s="1100"/>
      <c r="U493" s="1100"/>
      <c r="V493" s="1100"/>
      <c r="W493" s="1100"/>
      <c r="X493" s="1100"/>
      <c r="Y493" s="1100"/>
      <c r="Z493" s="1100"/>
      <c r="AA493" s="1100"/>
      <c r="AB493" s="1100"/>
      <c r="AC493" s="1100"/>
      <c r="AD493" s="1100"/>
      <c r="AE493" s="1100"/>
      <c r="AF493" s="3876">
        <v>2025</v>
      </c>
      <c r="AG493" s="3877" t="s">
        <v>1447</v>
      </c>
      <c r="AH493" s="3877" t="s">
        <v>1487</v>
      </c>
      <c r="AI493" s="3876">
        <v>2025</v>
      </c>
      <c r="AJ493" s="3877" t="s">
        <v>1447</v>
      </c>
      <c r="AK493" s="3877" t="s">
        <v>1487</v>
      </c>
      <c r="AL493" s="1874"/>
      <c r="AM493" s="1714"/>
      <c r="AN493" s="1714"/>
      <c r="AO493" s="1714"/>
      <c r="AP493" s="1714"/>
      <c r="AQ493" s="1714"/>
      <c r="AR493" s="1714"/>
      <c r="AS493" s="1714"/>
      <c r="AT493" s="1714"/>
      <c r="AU493" s="1714"/>
      <c r="AV493" s="1714"/>
      <c r="AW493" s="1714"/>
      <c r="AX493" s="1714"/>
      <c r="AY493" s="1714"/>
      <c r="AZ493" s="1714"/>
      <c r="BA493" s="1714"/>
      <c r="BB493" s="1714"/>
      <c r="BC493" s="1714"/>
      <c r="BD493" s="1714"/>
      <c r="BE493" s="1714"/>
      <c r="BF493" s="1714"/>
    </row>
    <row r="494" spans="1:58" ht="11.25" customHeight="1">
      <c r="A494" s="1088" t="s">
        <v>1354</v>
      </c>
      <c r="D494" s="1082"/>
      <c r="E494" s="1092"/>
      <c r="F494" s="3895"/>
      <c r="G494" s="3875"/>
      <c r="H494" s="3885" t="s">
        <v>421</v>
      </c>
      <c r="I494" s="3886"/>
      <c r="J494" s="3883"/>
      <c r="K494" s="3887"/>
      <c r="L494" s="3599"/>
      <c r="M494" s="3600"/>
      <c r="N494" s="3878"/>
      <c r="O494" s="3879">
        <v>1</v>
      </c>
      <c r="P494" s="3880" t="s">
        <v>50</v>
      </c>
      <c r="Q494" s="3883" t="s">
        <v>1489</v>
      </c>
      <c r="R494" s="3884" t="s">
        <v>1457</v>
      </c>
      <c r="S494" s="3884" t="s">
        <v>136</v>
      </c>
      <c r="T494" s="3884" t="s">
        <v>136</v>
      </c>
      <c r="U494" s="3884" t="s">
        <v>137</v>
      </c>
      <c r="V494" s="3884" t="s">
        <v>1490</v>
      </c>
      <c r="W494" s="3884" t="s">
        <v>1491</v>
      </c>
      <c r="X494" s="3884" t="s">
        <v>1492</v>
      </c>
      <c r="Y494" s="3884" t="s">
        <v>1442</v>
      </c>
      <c r="Z494" s="1097"/>
      <c r="AA494" s="1098"/>
      <c r="AB494" s="1098"/>
      <c r="AC494" s="1102"/>
      <c r="AD494" s="1102"/>
      <c r="AE494" s="1103"/>
      <c r="AF494" s="3876"/>
      <c r="AG494" s="3877"/>
      <c r="AH494" s="3877"/>
      <c r="AI494" s="3876"/>
      <c r="AJ494" s="3877"/>
      <c r="AK494" s="3877"/>
      <c r="AL494" s="1874"/>
      <c r="AM494" s="1714"/>
      <c r="AN494" s="1714"/>
      <c r="AO494" s="1714"/>
      <c r="AP494" s="1714"/>
      <c r="AQ494" s="1714"/>
      <c r="AR494" s="1714"/>
      <c r="AS494" s="1714"/>
      <c r="AT494" s="1714"/>
      <c r="AU494" s="1714"/>
      <c r="AV494" s="1714"/>
      <c r="AW494" s="1714"/>
      <c r="AX494" s="1714"/>
      <c r="AY494" s="1714"/>
      <c r="AZ494" s="1714"/>
      <c r="BA494" s="1714"/>
      <c r="BB494" s="1714"/>
      <c r="BC494" s="1714"/>
      <c r="BD494" s="1714"/>
      <c r="BE494" s="1714"/>
      <c r="BF494" s="1714"/>
    </row>
    <row r="495" spans="1:58" ht="11.25" customHeight="1">
      <c r="A495" s="1088" t="s">
        <v>1354</v>
      </c>
      <c r="D495" s="1082"/>
      <c r="E495" s="1092"/>
      <c r="F495" s="3895"/>
      <c r="G495" s="3875"/>
      <c r="H495" s="3885" t="s">
        <v>421</v>
      </c>
      <c r="I495" s="3886"/>
      <c r="J495" s="3883"/>
      <c r="K495" s="3887"/>
      <c r="L495" s="3599"/>
      <c r="M495" s="3600"/>
      <c r="N495" s="3878"/>
      <c r="O495" s="3879"/>
      <c r="P495" s="3881"/>
      <c r="Q495" s="3883"/>
      <c r="R495" s="3874"/>
      <c r="S495" s="3884"/>
      <c r="T495" s="3874"/>
      <c r="U495" s="3874"/>
      <c r="V495" s="3874"/>
      <c r="W495" s="3874"/>
      <c r="X495" s="3874"/>
      <c r="Y495" s="3874"/>
      <c r="Z495" s="1719"/>
      <c r="AA495" s="1686">
        <v>1</v>
      </c>
      <c r="AB495" s="1101" t="s">
        <v>1443</v>
      </c>
      <c r="AC495" s="1091">
        <v>1710</v>
      </c>
      <c r="AD495" s="1101" t="str">
        <f>AB495</f>
        <v xml:space="preserve">  Прибыль направляемая на инвестиции</v>
      </c>
      <c r="AE495" s="1091">
        <v>0</v>
      </c>
      <c r="AF495" s="3876"/>
      <c r="AG495" s="3877"/>
      <c r="AH495" s="3877"/>
      <c r="AI495" s="3876"/>
      <c r="AJ495" s="3877"/>
      <c r="AK495" s="3877"/>
      <c r="AL495" s="1874"/>
      <c r="AM495" s="1714"/>
      <c r="AN495" s="1714"/>
      <c r="AO495" s="1714"/>
      <c r="AP495" s="1714"/>
      <c r="AQ495" s="1714"/>
      <c r="AR495" s="1714"/>
      <c r="AS495" s="1714"/>
      <c r="AT495" s="1714"/>
      <c r="AU495" s="1714"/>
      <c r="AV495" s="1714"/>
      <c r="AW495" s="1714"/>
      <c r="AX495" s="1714"/>
      <c r="AY495" s="1714"/>
      <c r="AZ495" s="1714"/>
      <c r="BA495" s="1714"/>
      <c r="BB495" s="1714"/>
      <c r="BC495" s="1714"/>
      <c r="BD495" s="1714"/>
      <c r="BE495" s="1714"/>
      <c r="BF495" s="1714"/>
    </row>
    <row r="496" spans="1:58" ht="11.25" customHeight="1">
      <c r="A496" s="1088" t="s">
        <v>1354</v>
      </c>
      <c r="D496" s="1082"/>
      <c r="E496" s="1092"/>
      <c r="F496" s="3895"/>
      <c r="G496" s="3875"/>
      <c r="H496" s="3885" t="s">
        <v>421</v>
      </c>
      <c r="I496" s="3886"/>
      <c r="J496" s="3883"/>
      <c r="K496" s="3887"/>
      <c r="L496" s="3599"/>
      <c r="M496" s="3600"/>
      <c r="N496" s="3878"/>
      <c r="O496" s="3879"/>
      <c r="P496" s="3882"/>
      <c r="Q496" s="3883"/>
      <c r="R496" s="3874"/>
      <c r="S496" s="3884"/>
      <c r="T496" s="3874"/>
      <c r="U496" s="3874"/>
      <c r="V496" s="3874"/>
      <c r="W496" s="3874"/>
      <c r="X496" s="3874"/>
      <c r="Y496" s="3874"/>
      <c r="Z496" s="1097"/>
      <c r="AA496" s="1098"/>
      <c r="AB496" s="1163" t="s">
        <v>1444</v>
      </c>
      <c r="AC496" s="1102"/>
      <c r="AD496" s="1102"/>
      <c r="AE496" s="1104"/>
      <c r="AF496" s="3876"/>
      <c r="AG496" s="3877"/>
      <c r="AH496" s="3877"/>
      <c r="AI496" s="3876"/>
      <c r="AJ496" s="3877"/>
      <c r="AK496" s="3877"/>
      <c r="AL496" s="1874"/>
      <c r="AM496" s="1714"/>
      <c r="AN496" s="1714"/>
      <c r="AO496" s="1714"/>
      <c r="AP496" s="1714"/>
      <c r="AQ496" s="1714"/>
      <c r="AR496" s="1714"/>
      <c r="AS496" s="1714"/>
      <c r="AT496" s="1714"/>
      <c r="AU496" s="1714"/>
      <c r="AV496" s="1714"/>
      <c r="AW496" s="1714"/>
      <c r="AX496" s="1714"/>
      <c r="AY496" s="1714"/>
      <c r="AZ496" s="1714"/>
      <c r="BA496" s="1714"/>
      <c r="BB496" s="1714"/>
      <c r="BC496" s="1714"/>
      <c r="BD496" s="1714"/>
      <c r="BE496" s="1714"/>
      <c r="BF496" s="1714"/>
    </row>
    <row r="497" spans="1:58" ht="11.25" customHeight="1">
      <c r="A497" s="1088" t="s">
        <v>1354</v>
      </c>
      <c r="D497" s="1082"/>
      <c r="E497" s="1092"/>
      <c r="F497" s="3895"/>
      <c r="G497" s="3875"/>
      <c r="H497" s="3885" t="s">
        <v>421</v>
      </c>
      <c r="I497" s="3886"/>
      <c r="J497" s="3883"/>
      <c r="K497" s="3887"/>
      <c r="L497" s="3599"/>
      <c r="M497" s="3600"/>
      <c r="N497" s="1097"/>
      <c r="O497" s="1098"/>
      <c r="P497" s="1090" t="s">
        <v>1445</v>
      </c>
      <c r="Q497" s="1098"/>
      <c r="R497" s="1098"/>
      <c r="S497" s="1098"/>
      <c r="T497" s="1098"/>
      <c r="U497" s="1098"/>
      <c r="V497" s="1098"/>
      <c r="W497" s="1098"/>
      <c r="X497" s="1098"/>
      <c r="Y497" s="1098"/>
      <c r="Z497" s="1098"/>
      <c r="AA497" s="1098"/>
      <c r="AB497" s="1098"/>
      <c r="AC497" s="1098"/>
      <c r="AD497" s="1098"/>
      <c r="AE497" s="1105"/>
      <c r="AF497" s="3876"/>
      <c r="AG497" s="3877"/>
      <c r="AH497" s="3877"/>
      <c r="AI497" s="3876"/>
      <c r="AJ497" s="3877"/>
      <c r="AK497" s="3877"/>
      <c r="AL497" s="1874"/>
      <c r="AM497" s="1714"/>
      <c r="AN497" s="1714"/>
      <c r="AO497" s="1714"/>
      <c r="AP497" s="1714"/>
      <c r="AQ497" s="1714"/>
      <c r="AR497" s="1714"/>
      <c r="AS497" s="1714"/>
      <c r="AT497" s="1714"/>
      <c r="AU497" s="1714"/>
      <c r="AV497" s="1714"/>
      <c r="AW497" s="1714"/>
      <c r="AX497" s="1714"/>
      <c r="AY497" s="1714"/>
      <c r="AZ497" s="1714"/>
      <c r="BA497" s="1714"/>
      <c r="BB497" s="1714"/>
      <c r="BC497" s="1714"/>
      <c r="BD497" s="1714"/>
      <c r="BE497" s="1714"/>
      <c r="BF497" s="1714"/>
    </row>
    <row r="498" spans="1:58" ht="12" customHeight="1">
      <c r="A498" s="1088" t="s">
        <v>1354</v>
      </c>
      <c r="D498" s="1082"/>
      <c r="E498" s="1092"/>
      <c r="F498" s="3896"/>
      <c r="G498" s="1112"/>
      <c r="H498" s="1112"/>
      <c r="I498" s="3893" t="s">
        <v>1451</v>
      </c>
      <c r="J498" s="3893"/>
      <c r="K498" s="3893"/>
      <c r="L498" s="1095"/>
      <c r="M498" s="1095"/>
      <c r="N498" s="1096"/>
      <c r="O498" s="1096"/>
      <c r="P498" s="1096"/>
      <c r="Q498" s="1096"/>
      <c r="R498" s="1096"/>
      <c r="S498" s="1096"/>
      <c r="T498" s="1096"/>
      <c r="U498" s="1096"/>
      <c r="V498" s="1096"/>
      <c r="W498" s="1096"/>
      <c r="X498" s="1096"/>
      <c r="Y498" s="1096"/>
      <c r="Z498" s="1096"/>
      <c r="AA498" s="1096"/>
      <c r="AB498" s="1096"/>
      <c r="AC498" s="1096"/>
      <c r="AD498" s="1096"/>
      <c r="AE498" s="1096"/>
      <c r="AF498" s="1096"/>
      <c r="AG498" s="1095"/>
      <c r="AH498" s="1095"/>
      <c r="AI498" s="1096"/>
      <c r="AJ498" s="1095"/>
      <c r="AK498" s="1096"/>
      <c r="AL498" s="1874"/>
      <c r="AM498" s="1714"/>
      <c r="AN498" s="1714"/>
      <c r="AO498" s="1714"/>
      <c r="AP498" s="1714"/>
      <c r="AQ498" s="1714"/>
      <c r="AR498" s="1714"/>
      <c r="AS498" s="1714"/>
      <c r="AT498" s="1714"/>
      <c r="AU498" s="1714"/>
      <c r="AV498" s="1714"/>
      <c r="AW498" s="1714"/>
      <c r="AX498" s="1714"/>
      <c r="AY498" s="1714"/>
      <c r="AZ498" s="1714"/>
      <c r="BA498" s="1714"/>
      <c r="BB498" s="1714"/>
      <c r="BC498" s="1714"/>
      <c r="BD498" s="1714"/>
      <c r="BE498" s="1714"/>
      <c r="BF498" s="1714"/>
    </row>
    <row r="499" spans="1:58" ht="0.75" customHeight="1">
      <c r="A499" s="1088" t="s">
        <v>1354</v>
      </c>
      <c r="D499" s="1082"/>
      <c r="E499" s="1092"/>
      <c r="F499" s="3894">
        <v>2032</v>
      </c>
      <c r="G499" s="3885"/>
      <c r="H499" s="3898" t="s">
        <v>421</v>
      </c>
      <c r="I499" s="3899"/>
      <c r="J499" s="3891"/>
      <c r="K499" s="3891"/>
      <c r="L499" s="3892"/>
      <c r="M499" s="3743"/>
      <c r="N499" s="1922"/>
      <c r="O499" s="1921"/>
      <c r="P499" s="1922"/>
      <c r="Q499" s="1922"/>
      <c r="R499" s="1922"/>
      <c r="S499" s="1922"/>
      <c r="T499" s="1922"/>
      <c r="U499" s="1922"/>
      <c r="V499" s="1922"/>
      <c r="W499" s="1922"/>
      <c r="X499" s="1922"/>
      <c r="Y499" s="1922"/>
      <c r="Z499" s="1922"/>
      <c r="AA499" s="1922"/>
      <c r="AB499" s="1922"/>
      <c r="AC499" s="1922"/>
      <c r="AD499" s="1922"/>
      <c r="AE499" s="1922"/>
      <c r="AF499" s="3897"/>
      <c r="AG499" s="3892"/>
      <c r="AH499" s="3892"/>
      <c r="AI499" s="3897"/>
      <c r="AJ499" s="3892"/>
      <c r="AK499" s="3892"/>
      <c r="AL499" s="1874"/>
      <c r="AM499" s="1714"/>
      <c r="AN499" s="1714"/>
      <c r="AO499" s="1714"/>
      <c r="AP499" s="1714"/>
      <c r="AQ499" s="1714"/>
      <c r="AR499" s="1714"/>
      <c r="AS499" s="1714"/>
      <c r="AT499" s="1714"/>
      <c r="AU499" s="1714"/>
      <c r="AV499" s="1714"/>
      <c r="AW499" s="1714"/>
      <c r="AX499" s="1714"/>
      <c r="AY499" s="1714"/>
      <c r="AZ499" s="1714"/>
      <c r="BA499" s="1714"/>
      <c r="BB499" s="1714"/>
      <c r="BC499" s="1714"/>
      <c r="BD499" s="1714"/>
      <c r="BE499" s="1714"/>
      <c r="BF499" s="1714"/>
    </row>
    <row r="500" spans="1:58" ht="0.75" customHeight="1">
      <c r="A500" s="1088" t="s">
        <v>1354</v>
      </c>
      <c r="D500" s="1082"/>
      <c r="E500" s="1092"/>
      <c r="F500" s="3894"/>
      <c r="G500" s="3885"/>
      <c r="H500" s="3898"/>
      <c r="I500" s="3899"/>
      <c r="J500" s="3891"/>
      <c r="K500" s="3891"/>
      <c r="L500" s="3892"/>
      <c r="M500" s="3743"/>
      <c r="N500" s="3900"/>
      <c r="O500" s="3901"/>
      <c r="P500" s="3888"/>
      <c r="Q500" s="3891"/>
      <c r="R500" s="3891"/>
      <c r="S500" s="3891"/>
      <c r="T500" s="3891"/>
      <c r="U500" s="3891"/>
      <c r="V500" s="3891"/>
      <c r="W500" s="3891"/>
      <c r="X500" s="3891"/>
      <c r="Y500" s="3891"/>
      <c r="Z500" s="1923"/>
      <c r="AA500" s="1924"/>
      <c r="AB500" s="1924"/>
      <c r="AC500" s="1925"/>
      <c r="AD500" s="1925"/>
      <c r="AE500" s="1926"/>
      <c r="AF500" s="3897"/>
      <c r="AG500" s="3892"/>
      <c r="AH500" s="3892"/>
      <c r="AI500" s="3897"/>
      <c r="AJ500" s="3892"/>
      <c r="AK500" s="3892"/>
      <c r="AL500" s="1874"/>
      <c r="AM500" s="1714"/>
      <c r="AN500" s="1714"/>
      <c r="AO500" s="1714"/>
      <c r="AP500" s="1714"/>
      <c r="AQ500" s="1714"/>
      <c r="AR500" s="1714"/>
      <c r="AS500" s="1714"/>
      <c r="AT500" s="1714"/>
      <c r="AU500" s="1714"/>
      <c r="AV500" s="1714"/>
      <c r="AW500" s="1714"/>
      <c r="AX500" s="1714"/>
      <c r="AY500" s="1714"/>
      <c r="AZ500" s="1714"/>
      <c r="BA500" s="1714"/>
      <c r="BB500" s="1714"/>
      <c r="BC500" s="1714"/>
      <c r="BD500" s="1714"/>
      <c r="BE500" s="1714"/>
      <c r="BF500" s="1714"/>
    </row>
    <row r="501" spans="1:58" ht="0.75" customHeight="1">
      <c r="A501" s="1088" t="s">
        <v>1354</v>
      </c>
      <c r="D501" s="1082"/>
      <c r="E501" s="1092"/>
      <c r="F501" s="3894"/>
      <c r="G501" s="3885"/>
      <c r="H501" s="3898"/>
      <c r="I501" s="3899"/>
      <c r="J501" s="3891"/>
      <c r="K501" s="3891"/>
      <c r="L501" s="3892"/>
      <c r="M501" s="3743"/>
      <c r="N501" s="3900"/>
      <c r="O501" s="3901"/>
      <c r="P501" s="3889"/>
      <c r="Q501" s="3891"/>
      <c r="R501" s="3891"/>
      <c r="S501" s="3891"/>
      <c r="T501" s="3891"/>
      <c r="U501" s="3891"/>
      <c r="V501" s="3891"/>
      <c r="W501" s="3891"/>
      <c r="X501" s="3891"/>
      <c r="Y501" s="3891"/>
      <c r="Z501" s="1927"/>
      <c r="AA501" s="1928"/>
      <c r="AB501" s="1929"/>
      <c r="AC501" s="1930"/>
      <c r="AD501" s="1929"/>
      <c r="AE501" s="1930"/>
      <c r="AF501" s="3897"/>
      <c r="AG501" s="3892"/>
      <c r="AH501" s="3892"/>
      <c r="AI501" s="3897"/>
      <c r="AJ501" s="3892"/>
      <c r="AK501" s="3892"/>
      <c r="AL501" s="1874"/>
      <c r="AM501" s="1714"/>
      <c r="AN501" s="1714"/>
      <c r="AO501" s="1714"/>
      <c r="AP501" s="1714"/>
      <c r="AQ501" s="1714"/>
      <c r="AR501" s="1714"/>
      <c r="AS501" s="1714"/>
      <c r="AT501" s="1714"/>
      <c r="AU501" s="1714"/>
      <c r="AV501" s="1714"/>
      <c r="AW501" s="1714"/>
      <c r="AX501" s="1714"/>
      <c r="AY501" s="1714"/>
      <c r="AZ501" s="1714"/>
      <c r="BA501" s="1714"/>
      <c r="BB501" s="1714"/>
      <c r="BC501" s="1714"/>
      <c r="BD501" s="1714"/>
      <c r="BE501" s="1714"/>
      <c r="BF501" s="1714"/>
    </row>
    <row r="502" spans="1:58" ht="0.75" customHeight="1">
      <c r="A502" s="1088" t="s">
        <v>1354</v>
      </c>
      <c r="D502" s="1082"/>
      <c r="E502" s="1092"/>
      <c r="F502" s="3894"/>
      <c r="G502" s="3885"/>
      <c r="H502" s="3898"/>
      <c r="I502" s="3899"/>
      <c r="J502" s="3891"/>
      <c r="K502" s="3891"/>
      <c r="L502" s="3892"/>
      <c r="M502" s="3743"/>
      <c r="N502" s="3900"/>
      <c r="O502" s="3901"/>
      <c r="P502" s="3890"/>
      <c r="Q502" s="3891"/>
      <c r="R502" s="3891"/>
      <c r="S502" s="3891"/>
      <c r="T502" s="3891"/>
      <c r="U502" s="3891"/>
      <c r="V502" s="3891"/>
      <c r="W502" s="3891"/>
      <c r="X502" s="3891"/>
      <c r="Y502" s="3891"/>
      <c r="Z502" s="1923"/>
      <c r="AA502" s="1924"/>
      <c r="AB502" s="1931"/>
      <c r="AC502" s="1925"/>
      <c r="AD502" s="1925"/>
      <c r="AE502" s="1932"/>
      <c r="AF502" s="3897"/>
      <c r="AG502" s="3892"/>
      <c r="AH502" s="3892"/>
      <c r="AI502" s="3897"/>
      <c r="AJ502" s="3892"/>
      <c r="AK502" s="3892"/>
      <c r="AL502" s="1874"/>
      <c r="AM502" s="1714"/>
      <c r="AN502" s="1714"/>
      <c r="AO502" s="1714"/>
      <c r="AP502" s="1714"/>
      <c r="AQ502" s="1714"/>
      <c r="AR502" s="1714"/>
      <c r="AS502" s="1714"/>
      <c r="AT502" s="1714"/>
      <c r="AU502" s="1714"/>
      <c r="AV502" s="1714"/>
      <c r="AW502" s="1714"/>
      <c r="AX502" s="1714"/>
      <c r="AY502" s="1714"/>
      <c r="AZ502" s="1714"/>
      <c r="BA502" s="1714"/>
      <c r="BB502" s="1714"/>
      <c r="BC502" s="1714"/>
      <c r="BD502" s="1714"/>
      <c r="BE502" s="1714"/>
      <c r="BF502" s="1714"/>
    </row>
    <row r="503" spans="1:58" ht="0.75" customHeight="1">
      <c r="A503" s="1088" t="s">
        <v>1354</v>
      </c>
      <c r="D503" s="1082"/>
      <c r="E503" s="1092"/>
      <c r="F503" s="3894"/>
      <c r="G503" s="3885"/>
      <c r="H503" s="3898"/>
      <c r="I503" s="3899"/>
      <c r="J503" s="3891"/>
      <c r="K503" s="3891"/>
      <c r="L503" s="3892"/>
      <c r="M503" s="3743"/>
      <c r="N503" s="1924"/>
      <c r="O503" s="1924"/>
      <c r="P503" s="1931"/>
      <c r="Q503" s="1924"/>
      <c r="R503" s="1924"/>
      <c r="S503" s="1924"/>
      <c r="T503" s="1924"/>
      <c r="U503" s="1924"/>
      <c r="V503" s="1924"/>
      <c r="W503" s="1924"/>
      <c r="X503" s="1924"/>
      <c r="Y503" s="1924"/>
      <c r="Z503" s="1924"/>
      <c r="AA503" s="1924"/>
      <c r="AB503" s="1924"/>
      <c r="AC503" s="1924"/>
      <c r="AD503" s="1924"/>
      <c r="AE503" s="1933"/>
      <c r="AF503" s="3897"/>
      <c r="AG503" s="3892"/>
      <c r="AH503" s="3892"/>
      <c r="AI503" s="3897"/>
      <c r="AJ503" s="3892"/>
      <c r="AK503" s="3892"/>
      <c r="AL503" s="1874"/>
      <c r="AM503" s="1714"/>
      <c r="AN503" s="1714"/>
      <c r="AO503" s="1714"/>
      <c r="AP503" s="1714"/>
      <c r="AQ503" s="1714"/>
      <c r="AR503" s="1714"/>
      <c r="AS503" s="1714"/>
      <c r="AT503" s="1714"/>
      <c r="AU503" s="1714"/>
      <c r="AV503" s="1714"/>
      <c r="AW503" s="1714"/>
      <c r="AX503" s="1714"/>
      <c r="AY503" s="1714"/>
      <c r="AZ503" s="1714"/>
      <c r="BA503" s="1714"/>
      <c r="BB503" s="1714"/>
      <c r="BC503" s="1714"/>
      <c r="BD503" s="1714"/>
      <c r="BE503" s="1714"/>
      <c r="BF503" s="1714"/>
    </row>
    <row r="504" spans="1:58" ht="11.25" customHeight="1">
      <c r="A504" s="1088" t="s">
        <v>1354</v>
      </c>
      <c r="D504" s="1082"/>
      <c r="E504" s="1092"/>
      <c r="F504" s="3895"/>
      <c r="G504" s="3853" t="s">
        <v>90</v>
      </c>
      <c r="H504" s="3885" t="s">
        <v>164</v>
      </c>
      <c r="I504" s="3886"/>
      <c r="J504" s="3883"/>
      <c r="K504" s="3887" t="s">
        <v>1488</v>
      </c>
      <c r="L504" s="3599" t="s">
        <v>6</v>
      </c>
      <c r="M504" s="3600"/>
      <c r="N504" s="1872"/>
      <c r="O504" s="1099" t="s">
        <v>421</v>
      </c>
      <c r="P504" s="1100"/>
      <c r="Q504" s="1100"/>
      <c r="R504" s="1100"/>
      <c r="S504" s="1100"/>
      <c r="T504" s="1100"/>
      <c r="U504" s="1100"/>
      <c r="V504" s="1100"/>
      <c r="W504" s="1100"/>
      <c r="X504" s="1100"/>
      <c r="Y504" s="1100"/>
      <c r="Z504" s="1100"/>
      <c r="AA504" s="1100"/>
      <c r="AB504" s="1100"/>
      <c r="AC504" s="1100"/>
      <c r="AD504" s="1100"/>
      <c r="AE504" s="1100"/>
      <c r="AF504" s="3876">
        <v>2025</v>
      </c>
      <c r="AG504" s="3877" t="s">
        <v>1447</v>
      </c>
      <c r="AH504" s="3877" t="s">
        <v>1487</v>
      </c>
      <c r="AI504" s="3876">
        <v>2025</v>
      </c>
      <c r="AJ504" s="3877" t="s">
        <v>1447</v>
      </c>
      <c r="AK504" s="3877" t="s">
        <v>1487</v>
      </c>
      <c r="AL504" s="1874"/>
      <c r="AM504" s="1714"/>
      <c r="AN504" s="1714"/>
      <c r="AO504" s="1714"/>
      <c r="AP504" s="1714"/>
      <c r="AQ504" s="1714"/>
      <c r="AR504" s="1714"/>
      <c r="AS504" s="1714"/>
      <c r="AT504" s="1714"/>
      <c r="AU504" s="1714"/>
      <c r="AV504" s="1714"/>
      <c r="AW504" s="1714"/>
      <c r="AX504" s="1714"/>
      <c r="AY504" s="1714"/>
      <c r="AZ504" s="1714"/>
      <c r="BA504" s="1714"/>
      <c r="BB504" s="1714"/>
      <c r="BC504" s="1714"/>
      <c r="BD504" s="1714"/>
      <c r="BE504" s="1714"/>
      <c r="BF504" s="1714"/>
    </row>
    <row r="505" spans="1:58" ht="11.25" customHeight="1">
      <c r="A505" s="1088" t="s">
        <v>1354</v>
      </c>
      <c r="D505" s="1082"/>
      <c r="E505" s="1092"/>
      <c r="F505" s="3895"/>
      <c r="G505" s="3875"/>
      <c r="H505" s="3885" t="s">
        <v>421</v>
      </c>
      <c r="I505" s="3886"/>
      <c r="J505" s="3883"/>
      <c r="K505" s="3887"/>
      <c r="L505" s="3599"/>
      <c r="M505" s="3600"/>
      <c r="N505" s="3878"/>
      <c r="O505" s="3879">
        <v>1</v>
      </c>
      <c r="P505" s="3880" t="s">
        <v>50</v>
      </c>
      <c r="Q505" s="3883" t="s">
        <v>1489</v>
      </c>
      <c r="R505" s="3884" t="s">
        <v>1457</v>
      </c>
      <c r="S505" s="3884" t="s">
        <v>136</v>
      </c>
      <c r="T505" s="3884" t="s">
        <v>136</v>
      </c>
      <c r="U505" s="3884" t="s">
        <v>137</v>
      </c>
      <c r="V505" s="3884" t="s">
        <v>1490</v>
      </c>
      <c r="W505" s="3884" t="s">
        <v>1491</v>
      </c>
      <c r="X505" s="3884" t="s">
        <v>1492</v>
      </c>
      <c r="Y505" s="3884" t="s">
        <v>1442</v>
      </c>
      <c r="Z505" s="1097"/>
      <c r="AA505" s="1098"/>
      <c r="AB505" s="1098"/>
      <c r="AC505" s="1102"/>
      <c r="AD505" s="1102"/>
      <c r="AE505" s="1103"/>
      <c r="AF505" s="3876"/>
      <c r="AG505" s="3877"/>
      <c r="AH505" s="3877"/>
      <c r="AI505" s="3876"/>
      <c r="AJ505" s="3877"/>
      <c r="AK505" s="3877"/>
      <c r="AL505" s="1874"/>
      <c r="AM505" s="1714"/>
      <c r="AN505" s="1714"/>
      <c r="AO505" s="1714"/>
      <c r="AP505" s="1714"/>
      <c r="AQ505" s="1714"/>
      <c r="AR505" s="1714"/>
      <c r="AS505" s="1714"/>
      <c r="AT505" s="1714"/>
      <c r="AU505" s="1714"/>
      <c r="AV505" s="1714"/>
      <c r="AW505" s="1714"/>
      <c r="AX505" s="1714"/>
      <c r="AY505" s="1714"/>
      <c r="AZ505" s="1714"/>
      <c r="BA505" s="1714"/>
      <c r="BB505" s="1714"/>
      <c r="BC505" s="1714"/>
      <c r="BD505" s="1714"/>
      <c r="BE505" s="1714"/>
      <c r="BF505" s="1714"/>
    </row>
    <row r="506" spans="1:58" ht="11.25" customHeight="1">
      <c r="A506" s="1088" t="s">
        <v>1354</v>
      </c>
      <c r="D506" s="1082"/>
      <c r="E506" s="1092"/>
      <c r="F506" s="3895"/>
      <c r="G506" s="3875"/>
      <c r="H506" s="3885" t="s">
        <v>421</v>
      </c>
      <c r="I506" s="3886"/>
      <c r="J506" s="3883"/>
      <c r="K506" s="3887"/>
      <c r="L506" s="3599"/>
      <c r="M506" s="3600"/>
      <c r="N506" s="3878"/>
      <c r="O506" s="3879"/>
      <c r="P506" s="3881"/>
      <c r="Q506" s="3883"/>
      <c r="R506" s="3874"/>
      <c r="S506" s="3884"/>
      <c r="T506" s="3874"/>
      <c r="U506" s="3874"/>
      <c r="V506" s="3874"/>
      <c r="W506" s="3874"/>
      <c r="X506" s="3874"/>
      <c r="Y506" s="3874"/>
      <c r="Z506" s="1719"/>
      <c r="AA506" s="1686">
        <v>1</v>
      </c>
      <c r="AB506" s="1101" t="s">
        <v>1443</v>
      </c>
      <c r="AC506" s="1091">
        <v>1710</v>
      </c>
      <c r="AD506" s="1101" t="str">
        <f>AB506</f>
        <v xml:space="preserve">  Прибыль направляемая на инвестиции</v>
      </c>
      <c r="AE506" s="1091">
        <v>0</v>
      </c>
      <c r="AF506" s="3876"/>
      <c r="AG506" s="3877"/>
      <c r="AH506" s="3877"/>
      <c r="AI506" s="3876"/>
      <c r="AJ506" s="3877"/>
      <c r="AK506" s="3877"/>
      <c r="AL506" s="1874"/>
      <c r="AM506" s="1714"/>
      <c r="AN506" s="1714"/>
      <c r="AO506" s="1714"/>
      <c r="AP506" s="1714"/>
      <c r="AQ506" s="1714"/>
      <c r="AR506" s="1714"/>
      <c r="AS506" s="1714"/>
      <c r="AT506" s="1714"/>
      <c r="AU506" s="1714"/>
      <c r="AV506" s="1714"/>
      <c r="AW506" s="1714"/>
      <c r="AX506" s="1714"/>
      <c r="AY506" s="1714"/>
      <c r="AZ506" s="1714"/>
      <c r="BA506" s="1714"/>
      <c r="BB506" s="1714"/>
      <c r="BC506" s="1714"/>
      <c r="BD506" s="1714"/>
      <c r="BE506" s="1714"/>
      <c r="BF506" s="1714"/>
    </row>
    <row r="507" spans="1:58" ht="11.25" customHeight="1">
      <c r="A507" s="1088" t="s">
        <v>1354</v>
      </c>
      <c r="D507" s="1082"/>
      <c r="E507" s="1092"/>
      <c r="F507" s="3895"/>
      <c r="G507" s="3875"/>
      <c r="H507" s="3885" t="s">
        <v>421</v>
      </c>
      <c r="I507" s="3886"/>
      <c r="J507" s="3883"/>
      <c r="K507" s="3887"/>
      <c r="L507" s="3599"/>
      <c r="M507" s="3600"/>
      <c r="N507" s="3878"/>
      <c r="O507" s="3879"/>
      <c r="P507" s="3882"/>
      <c r="Q507" s="3883"/>
      <c r="R507" s="3874"/>
      <c r="S507" s="3884"/>
      <c r="T507" s="3874"/>
      <c r="U507" s="3874"/>
      <c r="V507" s="3874"/>
      <c r="W507" s="3874"/>
      <c r="X507" s="3874"/>
      <c r="Y507" s="3874"/>
      <c r="Z507" s="1097"/>
      <c r="AA507" s="1098"/>
      <c r="AB507" s="1163" t="s">
        <v>1444</v>
      </c>
      <c r="AC507" s="1102"/>
      <c r="AD507" s="1102"/>
      <c r="AE507" s="1104"/>
      <c r="AF507" s="3876"/>
      <c r="AG507" s="3877"/>
      <c r="AH507" s="3877"/>
      <c r="AI507" s="3876"/>
      <c r="AJ507" s="3877"/>
      <c r="AK507" s="3877"/>
      <c r="AL507" s="1874"/>
      <c r="AM507" s="1714"/>
      <c r="AN507" s="1714"/>
      <c r="AO507" s="1714"/>
      <c r="AP507" s="1714"/>
      <c r="AQ507" s="1714"/>
      <c r="AR507" s="1714"/>
      <c r="AS507" s="1714"/>
      <c r="AT507" s="1714"/>
      <c r="AU507" s="1714"/>
      <c r="AV507" s="1714"/>
      <c r="AW507" s="1714"/>
      <c r="AX507" s="1714"/>
      <c r="AY507" s="1714"/>
      <c r="AZ507" s="1714"/>
      <c r="BA507" s="1714"/>
      <c r="BB507" s="1714"/>
      <c r="BC507" s="1714"/>
      <c r="BD507" s="1714"/>
      <c r="BE507" s="1714"/>
      <c r="BF507" s="1714"/>
    </row>
    <row r="508" spans="1:58" ht="11.25" customHeight="1">
      <c r="A508" s="1088" t="s">
        <v>1354</v>
      </c>
      <c r="D508" s="1082"/>
      <c r="E508" s="1092"/>
      <c r="F508" s="3895"/>
      <c r="G508" s="3875"/>
      <c r="H508" s="3885" t="s">
        <v>421</v>
      </c>
      <c r="I508" s="3886"/>
      <c r="J508" s="3883"/>
      <c r="K508" s="3887"/>
      <c r="L508" s="3599"/>
      <c r="M508" s="3600"/>
      <c r="N508" s="1097"/>
      <c r="O508" s="1098"/>
      <c r="P508" s="1090" t="s">
        <v>1445</v>
      </c>
      <c r="Q508" s="1098"/>
      <c r="R508" s="1098"/>
      <c r="S508" s="1098"/>
      <c r="T508" s="1098"/>
      <c r="U508" s="1098"/>
      <c r="V508" s="1098"/>
      <c r="W508" s="1098"/>
      <c r="X508" s="1098"/>
      <c r="Y508" s="1098"/>
      <c r="Z508" s="1098"/>
      <c r="AA508" s="1098"/>
      <c r="AB508" s="1098"/>
      <c r="AC508" s="1098"/>
      <c r="AD508" s="1098"/>
      <c r="AE508" s="1105"/>
      <c r="AF508" s="3876"/>
      <c r="AG508" s="3877"/>
      <c r="AH508" s="3877"/>
      <c r="AI508" s="3876"/>
      <c r="AJ508" s="3877"/>
      <c r="AK508" s="3877"/>
      <c r="AL508" s="1874"/>
      <c r="AM508" s="1714"/>
      <c r="AN508" s="1714"/>
      <c r="AO508" s="1714"/>
      <c r="AP508" s="1714"/>
      <c r="AQ508" s="1714"/>
      <c r="AR508" s="1714"/>
      <c r="AS508" s="1714"/>
      <c r="AT508" s="1714"/>
      <c r="AU508" s="1714"/>
      <c r="AV508" s="1714"/>
      <c r="AW508" s="1714"/>
      <c r="AX508" s="1714"/>
      <c r="AY508" s="1714"/>
      <c r="AZ508" s="1714"/>
      <c r="BA508" s="1714"/>
      <c r="BB508" s="1714"/>
      <c r="BC508" s="1714"/>
      <c r="BD508" s="1714"/>
      <c r="BE508" s="1714"/>
      <c r="BF508" s="1714"/>
    </row>
    <row r="509" spans="1:58" ht="12" customHeight="1">
      <c r="A509" s="1088" t="s">
        <v>1354</v>
      </c>
      <c r="D509" s="1082"/>
      <c r="E509" s="1092"/>
      <c r="F509" s="3896"/>
      <c r="G509" s="1112"/>
      <c r="H509" s="1112"/>
      <c r="I509" s="3893" t="s">
        <v>1451</v>
      </c>
      <c r="J509" s="3893"/>
      <c r="K509" s="3893"/>
      <c r="L509" s="1095"/>
      <c r="M509" s="1095"/>
      <c r="N509" s="1096"/>
      <c r="O509" s="1096"/>
      <c r="P509" s="1096"/>
      <c r="Q509" s="1096"/>
      <c r="R509" s="1096"/>
      <c r="S509" s="1096"/>
      <c r="T509" s="1096"/>
      <c r="U509" s="1096"/>
      <c r="V509" s="1096"/>
      <c r="W509" s="1096"/>
      <c r="X509" s="1096"/>
      <c r="Y509" s="1096"/>
      <c r="Z509" s="1096"/>
      <c r="AA509" s="1096"/>
      <c r="AB509" s="1096"/>
      <c r="AC509" s="1096"/>
      <c r="AD509" s="1096"/>
      <c r="AE509" s="1096"/>
      <c r="AF509" s="1096"/>
      <c r="AG509" s="1095"/>
      <c r="AH509" s="1095"/>
      <c r="AI509" s="1096"/>
      <c r="AJ509" s="1095"/>
      <c r="AK509" s="1096"/>
      <c r="AL509" s="1874"/>
      <c r="AM509" s="1714"/>
      <c r="AN509" s="1714"/>
      <c r="AO509" s="1714"/>
      <c r="AP509" s="1714"/>
      <c r="AQ509" s="1714"/>
      <c r="AR509" s="1714"/>
      <c r="AS509" s="1714"/>
      <c r="AT509" s="1714"/>
      <c r="AU509" s="1714"/>
      <c r="AV509" s="1714"/>
      <c r="AW509" s="1714"/>
      <c r="AX509" s="1714"/>
      <c r="AY509" s="1714"/>
      <c r="AZ509" s="1714"/>
      <c r="BA509" s="1714"/>
      <c r="BB509" s="1714"/>
      <c r="BC509" s="1714"/>
      <c r="BD509" s="1714"/>
      <c r="BE509" s="1714"/>
      <c r="BF509" s="1714"/>
    </row>
    <row r="510" spans="1:58" ht="0.75" customHeight="1">
      <c r="A510" s="1088" t="s">
        <v>1354</v>
      </c>
      <c r="D510" s="1082"/>
      <c r="E510" s="1092"/>
      <c r="F510" s="3894">
        <v>2033</v>
      </c>
      <c r="G510" s="3885"/>
      <c r="H510" s="3898" t="s">
        <v>421</v>
      </c>
      <c r="I510" s="3899"/>
      <c r="J510" s="3891"/>
      <c r="K510" s="3891"/>
      <c r="L510" s="3892"/>
      <c r="M510" s="3743"/>
      <c r="N510" s="1922"/>
      <c r="O510" s="1921"/>
      <c r="P510" s="1922"/>
      <c r="Q510" s="1922"/>
      <c r="R510" s="1922"/>
      <c r="S510" s="1922"/>
      <c r="T510" s="1922"/>
      <c r="U510" s="1922"/>
      <c r="V510" s="1922"/>
      <c r="W510" s="1922"/>
      <c r="X510" s="1922"/>
      <c r="Y510" s="1922"/>
      <c r="Z510" s="1922"/>
      <c r="AA510" s="1922"/>
      <c r="AB510" s="1922"/>
      <c r="AC510" s="1922"/>
      <c r="AD510" s="1922"/>
      <c r="AE510" s="1922"/>
      <c r="AF510" s="3897"/>
      <c r="AG510" s="3892"/>
      <c r="AH510" s="3892"/>
      <c r="AI510" s="3897"/>
      <c r="AJ510" s="3892"/>
      <c r="AK510" s="3892"/>
      <c r="AL510" s="1874"/>
      <c r="AM510" s="1714"/>
      <c r="AN510" s="1714"/>
      <c r="AO510" s="1714"/>
      <c r="AP510" s="1714"/>
      <c r="AQ510" s="1714"/>
      <c r="AR510" s="1714"/>
      <c r="AS510" s="1714"/>
      <c r="AT510" s="1714"/>
      <c r="AU510" s="1714"/>
      <c r="AV510" s="1714"/>
      <c r="AW510" s="1714"/>
      <c r="AX510" s="1714"/>
      <c r="AY510" s="1714"/>
      <c r="AZ510" s="1714"/>
      <c r="BA510" s="1714"/>
      <c r="BB510" s="1714"/>
      <c r="BC510" s="1714"/>
      <c r="BD510" s="1714"/>
      <c r="BE510" s="1714"/>
      <c r="BF510" s="1714"/>
    </row>
    <row r="511" spans="1:58" ht="0.75" customHeight="1">
      <c r="A511" s="1088" t="s">
        <v>1354</v>
      </c>
      <c r="D511" s="1082"/>
      <c r="E511" s="1092"/>
      <c r="F511" s="3894"/>
      <c r="G511" s="3885"/>
      <c r="H511" s="3898"/>
      <c r="I511" s="3899"/>
      <c r="J511" s="3891"/>
      <c r="K511" s="3891"/>
      <c r="L511" s="3892"/>
      <c r="M511" s="3743"/>
      <c r="N511" s="3900"/>
      <c r="O511" s="3901"/>
      <c r="P511" s="3888"/>
      <c r="Q511" s="3891"/>
      <c r="R511" s="3891"/>
      <c r="S511" s="3891"/>
      <c r="T511" s="3891"/>
      <c r="U511" s="3891"/>
      <c r="V511" s="3891"/>
      <c r="W511" s="3891"/>
      <c r="X511" s="3891"/>
      <c r="Y511" s="3891"/>
      <c r="Z511" s="1923"/>
      <c r="AA511" s="1924"/>
      <c r="AB511" s="1924"/>
      <c r="AC511" s="1925"/>
      <c r="AD511" s="1925"/>
      <c r="AE511" s="1926"/>
      <c r="AF511" s="3897"/>
      <c r="AG511" s="3892"/>
      <c r="AH511" s="3892"/>
      <c r="AI511" s="3897"/>
      <c r="AJ511" s="3892"/>
      <c r="AK511" s="3892"/>
      <c r="AL511" s="1874"/>
      <c r="AM511" s="1714"/>
      <c r="AN511" s="1714"/>
      <c r="AO511" s="1714"/>
      <c r="AP511" s="1714"/>
      <c r="AQ511" s="1714"/>
      <c r="AR511" s="1714"/>
      <c r="AS511" s="1714"/>
      <c r="AT511" s="1714"/>
      <c r="AU511" s="1714"/>
      <c r="AV511" s="1714"/>
      <c r="AW511" s="1714"/>
      <c r="AX511" s="1714"/>
      <c r="AY511" s="1714"/>
      <c r="AZ511" s="1714"/>
      <c r="BA511" s="1714"/>
      <c r="BB511" s="1714"/>
      <c r="BC511" s="1714"/>
      <c r="BD511" s="1714"/>
      <c r="BE511" s="1714"/>
      <c r="BF511" s="1714"/>
    </row>
    <row r="512" spans="1:58" ht="0.75" customHeight="1">
      <c r="A512" s="1088" t="s">
        <v>1354</v>
      </c>
      <c r="D512" s="1082"/>
      <c r="E512" s="1092"/>
      <c r="F512" s="3894"/>
      <c r="G512" s="3885"/>
      <c r="H512" s="3898"/>
      <c r="I512" s="3899"/>
      <c r="J512" s="3891"/>
      <c r="K512" s="3891"/>
      <c r="L512" s="3892"/>
      <c r="M512" s="3743"/>
      <c r="N512" s="3900"/>
      <c r="O512" s="3901"/>
      <c r="P512" s="3889"/>
      <c r="Q512" s="3891"/>
      <c r="R512" s="3891"/>
      <c r="S512" s="3891"/>
      <c r="T512" s="3891"/>
      <c r="U512" s="3891"/>
      <c r="V512" s="3891"/>
      <c r="W512" s="3891"/>
      <c r="X512" s="3891"/>
      <c r="Y512" s="3891"/>
      <c r="Z512" s="1927"/>
      <c r="AA512" s="1928"/>
      <c r="AB512" s="1929"/>
      <c r="AC512" s="1930"/>
      <c r="AD512" s="1929"/>
      <c r="AE512" s="1930"/>
      <c r="AF512" s="3897"/>
      <c r="AG512" s="3892"/>
      <c r="AH512" s="3892"/>
      <c r="AI512" s="3897"/>
      <c r="AJ512" s="3892"/>
      <c r="AK512" s="3892"/>
      <c r="AL512" s="1874"/>
      <c r="AM512" s="1714"/>
      <c r="AN512" s="1714"/>
      <c r="AO512" s="1714"/>
      <c r="AP512" s="1714"/>
      <c r="AQ512" s="1714"/>
      <c r="AR512" s="1714"/>
      <c r="AS512" s="1714"/>
      <c r="AT512" s="1714"/>
      <c r="AU512" s="1714"/>
      <c r="AV512" s="1714"/>
      <c r="AW512" s="1714"/>
      <c r="AX512" s="1714"/>
      <c r="AY512" s="1714"/>
      <c r="AZ512" s="1714"/>
      <c r="BA512" s="1714"/>
      <c r="BB512" s="1714"/>
      <c r="BC512" s="1714"/>
      <c r="BD512" s="1714"/>
      <c r="BE512" s="1714"/>
      <c r="BF512" s="1714"/>
    </row>
    <row r="513" spans="1:58" ht="0.75" customHeight="1">
      <c r="A513" s="1088" t="s">
        <v>1354</v>
      </c>
      <c r="D513" s="1082"/>
      <c r="E513" s="1092"/>
      <c r="F513" s="3894"/>
      <c r="G513" s="3885"/>
      <c r="H513" s="3898"/>
      <c r="I513" s="3899"/>
      <c r="J513" s="3891"/>
      <c r="K513" s="3891"/>
      <c r="L513" s="3892"/>
      <c r="M513" s="3743"/>
      <c r="N513" s="3900"/>
      <c r="O513" s="3901"/>
      <c r="P513" s="3890"/>
      <c r="Q513" s="3891"/>
      <c r="R513" s="3891"/>
      <c r="S513" s="3891"/>
      <c r="T513" s="3891"/>
      <c r="U513" s="3891"/>
      <c r="V513" s="3891"/>
      <c r="W513" s="3891"/>
      <c r="X513" s="3891"/>
      <c r="Y513" s="3891"/>
      <c r="Z513" s="1923"/>
      <c r="AA513" s="1924"/>
      <c r="AB513" s="1931"/>
      <c r="AC513" s="1925"/>
      <c r="AD513" s="1925"/>
      <c r="AE513" s="1932"/>
      <c r="AF513" s="3897"/>
      <c r="AG513" s="3892"/>
      <c r="AH513" s="3892"/>
      <c r="AI513" s="3897"/>
      <c r="AJ513" s="3892"/>
      <c r="AK513" s="3892"/>
      <c r="AL513" s="1874"/>
      <c r="AM513" s="1714"/>
      <c r="AN513" s="1714"/>
      <c r="AO513" s="1714"/>
      <c r="AP513" s="1714"/>
      <c r="AQ513" s="1714"/>
      <c r="AR513" s="1714"/>
      <c r="AS513" s="1714"/>
      <c r="AT513" s="1714"/>
      <c r="AU513" s="1714"/>
      <c r="AV513" s="1714"/>
      <c r="AW513" s="1714"/>
      <c r="AX513" s="1714"/>
      <c r="AY513" s="1714"/>
      <c r="AZ513" s="1714"/>
      <c r="BA513" s="1714"/>
      <c r="BB513" s="1714"/>
      <c r="BC513" s="1714"/>
      <c r="BD513" s="1714"/>
      <c r="BE513" s="1714"/>
      <c r="BF513" s="1714"/>
    </row>
    <row r="514" spans="1:58" ht="0.75" customHeight="1">
      <c r="A514" s="1088" t="s">
        <v>1354</v>
      </c>
      <c r="D514" s="1082"/>
      <c r="E514" s="1092"/>
      <c r="F514" s="3894"/>
      <c r="G514" s="3885"/>
      <c r="H514" s="3898"/>
      <c r="I514" s="3899"/>
      <c r="J514" s="3891"/>
      <c r="K514" s="3891"/>
      <c r="L514" s="3892"/>
      <c r="M514" s="3743"/>
      <c r="N514" s="1924"/>
      <c r="O514" s="1924"/>
      <c r="P514" s="1931"/>
      <c r="Q514" s="1924"/>
      <c r="R514" s="1924"/>
      <c r="S514" s="1924"/>
      <c r="T514" s="1924"/>
      <c r="U514" s="1924"/>
      <c r="V514" s="1924"/>
      <c r="W514" s="1924"/>
      <c r="X514" s="1924"/>
      <c r="Y514" s="1924"/>
      <c r="Z514" s="1924"/>
      <c r="AA514" s="1924"/>
      <c r="AB514" s="1924"/>
      <c r="AC514" s="1924"/>
      <c r="AD514" s="1924"/>
      <c r="AE514" s="1933"/>
      <c r="AF514" s="3897"/>
      <c r="AG514" s="3892"/>
      <c r="AH514" s="3892"/>
      <c r="AI514" s="3897"/>
      <c r="AJ514" s="3892"/>
      <c r="AK514" s="3892"/>
      <c r="AL514" s="1874"/>
      <c r="AM514" s="1714"/>
      <c r="AN514" s="1714"/>
      <c r="AO514" s="1714"/>
      <c r="AP514" s="1714"/>
      <c r="AQ514" s="1714"/>
      <c r="AR514" s="1714"/>
      <c r="AS514" s="1714"/>
      <c r="AT514" s="1714"/>
      <c r="AU514" s="1714"/>
      <c r="AV514" s="1714"/>
      <c r="AW514" s="1714"/>
      <c r="AX514" s="1714"/>
      <c r="AY514" s="1714"/>
      <c r="AZ514" s="1714"/>
      <c r="BA514" s="1714"/>
      <c r="BB514" s="1714"/>
      <c r="BC514" s="1714"/>
      <c r="BD514" s="1714"/>
      <c r="BE514" s="1714"/>
      <c r="BF514" s="1714"/>
    </row>
    <row r="515" spans="1:58" ht="11.25" customHeight="1">
      <c r="A515" s="1088" t="s">
        <v>1354</v>
      </c>
      <c r="D515" s="1082"/>
      <c r="E515" s="1092"/>
      <c r="F515" s="3895"/>
      <c r="G515" s="3853" t="s">
        <v>90</v>
      </c>
      <c r="H515" s="3885" t="s">
        <v>164</v>
      </c>
      <c r="I515" s="3886"/>
      <c r="J515" s="3883"/>
      <c r="K515" s="3887" t="s">
        <v>1488</v>
      </c>
      <c r="L515" s="3599" t="s">
        <v>6</v>
      </c>
      <c r="M515" s="3600"/>
      <c r="N515" s="1872"/>
      <c r="O515" s="1099" t="s">
        <v>421</v>
      </c>
      <c r="P515" s="1100"/>
      <c r="Q515" s="1100"/>
      <c r="R515" s="1100"/>
      <c r="S515" s="1100"/>
      <c r="T515" s="1100"/>
      <c r="U515" s="1100"/>
      <c r="V515" s="1100"/>
      <c r="W515" s="1100"/>
      <c r="X515" s="1100"/>
      <c r="Y515" s="1100"/>
      <c r="Z515" s="1100"/>
      <c r="AA515" s="1100"/>
      <c r="AB515" s="1100"/>
      <c r="AC515" s="1100"/>
      <c r="AD515" s="1100"/>
      <c r="AE515" s="1100"/>
      <c r="AF515" s="3876">
        <v>2025</v>
      </c>
      <c r="AG515" s="3877" t="s">
        <v>1447</v>
      </c>
      <c r="AH515" s="3877" t="s">
        <v>1487</v>
      </c>
      <c r="AI515" s="3876">
        <v>2025</v>
      </c>
      <c r="AJ515" s="3877" t="s">
        <v>1447</v>
      </c>
      <c r="AK515" s="3877" t="s">
        <v>1487</v>
      </c>
      <c r="AL515" s="1874"/>
      <c r="AM515" s="1714"/>
      <c r="AN515" s="1714"/>
      <c r="AO515" s="1714"/>
      <c r="AP515" s="1714"/>
      <c r="AQ515" s="1714"/>
      <c r="AR515" s="1714"/>
      <c r="AS515" s="1714"/>
      <c r="AT515" s="1714"/>
      <c r="AU515" s="1714"/>
      <c r="AV515" s="1714"/>
      <c r="AW515" s="1714"/>
      <c r="AX515" s="1714"/>
      <c r="AY515" s="1714"/>
      <c r="AZ515" s="1714"/>
      <c r="BA515" s="1714"/>
      <c r="BB515" s="1714"/>
      <c r="BC515" s="1714"/>
      <c r="BD515" s="1714"/>
      <c r="BE515" s="1714"/>
      <c r="BF515" s="1714"/>
    </row>
    <row r="516" spans="1:58" ht="11.25" customHeight="1">
      <c r="A516" s="1088" t="s">
        <v>1354</v>
      </c>
      <c r="D516" s="1082"/>
      <c r="E516" s="1092"/>
      <c r="F516" s="3895"/>
      <c r="G516" s="3875"/>
      <c r="H516" s="3885" t="s">
        <v>421</v>
      </c>
      <c r="I516" s="3886"/>
      <c r="J516" s="3883"/>
      <c r="K516" s="3887"/>
      <c r="L516" s="3599"/>
      <c r="M516" s="3600"/>
      <c r="N516" s="3878"/>
      <c r="O516" s="3879">
        <v>1</v>
      </c>
      <c r="P516" s="3880" t="s">
        <v>50</v>
      </c>
      <c r="Q516" s="3883" t="s">
        <v>1489</v>
      </c>
      <c r="R516" s="3884" t="s">
        <v>1457</v>
      </c>
      <c r="S516" s="3884" t="s">
        <v>136</v>
      </c>
      <c r="T516" s="3884" t="s">
        <v>136</v>
      </c>
      <c r="U516" s="3884" t="s">
        <v>137</v>
      </c>
      <c r="V516" s="3884" t="s">
        <v>1490</v>
      </c>
      <c r="W516" s="3884" t="s">
        <v>1491</v>
      </c>
      <c r="X516" s="3884" t="s">
        <v>1492</v>
      </c>
      <c r="Y516" s="3884" t="s">
        <v>1442</v>
      </c>
      <c r="Z516" s="1097"/>
      <c r="AA516" s="1098"/>
      <c r="AB516" s="1098"/>
      <c r="AC516" s="1102"/>
      <c r="AD516" s="1102"/>
      <c r="AE516" s="1103"/>
      <c r="AF516" s="3876"/>
      <c r="AG516" s="3877"/>
      <c r="AH516" s="3877"/>
      <c r="AI516" s="3876"/>
      <c r="AJ516" s="3877"/>
      <c r="AK516" s="3877"/>
      <c r="AL516" s="1874"/>
      <c r="AM516" s="1714"/>
      <c r="AN516" s="1714"/>
      <c r="AO516" s="1714"/>
      <c r="AP516" s="1714"/>
      <c r="AQ516" s="1714"/>
      <c r="AR516" s="1714"/>
      <c r="AS516" s="1714"/>
      <c r="AT516" s="1714"/>
      <c r="AU516" s="1714"/>
      <c r="AV516" s="1714"/>
      <c r="AW516" s="1714"/>
      <c r="AX516" s="1714"/>
      <c r="AY516" s="1714"/>
      <c r="AZ516" s="1714"/>
      <c r="BA516" s="1714"/>
      <c r="BB516" s="1714"/>
      <c r="BC516" s="1714"/>
      <c r="BD516" s="1714"/>
      <c r="BE516" s="1714"/>
      <c r="BF516" s="1714"/>
    </row>
    <row r="517" spans="1:58" ht="11.25" customHeight="1">
      <c r="A517" s="1088" t="s">
        <v>1354</v>
      </c>
      <c r="D517" s="1082"/>
      <c r="E517" s="1092"/>
      <c r="F517" s="3895"/>
      <c r="G517" s="3875"/>
      <c r="H517" s="3885" t="s">
        <v>421</v>
      </c>
      <c r="I517" s="3886"/>
      <c r="J517" s="3883"/>
      <c r="K517" s="3887"/>
      <c r="L517" s="3599"/>
      <c r="M517" s="3600"/>
      <c r="N517" s="3878"/>
      <c r="O517" s="3879"/>
      <c r="P517" s="3881"/>
      <c r="Q517" s="3883"/>
      <c r="R517" s="3874"/>
      <c r="S517" s="3884"/>
      <c r="T517" s="3874"/>
      <c r="U517" s="3874"/>
      <c r="V517" s="3874"/>
      <c r="W517" s="3874"/>
      <c r="X517" s="3874"/>
      <c r="Y517" s="3874"/>
      <c r="Z517" s="1719"/>
      <c r="AA517" s="1686">
        <v>1</v>
      </c>
      <c r="AB517" s="1101" t="s">
        <v>1443</v>
      </c>
      <c r="AC517" s="1091">
        <v>1710</v>
      </c>
      <c r="AD517" s="1101" t="str">
        <f>AB517</f>
        <v xml:space="preserve">  Прибыль направляемая на инвестиции</v>
      </c>
      <c r="AE517" s="1091">
        <v>0</v>
      </c>
      <c r="AF517" s="3876"/>
      <c r="AG517" s="3877"/>
      <c r="AH517" s="3877"/>
      <c r="AI517" s="3876"/>
      <c r="AJ517" s="3877"/>
      <c r="AK517" s="3877"/>
      <c r="AL517" s="1874"/>
      <c r="AM517" s="1714"/>
      <c r="AN517" s="1714"/>
      <c r="AO517" s="1714"/>
      <c r="AP517" s="1714"/>
      <c r="AQ517" s="1714"/>
      <c r="AR517" s="1714"/>
      <c r="AS517" s="1714"/>
      <c r="AT517" s="1714"/>
      <c r="AU517" s="1714"/>
      <c r="AV517" s="1714"/>
      <c r="AW517" s="1714"/>
      <c r="AX517" s="1714"/>
      <c r="AY517" s="1714"/>
      <c r="AZ517" s="1714"/>
      <c r="BA517" s="1714"/>
      <c r="BB517" s="1714"/>
      <c r="BC517" s="1714"/>
      <c r="BD517" s="1714"/>
      <c r="BE517" s="1714"/>
      <c r="BF517" s="1714"/>
    </row>
    <row r="518" spans="1:58" ht="11.25" customHeight="1">
      <c r="A518" s="1088" t="s">
        <v>1354</v>
      </c>
      <c r="D518" s="1082"/>
      <c r="E518" s="1092"/>
      <c r="F518" s="3895"/>
      <c r="G518" s="3875"/>
      <c r="H518" s="3885" t="s">
        <v>421</v>
      </c>
      <c r="I518" s="3886"/>
      <c r="J518" s="3883"/>
      <c r="K518" s="3887"/>
      <c r="L518" s="3599"/>
      <c r="M518" s="3600"/>
      <c r="N518" s="3878"/>
      <c r="O518" s="3879"/>
      <c r="P518" s="3882"/>
      <c r="Q518" s="3883"/>
      <c r="R518" s="3874"/>
      <c r="S518" s="3884"/>
      <c r="T518" s="3874"/>
      <c r="U518" s="3874"/>
      <c r="V518" s="3874"/>
      <c r="W518" s="3874"/>
      <c r="X518" s="3874"/>
      <c r="Y518" s="3874"/>
      <c r="Z518" s="1097"/>
      <c r="AA518" s="1098"/>
      <c r="AB518" s="1163" t="s">
        <v>1444</v>
      </c>
      <c r="AC518" s="1102"/>
      <c r="AD518" s="1102"/>
      <c r="AE518" s="1104"/>
      <c r="AF518" s="3876"/>
      <c r="AG518" s="3877"/>
      <c r="AH518" s="3877"/>
      <c r="AI518" s="3876"/>
      <c r="AJ518" s="3877"/>
      <c r="AK518" s="3877"/>
      <c r="AL518" s="1874"/>
      <c r="AM518" s="1714"/>
      <c r="AN518" s="1714"/>
      <c r="AO518" s="1714"/>
      <c r="AP518" s="1714"/>
      <c r="AQ518" s="1714"/>
      <c r="AR518" s="1714"/>
      <c r="AS518" s="1714"/>
      <c r="AT518" s="1714"/>
      <c r="AU518" s="1714"/>
      <c r="AV518" s="1714"/>
      <c r="AW518" s="1714"/>
      <c r="AX518" s="1714"/>
      <c r="AY518" s="1714"/>
      <c r="AZ518" s="1714"/>
      <c r="BA518" s="1714"/>
      <c r="BB518" s="1714"/>
      <c r="BC518" s="1714"/>
      <c r="BD518" s="1714"/>
      <c r="BE518" s="1714"/>
      <c r="BF518" s="1714"/>
    </row>
    <row r="519" spans="1:58" ht="11.25" customHeight="1">
      <c r="A519" s="1088" t="s">
        <v>1354</v>
      </c>
      <c r="D519" s="1082"/>
      <c r="E519" s="1092"/>
      <c r="F519" s="3895"/>
      <c r="G519" s="3875"/>
      <c r="H519" s="3885" t="s">
        <v>421</v>
      </c>
      <c r="I519" s="3886"/>
      <c r="J519" s="3883"/>
      <c r="K519" s="3887"/>
      <c r="L519" s="3599"/>
      <c r="M519" s="3600"/>
      <c r="N519" s="1097"/>
      <c r="O519" s="1098"/>
      <c r="P519" s="1090" t="s">
        <v>1445</v>
      </c>
      <c r="Q519" s="1098"/>
      <c r="R519" s="1098"/>
      <c r="S519" s="1098"/>
      <c r="T519" s="1098"/>
      <c r="U519" s="1098"/>
      <c r="V519" s="1098"/>
      <c r="W519" s="1098"/>
      <c r="X519" s="1098"/>
      <c r="Y519" s="1098"/>
      <c r="Z519" s="1098"/>
      <c r="AA519" s="1098"/>
      <c r="AB519" s="1098"/>
      <c r="AC519" s="1098"/>
      <c r="AD519" s="1098"/>
      <c r="AE519" s="1105"/>
      <c r="AF519" s="3876"/>
      <c r="AG519" s="3877"/>
      <c r="AH519" s="3877"/>
      <c r="AI519" s="3876"/>
      <c r="AJ519" s="3877"/>
      <c r="AK519" s="3877"/>
      <c r="AL519" s="1874"/>
      <c r="AM519" s="1714"/>
      <c r="AN519" s="1714"/>
      <c r="AO519" s="1714"/>
      <c r="AP519" s="1714"/>
      <c r="AQ519" s="1714"/>
      <c r="AR519" s="1714"/>
      <c r="AS519" s="1714"/>
      <c r="AT519" s="1714"/>
      <c r="AU519" s="1714"/>
      <c r="AV519" s="1714"/>
      <c r="AW519" s="1714"/>
      <c r="AX519" s="1714"/>
      <c r="AY519" s="1714"/>
      <c r="AZ519" s="1714"/>
      <c r="BA519" s="1714"/>
      <c r="BB519" s="1714"/>
      <c r="BC519" s="1714"/>
      <c r="BD519" s="1714"/>
      <c r="BE519" s="1714"/>
      <c r="BF519" s="1714"/>
    </row>
    <row r="520" spans="1:58" ht="12" customHeight="1">
      <c r="A520" s="1088" t="s">
        <v>1354</v>
      </c>
      <c r="D520" s="1082"/>
      <c r="E520" s="1092"/>
      <c r="F520" s="3896"/>
      <c r="G520" s="1112"/>
      <c r="H520" s="1112"/>
      <c r="I520" s="3893" t="s">
        <v>1451</v>
      </c>
      <c r="J520" s="3893"/>
      <c r="K520" s="3893"/>
      <c r="L520" s="1095"/>
      <c r="M520" s="1095"/>
      <c r="N520" s="1096"/>
      <c r="O520" s="1096"/>
      <c r="P520" s="1096"/>
      <c r="Q520" s="1096"/>
      <c r="R520" s="1096"/>
      <c r="S520" s="1096"/>
      <c r="T520" s="1096"/>
      <c r="U520" s="1096"/>
      <c r="V520" s="1096"/>
      <c r="W520" s="1096"/>
      <c r="X520" s="1096"/>
      <c r="Y520" s="1096"/>
      <c r="Z520" s="1096"/>
      <c r="AA520" s="1096"/>
      <c r="AB520" s="1096"/>
      <c r="AC520" s="1096"/>
      <c r="AD520" s="1096"/>
      <c r="AE520" s="1096"/>
      <c r="AF520" s="1096"/>
      <c r="AG520" s="1095"/>
      <c r="AH520" s="1095"/>
      <c r="AI520" s="1096"/>
      <c r="AJ520" s="1095"/>
      <c r="AK520" s="1096"/>
      <c r="AL520" s="1874"/>
      <c r="AM520" s="1714"/>
      <c r="AN520" s="1714"/>
      <c r="AO520" s="1714"/>
      <c r="AP520" s="1714"/>
      <c r="AQ520" s="1714"/>
      <c r="AR520" s="1714"/>
      <c r="AS520" s="1714"/>
      <c r="AT520" s="1714"/>
      <c r="AU520" s="1714"/>
      <c r="AV520" s="1714"/>
      <c r="AW520" s="1714"/>
      <c r="AX520" s="1714"/>
      <c r="AY520" s="1714"/>
      <c r="AZ520" s="1714"/>
      <c r="BA520" s="1714"/>
      <c r="BB520" s="1714"/>
      <c r="BC520" s="1714"/>
      <c r="BD520" s="1714"/>
      <c r="BE520" s="1714"/>
      <c r="BF520" s="1714"/>
    </row>
    <row r="521" spans="1:58" ht="0.75" customHeight="1">
      <c r="A521" s="1088" t="s">
        <v>1354</v>
      </c>
      <c r="D521" s="1082"/>
      <c r="E521" s="1092"/>
      <c r="F521" s="3894">
        <v>2034</v>
      </c>
      <c r="G521" s="3885"/>
      <c r="H521" s="3898" t="s">
        <v>421</v>
      </c>
      <c r="I521" s="3899"/>
      <c r="J521" s="3891"/>
      <c r="K521" s="3891"/>
      <c r="L521" s="3892"/>
      <c r="M521" s="3743"/>
      <c r="N521" s="1922"/>
      <c r="O521" s="1921"/>
      <c r="P521" s="1922"/>
      <c r="Q521" s="1922"/>
      <c r="R521" s="1922"/>
      <c r="S521" s="1922"/>
      <c r="T521" s="1922"/>
      <c r="U521" s="1922"/>
      <c r="V521" s="1922"/>
      <c r="W521" s="1922"/>
      <c r="X521" s="1922"/>
      <c r="Y521" s="1922"/>
      <c r="Z521" s="1922"/>
      <c r="AA521" s="1922"/>
      <c r="AB521" s="1922"/>
      <c r="AC521" s="1922"/>
      <c r="AD521" s="1922"/>
      <c r="AE521" s="1922"/>
      <c r="AF521" s="3897"/>
      <c r="AG521" s="3892"/>
      <c r="AH521" s="3892"/>
      <c r="AI521" s="3897"/>
      <c r="AJ521" s="3892"/>
      <c r="AK521" s="3892"/>
      <c r="AL521" s="1874"/>
      <c r="AM521" s="1714"/>
      <c r="AN521" s="1714"/>
      <c r="AO521" s="1714"/>
      <c r="AP521" s="1714"/>
      <c r="AQ521" s="1714"/>
      <c r="AR521" s="1714"/>
      <c r="AS521" s="1714"/>
      <c r="AT521" s="1714"/>
      <c r="AU521" s="1714"/>
      <c r="AV521" s="1714"/>
      <c r="AW521" s="1714"/>
      <c r="AX521" s="1714"/>
      <c r="AY521" s="1714"/>
      <c r="AZ521" s="1714"/>
      <c r="BA521" s="1714"/>
      <c r="BB521" s="1714"/>
      <c r="BC521" s="1714"/>
      <c r="BD521" s="1714"/>
      <c r="BE521" s="1714"/>
      <c r="BF521" s="1714"/>
    </row>
    <row r="522" spans="1:58" ht="0.75" customHeight="1">
      <c r="A522" s="1088" t="s">
        <v>1354</v>
      </c>
      <c r="D522" s="1082"/>
      <c r="E522" s="1092"/>
      <c r="F522" s="3894"/>
      <c r="G522" s="3885"/>
      <c r="H522" s="3898"/>
      <c r="I522" s="3899"/>
      <c r="J522" s="3891"/>
      <c r="K522" s="3891"/>
      <c r="L522" s="3892"/>
      <c r="M522" s="3743"/>
      <c r="N522" s="3900"/>
      <c r="O522" s="3901"/>
      <c r="P522" s="3888"/>
      <c r="Q522" s="3891"/>
      <c r="R522" s="3891"/>
      <c r="S522" s="3891"/>
      <c r="T522" s="3891"/>
      <c r="U522" s="3891"/>
      <c r="V522" s="3891"/>
      <c r="W522" s="3891"/>
      <c r="X522" s="3891"/>
      <c r="Y522" s="3891"/>
      <c r="Z522" s="1923"/>
      <c r="AA522" s="1924"/>
      <c r="AB522" s="1924"/>
      <c r="AC522" s="1925"/>
      <c r="AD522" s="1925"/>
      <c r="AE522" s="1926"/>
      <c r="AF522" s="3897"/>
      <c r="AG522" s="3892"/>
      <c r="AH522" s="3892"/>
      <c r="AI522" s="3897"/>
      <c r="AJ522" s="3892"/>
      <c r="AK522" s="3892"/>
      <c r="AL522" s="1874"/>
      <c r="AM522" s="1714"/>
      <c r="AN522" s="1714"/>
      <c r="AO522" s="1714"/>
      <c r="AP522" s="1714"/>
      <c r="AQ522" s="1714"/>
      <c r="AR522" s="1714"/>
      <c r="AS522" s="1714"/>
      <c r="AT522" s="1714"/>
      <c r="AU522" s="1714"/>
      <c r="AV522" s="1714"/>
      <c r="AW522" s="1714"/>
      <c r="AX522" s="1714"/>
      <c r="AY522" s="1714"/>
      <c r="AZ522" s="1714"/>
      <c r="BA522" s="1714"/>
      <c r="BB522" s="1714"/>
      <c r="BC522" s="1714"/>
      <c r="BD522" s="1714"/>
      <c r="BE522" s="1714"/>
      <c r="BF522" s="1714"/>
    </row>
    <row r="523" spans="1:58" ht="0.75" customHeight="1">
      <c r="A523" s="1088" t="s">
        <v>1354</v>
      </c>
      <c r="D523" s="1082"/>
      <c r="E523" s="1092"/>
      <c r="F523" s="3894"/>
      <c r="G523" s="3885"/>
      <c r="H523" s="3898"/>
      <c r="I523" s="3899"/>
      <c r="J523" s="3891"/>
      <c r="K523" s="3891"/>
      <c r="L523" s="3892"/>
      <c r="M523" s="3743"/>
      <c r="N523" s="3900"/>
      <c r="O523" s="3901"/>
      <c r="P523" s="3889"/>
      <c r="Q523" s="3891"/>
      <c r="R523" s="3891"/>
      <c r="S523" s="3891"/>
      <c r="T523" s="3891"/>
      <c r="U523" s="3891"/>
      <c r="V523" s="3891"/>
      <c r="W523" s="3891"/>
      <c r="X523" s="3891"/>
      <c r="Y523" s="3891"/>
      <c r="Z523" s="1927"/>
      <c r="AA523" s="1928"/>
      <c r="AB523" s="1929"/>
      <c r="AC523" s="1930"/>
      <c r="AD523" s="1929"/>
      <c r="AE523" s="1930"/>
      <c r="AF523" s="3897"/>
      <c r="AG523" s="3892"/>
      <c r="AH523" s="3892"/>
      <c r="AI523" s="3897"/>
      <c r="AJ523" s="3892"/>
      <c r="AK523" s="3892"/>
      <c r="AL523" s="1874"/>
      <c r="AM523" s="1714"/>
      <c r="AN523" s="1714"/>
      <c r="AO523" s="1714"/>
      <c r="AP523" s="1714"/>
      <c r="AQ523" s="1714"/>
      <c r="AR523" s="1714"/>
      <c r="AS523" s="1714"/>
      <c r="AT523" s="1714"/>
      <c r="AU523" s="1714"/>
      <c r="AV523" s="1714"/>
      <c r="AW523" s="1714"/>
      <c r="AX523" s="1714"/>
      <c r="AY523" s="1714"/>
      <c r="AZ523" s="1714"/>
      <c r="BA523" s="1714"/>
      <c r="BB523" s="1714"/>
      <c r="BC523" s="1714"/>
      <c r="BD523" s="1714"/>
      <c r="BE523" s="1714"/>
      <c r="BF523" s="1714"/>
    </row>
    <row r="524" spans="1:58" ht="0.75" customHeight="1">
      <c r="A524" s="1088" t="s">
        <v>1354</v>
      </c>
      <c r="D524" s="1082"/>
      <c r="E524" s="1092"/>
      <c r="F524" s="3894"/>
      <c r="G524" s="3885"/>
      <c r="H524" s="3898"/>
      <c r="I524" s="3899"/>
      <c r="J524" s="3891"/>
      <c r="K524" s="3891"/>
      <c r="L524" s="3892"/>
      <c r="M524" s="3743"/>
      <c r="N524" s="3900"/>
      <c r="O524" s="3901"/>
      <c r="P524" s="3890"/>
      <c r="Q524" s="3891"/>
      <c r="R524" s="3891"/>
      <c r="S524" s="3891"/>
      <c r="T524" s="3891"/>
      <c r="U524" s="3891"/>
      <c r="V524" s="3891"/>
      <c r="W524" s="3891"/>
      <c r="X524" s="3891"/>
      <c r="Y524" s="3891"/>
      <c r="Z524" s="1923"/>
      <c r="AA524" s="1924"/>
      <c r="AB524" s="1931"/>
      <c r="AC524" s="1925"/>
      <c r="AD524" s="1925"/>
      <c r="AE524" s="1932"/>
      <c r="AF524" s="3897"/>
      <c r="AG524" s="3892"/>
      <c r="AH524" s="3892"/>
      <c r="AI524" s="3897"/>
      <c r="AJ524" s="3892"/>
      <c r="AK524" s="3892"/>
      <c r="AL524" s="1874"/>
      <c r="AM524" s="1714"/>
      <c r="AN524" s="1714"/>
      <c r="AO524" s="1714"/>
      <c r="AP524" s="1714"/>
      <c r="AQ524" s="1714"/>
      <c r="AR524" s="1714"/>
      <c r="AS524" s="1714"/>
      <c r="AT524" s="1714"/>
      <c r="AU524" s="1714"/>
      <c r="AV524" s="1714"/>
      <c r="AW524" s="1714"/>
      <c r="AX524" s="1714"/>
      <c r="AY524" s="1714"/>
      <c r="AZ524" s="1714"/>
      <c r="BA524" s="1714"/>
      <c r="BB524" s="1714"/>
      <c r="BC524" s="1714"/>
      <c r="BD524" s="1714"/>
      <c r="BE524" s="1714"/>
      <c r="BF524" s="1714"/>
    </row>
    <row r="525" spans="1:58" ht="0.75" customHeight="1">
      <c r="A525" s="1088" t="s">
        <v>1354</v>
      </c>
      <c r="D525" s="1082"/>
      <c r="E525" s="1092"/>
      <c r="F525" s="3894"/>
      <c r="G525" s="3885"/>
      <c r="H525" s="3898"/>
      <c r="I525" s="3899"/>
      <c r="J525" s="3891"/>
      <c r="K525" s="3891"/>
      <c r="L525" s="3892"/>
      <c r="M525" s="3743"/>
      <c r="N525" s="1924"/>
      <c r="O525" s="1924"/>
      <c r="P525" s="1931"/>
      <c r="Q525" s="1924"/>
      <c r="R525" s="1924"/>
      <c r="S525" s="1924"/>
      <c r="T525" s="1924"/>
      <c r="U525" s="1924"/>
      <c r="V525" s="1924"/>
      <c r="W525" s="1924"/>
      <c r="X525" s="1924"/>
      <c r="Y525" s="1924"/>
      <c r="Z525" s="1924"/>
      <c r="AA525" s="1924"/>
      <c r="AB525" s="1924"/>
      <c r="AC525" s="1924"/>
      <c r="AD525" s="1924"/>
      <c r="AE525" s="1933"/>
      <c r="AF525" s="3897"/>
      <c r="AG525" s="3892"/>
      <c r="AH525" s="3892"/>
      <c r="AI525" s="3897"/>
      <c r="AJ525" s="3892"/>
      <c r="AK525" s="3892"/>
      <c r="AL525" s="1874"/>
      <c r="AM525" s="1714"/>
      <c r="AN525" s="1714"/>
      <c r="AO525" s="1714"/>
      <c r="AP525" s="1714"/>
      <c r="AQ525" s="1714"/>
      <c r="AR525" s="1714"/>
      <c r="AS525" s="1714"/>
      <c r="AT525" s="1714"/>
      <c r="AU525" s="1714"/>
      <c r="AV525" s="1714"/>
      <c r="AW525" s="1714"/>
      <c r="AX525" s="1714"/>
      <c r="AY525" s="1714"/>
      <c r="AZ525" s="1714"/>
      <c r="BA525" s="1714"/>
      <c r="BB525" s="1714"/>
      <c r="BC525" s="1714"/>
      <c r="BD525" s="1714"/>
      <c r="BE525" s="1714"/>
      <c r="BF525" s="1714"/>
    </row>
    <row r="526" spans="1:58" ht="11.25" customHeight="1">
      <c r="A526" s="1088" t="s">
        <v>1354</v>
      </c>
      <c r="D526" s="1082"/>
      <c r="E526" s="1092"/>
      <c r="F526" s="3895"/>
      <c r="G526" s="3853" t="s">
        <v>90</v>
      </c>
      <c r="H526" s="3885" t="s">
        <v>164</v>
      </c>
      <c r="I526" s="3886"/>
      <c r="J526" s="3883"/>
      <c r="K526" s="3887" t="s">
        <v>1488</v>
      </c>
      <c r="L526" s="3599" t="s">
        <v>6</v>
      </c>
      <c r="M526" s="3600"/>
      <c r="N526" s="1872"/>
      <c r="O526" s="1099" t="s">
        <v>421</v>
      </c>
      <c r="P526" s="1100"/>
      <c r="Q526" s="1100"/>
      <c r="R526" s="1100"/>
      <c r="S526" s="1100"/>
      <c r="T526" s="1100"/>
      <c r="U526" s="1100"/>
      <c r="V526" s="1100"/>
      <c r="W526" s="1100"/>
      <c r="X526" s="1100"/>
      <c r="Y526" s="1100"/>
      <c r="Z526" s="1100"/>
      <c r="AA526" s="1100"/>
      <c r="AB526" s="1100"/>
      <c r="AC526" s="1100"/>
      <c r="AD526" s="1100"/>
      <c r="AE526" s="1100"/>
      <c r="AF526" s="3876">
        <v>2025</v>
      </c>
      <c r="AG526" s="3877" t="s">
        <v>1447</v>
      </c>
      <c r="AH526" s="3877" t="s">
        <v>1487</v>
      </c>
      <c r="AI526" s="3876">
        <v>2025</v>
      </c>
      <c r="AJ526" s="3877" t="s">
        <v>1447</v>
      </c>
      <c r="AK526" s="3877" t="s">
        <v>1487</v>
      </c>
      <c r="AL526" s="1874"/>
      <c r="AM526" s="1714"/>
      <c r="AN526" s="1714"/>
      <c r="AO526" s="1714"/>
      <c r="AP526" s="1714"/>
      <c r="AQ526" s="1714"/>
      <c r="AR526" s="1714"/>
      <c r="AS526" s="1714"/>
      <c r="AT526" s="1714"/>
      <c r="AU526" s="1714"/>
      <c r="AV526" s="1714"/>
      <c r="AW526" s="1714"/>
      <c r="AX526" s="1714"/>
      <c r="AY526" s="1714"/>
      <c r="AZ526" s="1714"/>
      <c r="BA526" s="1714"/>
      <c r="BB526" s="1714"/>
      <c r="BC526" s="1714"/>
      <c r="BD526" s="1714"/>
      <c r="BE526" s="1714"/>
      <c r="BF526" s="1714"/>
    </row>
    <row r="527" spans="1:58" ht="11.25" customHeight="1">
      <c r="A527" s="1088" t="s">
        <v>1354</v>
      </c>
      <c r="D527" s="1082"/>
      <c r="E527" s="1092"/>
      <c r="F527" s="3895"/>
      <c r="G527" s="3875"/>
      <c r="H527" s="3885" t="s">
        <v>421</v>
      </c>
      <c r="I527" s="3886"/>
      <c r="J527" s="3883"/>
      <c r="K527" s="3887"/>
      <c r="L527" s="3599"/>
      <c r="M527" s="3600"/>
      <c r="N527" s="3878"/>
      <c r="O527" s="3879">
        <v>1</v>
      </c>
      <c r="P527" s="3880" t="s">
        <v>50</v>
      </c>
      <c r="Q527" s="3883" t="s">
        <v>1489</v>
      </c>
      <c r="R527" s="3884" t="s">
        <v>1457</v>
      </c>
      <c r="S527" s="3884" t="s">
        <v>136</v>
      </c>
      <c r="T527" s="3884" t="s">
        <v>136</v>
      </c>
      <c r="U527" s="3884" t="s">
        <v>137</v>
      </c>
      <c r="V527" s="3884" t="s">
        <v>1490</v>
      </c>
      <c r="W527" s="3884" t="s">
        <v>1491</v>
      </c>
      <c r="X527" s="3884" t="s">
        <v>1492</v>
      </c>
      <c r="Y527" s="3884" t="s">
        <v>1442</v>
      </c>
      <c r="Z527" s="1097"/>
      <c r="AA527" s="1098"/>
      <c r="AB527" s="1098"/>
      <c r="AC527" s="1102"/>
      <c r="AD527" s="1102"/>
      <c r="AE527" s="1103"/>
      <c r="AF527" s="3876"/>
      <c r="AG527" s="3877"/>
      <c r="AH527" s="3877"/>
      <c r="AI527" s="3876"/>
      <c r="AJ527" s="3877"/>
      <c r="AK527" s="3877"/>
      <c r="AL527" s="1874"/>
      <c r="AM527" s="1714"/>
      <c r="AN527" s="1714"/>
      <c r="AO527" s="1714"/>
      <c r="AP527" s="1714"/>
      <c r="AQ527" s="1714"/>
      <c r="AR527" s="1714"/>
      <c r="AS527" s="1714"/>
      <c r="AT527" s="1714"/>
      <c r="AU527" s="1714"/>
      <c r="AV527" s="1714"/>
      <c r="AW527" s="1714"/>
      <c r="AX527" s="1714"/>
      <c r="AY527" s="1714"/>
      <c r="AZ527" s="1714"/>
      <c r="BA527" s="1714"/>
      <c r="BB527" s="1714"/>
      <c r="BC527" s="1714"/>
      <c r="BD527" s="1714"/>
      <c r="BE527" s="1714"/>
      <c r="BF527" s="1714"/>
    </row>
    <row r="528" spans="1:58" ht="11.25" customHeight="1">
      <c r="A528" s="1088" t="s">
        <v>1354</v>
      </c>
      <c r="D528" s="1082"/>
      <c r="E528" s="1092"/>
      <c r="F528" s="3895"/>
      <c r="G528" s="3875"/>
      <c r="H528" s="3885" t="s">
        <v>421</v>
      </c>
      <c r="I528" s="3886"/>
      <c r="J528" s="3883"/>
      <c r="K528" s="3887"/>
      <c r="L528" s="3599"/>
      <c r="M528" s="3600"/>
      <c r="N528" s="3878"/>
      <c r="O528" s="3879"/>
      <c r="P528" s="3881"/>
      <c r="Q528" s="3883"/>
      <c r="R528" s="3874"/>
      <c r="S528" s="3884"/>
      <c r="T528" s="3874"/>
      <c r="U528" s="3874"/>
      <c r="V528" s="3874"/>
      <c r="W528" s="3874"/>
      <c r="X528" s="3874"/>
      <c r="Y528" s="3874"/>
      <c r="Z528" s="1719"/>
      <c r="AA528" s="1686">
        <v>1</v>
      </c>
      <c r="AB528" s="1101" t="s">
        <v>1443</v>
      </c>
      <c r="AC528" s="1091">
        <v>1710</v>
      </c>
      <c r="AD528" s="1101" t="str">
        <f>AB528</f>
        <v xml:space="preserve">  Прибыль направляемая на инвестиции</v>
      </c>
      <c r="AE528" s="1091">
        <v>0</v>
      </c>
      <c r="AF528" s="3876"/>
      <c r="AG528" s="3877"/>
      <c r="AH528" s="3877"/>
      <c r="AI528" s="3876"/>
      <c r="AJ528" s="3877"/>
      <c r="AK528" s="3877"/>
      <c r="AL528" s="1874"/>
      <c r="AM528" s="1714"/>
      <c r="AN528" s="1714"/>
      <c r="AO528" s="1714"/>
      <c r="AP528" s="1714"/>
      <c r="AQ528" s="1714"/>
      <c r="AR528" s="1714"/>
      <c r="AS528" s="1714"/>
      <c r="AT528" s="1714"/>
      <c r="AU528" s="1714"/>
      <c r="AV528" s="1714"/>
      <c r="AW528" s="1714"/>
      <c r="AX528" s="1714"/>
      <c r="AY528" s="1714"/>
      <c r="AZ528" s="1714"/>
      <c r="BA528" s="1714"/>
      <c r="BB528" s="1714"/>
      <c r="BC528" s="1714"/>
      <c r="BD528" s="1714"/>
      <c r="BE528" s="1714"/>
      <c r="BF528" s="1714"/>
    </row>
    <row r="529" spans="1:58" ht="11.25" customHeight="1">
      <c r="A529" s="1088" t="s">
        <v>1354</v>
      </c>
      <c r="D529" s="1082"/>
      <c r="E529" s="1092"/>
      <c r="F529" s="3895"/>
      <c r="G529" s="3875"/>
      <c r="H529" s="3885" t="s">
        <v>421</v>
      </c>
      <c r="I529" s="3886"/>
      <c r="J529" s="3883"/>
      <c r="K529" s="3887"/>
      <c r="L529" s="3599"/>
      <c r="M529" s="3600"/>
      <c r="N529" s="3878"/>
      <c r="O529" s="3879"/>
      <c r="P529" s="3882"/>
      <c r="Q529" s="3883"/>
      <c r="R529" s="3874"/>
      <c r="S529" s="3884"/>
      <c r="T529" s="3874"/>
      <c r="U529" s="3874"/>
      <c r="V529" s="3874"/>
      <c r="W529" s="3874"/>
      <c r="X529" s="3874"/>
      <c r="Y529" s="3874"/>
      <c r="Z529" s="1097"/>
      <c r="AA529" s="1098"/>
      <c r="AB529" s="1163" t="s">
        <v>1444</v>
      </c>
      <c r="AC529" s="1102"/>
      <c r="AD529" s="1102"/>
      <c r="AE529" s="1104"/>
      <c r="AF529" s="3876"/>
      <c r="AG529" s="3877"/>
      <c r="AH529" s="3877"/>
      <c r="AI529" s="3876"/>
      <c r="AJ529" s="3877"/>
      <c r="AK529" s="3877"/>
      <c r="AL529" s="1874"/>
      <c r="AM529" s="1714"/>
      <c r="AN529" s="1714"/>
      <c r="AO529" s="1714"/>
      <c r="AP529" s="1714"/>
      <c r="AQ529" s="1714"/>
      <c r="AR529" s="1714"/>
      <c r="AS529" s="1714"/>
      <c r="AT529" s="1714"/>
      <c r="AU529" s="1714"/>
      <c r="AV529" s="1714"/>
      <c r="AW529" s="1714"/>
      <c r="AX529" s="1714"/>
      <c r="AY529" s="1714"/>
      <c r="AZ529" s="1714"/>
      <c r="BA529" s="1714"/>
      <c r="BB529" s="1714"/>
      <c r="BC529" s="1714"/>
      <c r="BD529" s="1714"/>
      <c r="BE529" s="1714"/>
      <c r="BF529" s="1714"/>
    </row>
    <row r="530" spans="1:58" ht="11.25" customHeight="1">
      <c r="A530" s="1088" t="s">
        <v>1354</v>
      </c>
      <c r="D530" s="1082"/>
      <c r="E530" s="1092"/>
      <c r="F530" s="3895"/>
      <c r="G530" s="3875"/>
      <c r="H530" s="3885" t="s">
        <v>421</v>
      </c>
      <c r="I530" s="3886"/>
      <c r="J530" s="3883"/>
      <c r="K530" s="3887"/>
      <c r="L530" s="3599"/>
      <c r="M530" s="3600"/>
      <c r="N530" s="1097"/>
      <c r="O530" s="1098"/>
      <c r="P530" s="1090" t="s">
        <v>1445</v>
      </c>
      <c r="Q530" s="1098"/>
      <c r="R530" s="1098"/>
      <c r="S530" s="1098"/>
      <c r="T530" s="1098"/>
      <c r="U530" s="1098"/>
      <c r="V530" s="1098"/>
      <c r="W530" s="1098"/>
      <c r="X530" s="1098"/>
      <c r="Y530" s="1098"/>
      <c r="Z530" s="1098"/>
      <c r="AA530" s="1098"/>
      <c r="AB530" s="1098"/>
      <c r="AC530" s="1098"/>
      <c r="AD530" s="1098"/>
      <c r="AE530" s="1105"/>
      <c r="AF530" s="3876"/>
      <c r="AG530" s="3877"/>
      <c r="AH530" s="3877"/>
      <c r="AI530" s="3876"/>
      <c r="AJ530" s="3877"/>
      <c r="AK530" s="3877"/>
      <c r="AL530" s="1874"/>
      <c r="AM530" s="1714"/>
      <c r="AN530" s="1714"/>
      <c r="AO530" s="1714"/>
      <c r="AP530" s="1714"/>
      <c r="AQ530" s="1714"/>
      <c r="AR530" s="1714"/>
      <c r="AS530" s="1714"/>
      <c r="AT530" s="1714"/>
      <c r="AU530" s="1714"/>
      <c r="AV530" s="1714"/>
      <c r="AW530" s="1714"/>
      <c r="AX530" s="1714"/>
      <c r="AY530" s="1714"/>
      <c r="AZ530" s="1714"/>
      <c r="BA530" s="1714"/>
      <c r="BB530" s="1714"/>
      <c r="BC530" s="1714"/>
      <c r="BD530" s="1714"/>
      <c r="BE530" s="1714"/>
      <c r="BF530" s="1714"/>
    </row>
    <row r="531" spans="1:58" ht="12" customHeight="1">
      <c r="A531" s="1088" t="s">
        <v>1354</v>
      </c>
      <c r="D531" s="1082"/>
      <c r="E531" s="1092"/>
      <c r="F531" s="3896"/>
      <c r="G531" s="1112"/>
      <c r="H531" s="1112"/>
      <c r="I531" s="3893" t="s">
        <v>1451</v>
      </c>
      <c r="J531" s="3893"/>
      <c r="K531" s="3893"/>
      <c r="L531" s="1095"/>
      <c r="M531" s="1095"/>
      <c r="N531" s="1096"/>
      <c r="O531" s="1096"/>
      <c r="P531" s="1096"/>
      <c r="Q531" s="1096"/>
      <c r="R531" s="1096"/>
      <c r="S531" s="1096"/>
      <c r="T531" s="1096"/>
      <c r="U531" s="1096"/>
      <c r="V531" s="1096"/>
      <c r="W531" s="1096"/>
      <c r="X531" s="1096"/>
      <c r="Y531" s="1096"/>
      <c r="Z531" s="1096"/>
      <c r="AA531" s="1096"/>
      <c r="AB531" s="1096"/>
      <c r="AC531" s="1096"/>
      <c r="AD531" s="1096"/>
      <c r="AE531" s="1096"/>
      <c r="AF531" s="1096"/>
      <c r="AG531" s="1095"/>
      <c r="AH531" s="1095"/>
      <c r="AI531" s="1096"/>
      <c r="AJ531" s="1095"/>
      <c r="AK531" s="1096"/>
      <c r="AL531" s="1874"/>
      <c r="AM531" s="1714"/>
      <c r="AN531" s="1714"/>
      <c r="AO531" s="1714"/>
      <c r="AP531" s="1714"/>
      <c r="AQ531" s="1714"/>
      <c r="AR531" s="1714"/>
      <c r="AS531" s="1714"/>
      <c r="AT531" s="1714"/>
      <c r="AU531" s="1714"/>
      <c r="AV531" s="1714"/>
      <c r="AW531" s="1714"/>
      <c r="AX531" s="1714"/>
      <c r="AY531" s="1714"/>
      <c r="AZ531" s="1714"/>
      <c r="BA531" s="1714"/>
      <c r="BB531" s="1714"/>
      <c r="BC531" s="1714"/>
      <c r="BD531" s="1714"/>
      <c r="BE531" s="1714"/>
      <c r="BF531" s="1714"/>
    </row>
    <row r="532" spans="1:58" ht="21" customHeight="1">
      <c r="A532" s="1089" t="s">
        <v>1361</v>
      </c>
      <c r="D532" s="1082"/>
      <c r="E532" s="1092" t="s">
        <v>9</v>
      </c>
      <c r="F532" s="1045" t="str">
        <f>INDEX(IP_MAIN_LIST_NAME_IP,MATCH(A532,IP_MAIN_LIST_IP_ID,0))&amp;" ("&amp;INDEX(IP_MAIN_START_DATE,MATCH(A532,IP_MAIN_LIST_IP_ID,0))&amp;"-"&amp;INDEX(IP_MAIN_END_DATE,MATCH(A532,IP_MAIN_LIST_IP_ID,0))&amp;")"</f>
        <v>Инвестиционная программа № 30 от 12.03.2025 ООО "СМОЛЕНСКРЕГИОНТЕПЛОЭНЕРГО" в сфере теплоснабжения по строительству газовой котельной, на территории с Понизовье, Руднянский муниципальный округ, Руднянский муниципальный округ на 2025-2034 годы (12.03.2025-31.12.2034)</v>
      </c>
      <c r="G532" s="1046"/>
      <c r="H532" s="1046"/>
      <c r="I532" s="1107"/>
      <c r="J532" s="1107"/>
      <c r="K532" s="1108"/>
      <c r="L532" s="1108"/>
      <c r="M532" s="1108"/>
      <c r="N532" s="1109"/>
      <c r="O532" s="1109"/>
      <c r="P532" s="1109"/>
      <c r="Q532" s="1109"/>
      <c r="R532" s="1109"/>
      <c r="S532" s="1109"/>
      <c r="T532" s="1109"/>
      <c r="U532" s="1109"/>
      <c r="V532" s="1109"/>
      <c r="W532" s="1109"/>
      <c r="X532" s="1109"/>
      <c r="Y532" s="1109"/>
      <c r="Z532" s="1109"/>
      <c r="AA532" s="1109"/>
      <c r="AB532" s="1109"/>
      <c r="AC532" s="1109"/>
      <c r="AD532" s="1109"/>
      <c r="AE532" s="1110"/>
      <c r="AF532" s="1108"/>
      <c r="AG532" s="1108"/>
      <c r="AH532" s="1108"/>
      <c r="AI532" s="1108"/>
      <c r="AJ532" s="1108"/>
      <c r="AK532" s="1108"/>
      <c r="AL532" s="1874"/>
      <c r="AM532" s="1714"/>
      <c r="AN532" s="1714"/>
      <c r="AO532" s="1714"/>
      <c r="AP532" s="1714"/>
      <c r="AQ532" s="1714"/>
      <c r="AR532" s="1714"/>
      <c r="AS532" s="1714"/>
      <c r="AT532" s="1714"/>
      <c r="AU532" s="1714"/>
      <c r="AV532" s="1714"/>
      <c r="AW532" s="1714"/>
      <c r="AX532" s="1714"/>
      <c r="AY532" s="1714"/>
      <c r="AZ532" s="1714"/>
      <c r="BA532" s="1714"/>
      <c r="BB532" s="1714"/>
      <c r="BC532" s="1714"/>
      <c r="BD532" s="1714"/>
      <c r="BE532" s="1714"/>
      <c r="BF532" s="1714"/>
    </row>
    <row r="533" spans="1:58" ht="0.75" customHeight="1">
      <c r="A533" s="1088" t="s">
        <v>1361</v>
      </c>
      <c r="D533" s="1082"/>
      <c r="E533" s="1092"/>
      <c r="F533" s="3894">
        <v>2025</v>
      </c>
      <c r="G533" s="3885"/>
      <c r="H533" s="3898" t="s">
        <v>421</v>
      </c>
      <c r="I533" s="3899"/>
      <c r="J533" s="3891"/>
      <c r="K533" s="3891"/>
      <c r="L533" s="3892"/>
      <c r="M533" s="3743"/>
      <c r="N533" s="1922"/>
      <c r="O533" s="1921"/>
      <c r="P533" s="1922"/>
      <c r="Q533" s="1922"/>
      <c r="R533" s="1922"/>
      <c r="S533" s="1922"/>
      <c r="T533" s="1922"/>
      <c r="U533" s="1922"/>
      <c r="V533" s="1922"/>
      <c r="W533" s="1922"/>
      <c r="X533" s="1922"/>
      <c r="Y533" s="1922"/>
      <c r="Z533" s="1922"/>
      <c r="AA533" s="1922"/>
      <c r="AB533" s="1922"/>
      <c r="AC533" s="1922"/>
      <c r="AD533" s="1922"/>
      <c r="AE533" s="1922"/>
      <c r="AF533" s="3897"/>
      <c r="AG533" s="3892"/>
      <c r="AH533" s="3892"/>
      <c r="AI533" s="3897"/>
      <c r="AJ533" s="3892"/>
      <c r="AK533" s="3892"/>
      <c r="AL533" s="1874"/>
      <c r="AM533" s="1714"/>
      <c r="AN533" s="1714"/>
      <c r="AO533" s="1714"/>
      <c r="AP533" s="1714"/>
      <c r="AQ533" s="1714"/>
      <c r="AR533" s="1714"/>
      <c r="AS533" s="1714"/>
      <c r="AT533" s="1714"/>
      <c r="AU533" s="1714"/>
      <c r="AV533" s="1714"/>
      <c r="AW533" s="1714"/>
      <c r="AX533" s="1714"/>
      <c r="AY533" s="1714"/>
      <c r="AZ533" s="1714"/>
      <c r="BA533" s="1714"/>
      <c r="BB533" s="1714"/>
      <c r="BC533" s="1714"/>
      <c r="BD533" s="1714"/>
      <c r="BE533" s="1714"/>
      <c r="BF533" s="1714"/>
    </row>
    <row r="534" spans="1:58" ht="0.75" customHeight="1">
      <c r="A534" s="1088" t="s">
        <v>1361</v>
      </c>
      <c r="D534" s="1082"/>
      <c r="E534" s="1092"/>
      <c r="F534" s="3894"/>
      <c r="G534" s="3885"/>
      <c r="H534" s="3898"/>
      <c r="I534" s="3899"/>
      <c r="J534" s="3891"/>
      <c r="K534" s="3891"/>
      <c r="L534" s="3892"/>
      <c r="M534" s="3743"/>
      <c r="N534" s="3900"/>
      <c r="O534" s="3901"/>
      <c r="P534" s="3888"/>
      <c r="Q534" s="3891"/>
      <c r="R534" s="3891"/>
      <c r="S534" s="3891"/>
      <c r="T534" s="3891"/>
      <c r="U534" s="3891"/>
      <c r="V534" s="3891"/>
      <c r="W534" s="3891"/>
      <c r="X534" s="3891"/>
      <c r="Y534" s="3891"/>
      <c r="Z534" s="1923"/>
      <c r="AA534" s="1924"/>
      <c r="AB534" s="1924"/>
      <c r="AC534" s="1925"/>
      <c r="AD534" s="1925"/>
      <c r="AE534" s="1926"/>
      <c r="AF534" s="3897"/>
      <c r="AG534" s="3892"/>
      <c r="AH534" s="3892"/>
      <c r="AI534" s="3897"/>
      <c r="AJ534" s="3892"/>
      <c r="AK534" s="3892"/>
      <c r="AL534" s="1874"/>
      <c r="AM534" s="1714"/>
      <c r="AN534" s="1714"/>
      <c r="AO534" s="1714"/>
      <c r="AP534" s="1714"/>
      <c r="AQ534" s="1714"/>
      <c r="AR534" s="1714"/>
      <c r="AS534" s="1714"/>
      <c r="AT534" s="1714"/>
      <c r="AU534" s="1714"/>
      <c r="AV534" s="1714"/>
      <c r="AW534" s="1714"/>
      <c r="AX534" s="1714"/>
      <c r="AY534" s="1714"/>
      <c r="AZ534" s="1714"/>
      <c r="BA534" s="1714"/>
      <c r="BB534" s="1714"/>
      <c r="BC534" s="1714"/>
      <c r="BD534" s="1714"/>
      <c r="BE534" s="1714"/>
      <c r="BF534" s="1714"/>
    </row>
    <row r="535" spans="1:58" ht="0.75" customHeight="1">
      <c r="A535" s="1088" t="s">
        <v>1361</v>
      </c>
      <c r="D535" s="1082"/>
      <c r="E535" s="1092"/>
      <c r="F535" s="3894"/>
      <c r="G535" s="3885"/>
      <c r="H535" s="3898"/>
      <c r="I535" s="3899"/>
      <c r="J535" s="3891"/>
      <c r="K535" s="3891"/>
      <c r="L535" s="3892"/>
      <c r="M535" s="3743"/>
      <c r="N535" s="3900"/>
      <c r="O535" s="3901"/>
      <c r="P535" s="3889"/>
      <c r="Q535" s="3891"/>
      <c r="R535" s="3891"/>
      <c r="S535" s="3891"/>
      <c r="T535" s="3891"/>
      <c r="U535" s="3891"/>
      <c r="V535" s="3891"/>
      <c r="W535" s="3891"/>
      <c r="X535" s="3891"/>
      <c r="Y535" s="3891"/>
      <c r="Z535" s="1927"/>
      <c r="AA535" s="1928"/>
      <c r="AB535" s="1929"/>
      <c r="AC535" s="1930"/>
      <c r="AD535" s="1929"/>
      <c r="AE535" s="1930"/>
      <c r="AF535" s="3897"/>
      <c r="AG535" s="3892"/>
      <c r="AH535" s="3892"/>
      <c r="AI535" s="3897"/>
      <c r="AJ535" s="3892"/>
      <c r="AK535" s="3892"/>
      <c r="AL535" s="1874"/>
      <c r="AM535" s="1714"/>
      <c r="AN535" s="1714"/>
      <c r="AO535" s="1714"/>
      <c r="AP535" s="1714"/>
      <c r="AQ535" s="1714"/>
      <c r="AR535" s="1714"/>
      <c r="AS535" s="1714"/>
      <c r="AT535" s="1714"/>
      <c r="AU535" s="1714"/>
      <c r="AV535" s="1714"/>
      <c r="AW535" s="1714"/>
      <c r="AX535" s="1714"/>
      <c r="AY535" s="1714"/>
      <c r="AZ535" s="1714"/>
      <c r="BA535" s="1714"/>
      <c r="BB535" s="1714"/>
      <c r="BC535" s="1714"/>
      <c r="BD535" s="1714"/>
      <c r="BE535" s="1714"/>
      <c r="BF535" s="1714"/>
    </row>
    <row r="536" spans="1:58" ht="0.75" customHeight="1">
      <c r="A536" s="1088" t="s">
        <v>1361</v>
      </c>
      <c r="D536" s="1082"/>
      <c r="E536" s="1092"/>
      <c r="F536" s="3894"/>
      <c r="G536" s="3885"/>
      <c r="H536" s="3898"/>
      <c r="I536" s="3899"/>
      <c r="J536" s="3891"/>
      <c r="K536" s="3891"/>
      <c r="L536" s="3892"/>
      <c r="M536" s="3743"/>
      <c r="N536" s="3900"/>
      <c r="O536" s="3901"/>
      <c r="P536" s="3890"/>
      <c r="Q536" s="3891"/>
      <c r="R536" s="3891"/>
      <c r="S536" s="3891"/>
      <c r="T536" s="3891"/>
      <c r="U536" s="3891"/>
      <c r="V536" s="3891"/>
      <c r="W536" s="3891"/>
      <c r="X536" s="3891"/>
      <c r="Y536" s="3891"/>
      <c r="Z536" s="1923"/>
      <c r="AA536" s="1924"/>
      <c r="AB536" s="1931"/>
      <c r="AC536" s="1925"/>
      <c r="AD536" s="1925"/>
      <c r="AE536" s="1932"/>
      <c r="AF536" s="3897"/>
      <c r="AG536" s="3892"/>
      <c r="AH536" s="3892"/>
      <c r="AI536" s="3897"/>
      <c r="AJ536" s="3892"/>
      <c r="AK536" s="3892"/>
      <c r="AL536" s="1874"/>
      <c r="AM536" s="1714"/>
      <c r="AN536" s="1714"/>
      <c r="AO536" s="1714"/>
      <c r="AP536" s="1714"/>
      <c r="AQ536" s="1714"/>
      <c r="AR536" s="1714"/>
      <c r="AS536" s="1714"/>
      <c r="AT536" s="1714"/>
      <c r="AU536" s="1714"/>
      <c r="AV536" s="1714"/>
      <c r="AW536" s="1714"/>
      <c r="AX536" s="1714"/>
      <c r="AY536" s="1714"/>
      <c r="AZ536" s="1714"/>
      <c r="BA536" s="1714"/>
      <c r="BB536" s="1714"/>
      <c r="BC536" s="1714"/>
      <c r="BD536" s="1714"/>
      <c r="BE536" s="1714"/>
      <c r="BF536" s="1714"/>
    </row>
    <row r="537" spans="1:58" ht="0.75" customHeight="1">
      <c r="A537" s="1088" t="s">
        <v>1361</v>
      </c>
      <c r="D537" s="1082"/>
      <c r="E537" s="1092"/>
      <c r="F537" s="3894"/>
      <c r="G537" s="3885"/>
      <c r="H537" s="3898"/>
      <c r="I537" s="3899"/>
      <c r="J537" s="3891"/>
      <c r="K537" s="3891"/>
      <c r="L537" s="3892"/>
      <c r="M537" s="3743"/>
      <c r="N537" s="1924"/>
      <c r="O537" s="1924"/>
      <c r="P537" s="1931"/>
      <c r="Q537" s="1924"/>
      <c r="R537" s="1924"/>
      <c r="S537" s="1924"/>
      <c r="T537" s="1924"/>
      <c r="U537" s="1924"/>
      <c r="V537" s="1924"/>
      <c r="W537" s="1924"/>
      <c r="X537" s="1924"/>
      <c r="Y537" s="1924"/>
      <c r="Z537" s="1924"/>
      <c r="AA537" s="1924"/>
      <c r="AB537" s="1924"/>
      <c r="AC537" s="1924"/>
      <c r="AD537" s="1924"/>
      <c r="AE537" s="1933"/>
      <c r="AF537" s="3897"/>
      <c r="AG537" s="3892"/>
      <c r="AH537" s="3892"/>
      <c r="AI537" s="3897"/>
      <c r="AJ537" s="3892"/>
      <c r="AK537" s="3892"/>
      <c r="AL537" s="1874"/>
      <c r="AM537" s="1714"/>
      <c r="AN537" s="1714"/>
      <c r="AO537" s="1714"/>
      <c r="AP537" s="1714"/>
      <c r="AQ537" s="1714"/>
      <c r="AR537" s="1714"/>
      <c r="AS537" s="1714"/>
      <c r="AT537" s="1714"/>
      <c r="AU537" s="1714"/>
      <c r="AV537" s="1714"/>
      <c r="AW537" s="1714"/>
      <c r="AX537" s="1714"/>
      <c r="AY537" s="1714"/>
      <c r="AZ537" s="1714"/>
      <c r="BA537" s="1714"/>
      <c r="BB537" s="1714"/>
      <c r="BC537" s="1714"/>
      <c r="BD537" s="1714"/>
      <c r="BE537" s="1714"/>
      <c r="BF537" s="1714"/>
    </row>
    <row r="538" spans="1:58" ht="11.25" customHeight="1">
      <c r="A538" s="1088" t="s">
        <v>1361</v>
      </c>
      <c r="D538" s="1082"/>
      <c r="E538" s="1092"/>
      <c r="F538" s="3895"/>
      <c r="G538" s="3853" t="s">
        <v>90</v>
      </c>
      <c r="H538" s="3885" t="s">
        <v>164</v>
      </c>
      <c r="I538" s="3886"/>
      <c r="J538" s="3883"/>
      <c r="K538" s="3887" t="s">
        <v>1488</v>
      </c>
      <c r="L538" s="3599" t="s">
        <v>6</v>
      </c>
      <c r="M538" s="3600"/>
      <c r="N538" s="1872"/>
      <c r="O538" s="1099" t="s">
        <v>421</v>
      </c>
      <c r="P538" s="1100"/>
      <c r="Q538" s="1100"/>
      <c r="R538" s="1100"/>
      <c r="S538" s="1100"/>
      <c r="T538" s="1100"/>
      <c r="U538" s="1100"/>
      <c r="V538" s="1100"/>
      <c r="W538" s="1100"/>
      <c r="X538" s="1100"/>
      <c r="Y538" s="1100"/>
      <c r="Z538" s="1100"/>
      <c r="AA538" s="1100"/>
      <c r="AB538" s="1100"/>
      <c r="AC538" s="1100"/>
      <c r="AD538" s="1100"/>
      <c r="AE538" s="1100"/>
      <c r="AF538" s="3876">
        <v>2025</v>
      </c>
      <c r="AG538" s="3877" t="s">
        <v>1447</v>
      </c>
      <c r="AH538" s="3877" t="s">
        <v>1487</v>
      </c>
      <c r="AI538" s="3876">
        <v>2025</v>
      </c>
      <c r="AJ538" s="3877" t="s">
        <v>1447</v>
      </c>
      <c r="AK538" s="3877" t="s">
        <v>1487</v>
      </c>
      <c r="AL538" s="1874"/>
      <c r="AM538" s="1714"/>
      <c r="AN538" s="1714"/>
      <c r="AO538" s="1714"/>
      <c r="AP538" s="1714"/>
      <c r="AQ538" s="1714"/>
      <c r="AR538" s="1714"/>
      <c r="AS538" s="1714"/>
      <c r="AT538" s="1714"/>
      <c r="AU538" s="1714"/>
      <c r="AV538" s="1714"/>
      <c r="AW538" s="1714"/>
      <c r="AX538" s="1714"/>
      <c r="AY538" s="1714"/>
      <c r="AZ538" s="1714"/>
      <c r="BA538" s="1714"/>
      <c r="BB538" s="1714"/>
      <c r="BC538" s="1714"/>
      <c r="BD538" s="1714"/>
      <c r="BE538" s="1714"/>
      <c r="BF538" s="1714"/>
    </row>
    <row r="539" spans="1:58" ht="11.25" customHeight="1">
      <c r="A539" s="1088" t="s">
        <v>1361</v>
      </c>
      <c r="D539" s="1082"/>
      <c r="E539" s="1092"/>
      <c r="F539" s="3895"/>
      <c r="G539" s="3875"/>
      <c r="H539" s="3885" t="s">
        <v>421</v>
      </c>
      <c r="I539" s="3886"/>
      <c r="J539" s="3883"/>
      <c r="K539" s="3887"/>
      <c r="L539" s="3599"/>
      <c r="M539" s="3600"/>
      <c r="N539" s="3878"/>
      <c r="O539" s="3879">
        <v>1</v>
      </c>
      <c r="P539" s="3880" t="s">
        <v>50</v>
      </c>
      <c r="Q539" s="3883" t="s">
        <v>1494</v>
      </c>
      <c r="R539" s="3884" t="s">
        <v>1457</v>
      </c>
      <c r="S539" s="3884" t="s">
        <v>128</v>
      </c>
      <c r="T539" s="3884" t="s">
        <v>128</v>
      </c>
      <c r="U539" s="3884" t="s">
        <v>129</v>
      </c>
      <c r="V539" s="3884" t="s">
        <v>1495</v>
      </c>
      <c r="W539" s="3884" t="s">
        <v>1496</v>
      </c>
      <c r="X539" s="3884" t="s">
        <v>1497</v>
      </c>
      <c r="Y539" s="3884" t="s">
        <v>1498</v>
      </c>
      <c r="Z539" s="1097"/>
      <c r="AA539" s="1098"/>
      <c r="AB539" s="1098"/>
      <c r="AC539" s="1102"/>
      <c r="AD539" s="1102"/>
      <c r="AE539" s="1103"/>
      <c r="AF539" s="3876"/>
      <c r="AG539" s="3877"/>
      <c r="AH539" s="3877"/>
      <c r="AI539" s="3876"/>
      <c r="AJ539" s="3877"/>
      <c r="AK539" s="3877"/>
      <c r="AL539" s="1874"/>
      <c r="AM539" s="1714"/>
      <c r="AN539" s="1714"/>
      <c r="AO539" s="1714"/>
      <c r="AP539" s="1714"/>
      <c r="AQ539" s="1714"/>
      <c r="AR539" s="1714"/>
      <c r="AS539" s="1714"/>
      <c r="AT539" s="1714"/>
      <c r="AU539" s="1714"/>
      <c r="AV539" s="1714"/>
      <c r="AW539" s="1714"/>
      <c r="AX539" s="1714"/>
      <c r="AY539" s="1714"/>
      <c r="AZ539" s="1714"/>
      <c r="BA539" s="1714"/>
      <c r="BB539" s="1714"/>
      <c r="BC539" s="1714"/>
      <c r="BD539" s="1714"/>
      <c r="BE539" s="1714"/>
      <c r="BF539" s="1714"/>
    </row>
    <row r="540" spans="1:58" ht="24" customHeight="1">
      <c r="A540" s="1088" t="s">
        <v>1361</v>
      </c>
      <c r="D540" s="1082"/>
      <c r="E540" s="1092"/>
      <c r="F540" s="3895"/>
      <c r="G540" s="3875"/>
      <c r="H540" s="3885" t="s">
        <v>421</v>
      </c>
      <c r="I540" s="3886"/>
      <c r="J540" s="3883"/>
      <c r="K540" s="3887"/>
      <c r="L540" s="3599"/>
      <c r="M540" s="3600"/>
      <c r="N540" s="3878"/>
      <c r="O540" s="3879"/>
      <c r="P540" s="3881"/>
      <c r="Q540" s="3883"/>
      <c r="R540" s="3874"/>
      <c r="S540" s="3884"/>
      <c r="T540" s="3874"/>
      <c r="U540" s="3874"/>
      <c r="V540" s="3874"/>
      <c r="W540" s="3874"/>
      <c r="X540" s="3874"/>
      <c r="Y540" s="3874"/>
      <c r="Z540" s="1719"/>
      <c r="AA540" s="1686">
        <v>1</v>
      </c>
      <c r="AB540" s="1101" t="s">
        <v>1443</v>
      </c>
      <c r="AC540" s="1091">
        <v>1070</v>
      </c>
      <c r="AD540" s="1101" t="str">
        <f>AB540</f>
        <v xml:space="preserve">  Прибыль направляемая на инвестиции</v>
      </c>
      <c r="AE540" s="1091">
        <v>15050.261</v>
      </c>
      <c r="AF540" s="3876"/>
      <c r="AG540" s="3877"/>
      <c r="AH540" s="3877"/>
      <c r="AI540" s="3876"/>
      <c r="AJ540" s="3877"/>
      <c r="AK540" s="3877"/>
      <c r="AL540" s="1874"/>
      <c r="AM540" s="1714"/>
      <c r="AN540" s="1714"/>
      <c r="AO540" s="1714"/>
      <c r="AP540" s="1714"/>
      <c r="AQ540" s="1714"/>
      <c r="AR540" s="1714"/>
      <c r="AS540" s="1714"/>
      <c r="AT540" s="1714"/>
      <c r="AU540" s="1714"/>
      <c r="AV540" s="1714"/>
      <c r="AW540" s="1714"/>
      <c r="AX540" s="1714"/>
      <c r="AY540" s="1714"/>
      <c r="AZ540" s="1714"/>
      <c r="BA540" s="1714"/>
      <c r="BB540" s="1714"/>
      <c r="BC540" s="1714"/>
      <c r="BD540" s="1714"/>
      <c r="BE540" s="1714"/>
      <c r="BF540" s="1714"/>
    </row>
    <row r="541" spans="1:58" ht="27.75" customHeight="1">
      <c r="A541" s="1088" t="s">
        <v>1361</v>
      </c>
      <c r="D541" s="1082"/>
      <c r="E541" s="1092"/>
      <c r="F541" s="3875"/>
      <c r="G541" s="3875"/>
      <c r="H541" s="3875"/>
      <c r="I541" s="3875"/>
      <c r="J541" s="3875"/>
      <c r="K541" s="3875"/>
      <c r="L541" s="3875"/>
      <c r="M541" s="3875"/>
      <c r="N541" s="3875"/>
      <c r="O541" s="3875"/>
      <c r="P541" s="3875"/>
      <c r="Q541" s="3875"/>
      <c r="R541" s="3875"/>
      <c r="S541" s="3875"/>
      <c r="T541" s="3875"/>
      <c r="U541" s="3875"/>
      <c r="V541" s="3875"/>
      <c r="W541" s="3875"/>
      <c r="X541" s="3875"/>
      <c r="Y541" s="3875"/>
      <c r="Z541" s="617" t="s">
        <v>90</v>
      </c>
      <c r="AA541" s="1706" t="s">
        <v>89</v>
      </c>
      <c r="AB541" s="1101" t="s">
        <v>1493</v>
      </c>
      <c r="AC541" s="1091">
        <v>14000</v>
      </c>
      <c r="AD541" s="1101" t="str">
        <f>AB541</f>
        <v xml:space="preserve">  Бюджет муниципального образования</v>
      </c>
      <c r="AE541" s="1091">
        <v>10305.915999999999</v>
      </c>
      <c r="AF541" s="3902"/>
      <c r="AG541" s="3903"/>
      <c r="AH541" s="3903"/>
      <c r="AI541" s="3902"/>
      <c r="AJ541" s="3903"/>
      <c r="AK541" s="3904"/>
      <c r="AL541" s="1874"/>
      <c r="AM541" s="1714"/>
      <c r="AN541" s="1714"/>
      <c r="AO541" s="1714"/>
      <c r="AP541" s="1714"/>
      <c r="AQ541" s="1714"/>
      <c r="AR541" s="1714"/>
      <c r="AS541" s="1714"/>
      <c r="AT541" s="1714"/>
      <c r="AU541" s="1714"/>
      <c r="AV541" s="1714"/>
      <c r="AW541" s="1714"/>
      <c r="AX541" s="1714"/>
      <c r="AY541" s="1714"/>
      <c r="AZ541" s="1714"/>
      <c r="BA541" s="1714"/>
      <c r="BB541" s="1714"/>
      <c r="BC541" s="1714"/>
      <c r="BD541" s="1714"/>
      <c r="BE541" s="1714"/>
      <c r="BF541" s="1714"/>
    </row>
    <row r="542" spans="1:58" ht="11.25" customHeight="1">
      <c r="A542" s="1088" t="s">
        <v>1361</v>
      </c>
      <c r="D542" s="1082"/>
      <c r="E542" s="1092"/>
      <c r="F542" s="3895"/>
      <c r="G542" s="3875"/>
      <c r="H542" s="3885" t="s">
        <v>421</v>
      </c>
      <c r="I542" s="3886"/>
      <c r="J542" s="3883"/>
      <c r="K542" s="3887"/>
      <c r="L542" s="3599"/>
      <c r="M542" s="3600"/>
      <c r="N542" s="3878"/>
      <c r="O542" s="3879"/>
      <c r="P542" s="3882"/>
      <c r="Q542" s="3883"/>
      <c r="R542" s="3874"/>
      <c r="S542" s="3884"/>
      <c r="T542" s="3874"/>
      <c r="U542" s="3874"/>
      <c r="V542" s="3874"/>
      <c r="W542" s="3874"/>
      <c r="X542" s="3874"/>
      <c r="Y542" s="3874"/>
      <c r="Z542" s="1097"/>
      <c r="AA542" s="1098"/>
      <c r="AB542" s="1163" t="s">
        <v>1444</v>
      </c>
      <c r="AC542" s="1102"/>
      <c r="AD542" s="1102"/>
      <c r="AE542" s="1104"/>
      <c r="AF542" s="3876"/>
      <c r="AG542" s="3877"/>
      <c r="AH542" s="3877"/>
      <c r="AI542" s="3876"/>
      <c r="AJ542" s="3877"/>
      <c r="AK542" s="3877"/>
      <c r="AL542" s="1874"/>
      <c r="AM542" s="1714"/>
      <c r="AN542" s="1714"/>
      <c r="AO542" s="1714"/>
      <c r="AP542" s="1714"/>
      <c r="AQ542" s="1714"/>
      <c r="AR542" s="1714"/>
      <c r="AS542" s="1714"/>
      <c r="AT542" s="1714"/>
      <c r="AU542" s="1714"/>
      <c r="AV542" s="1714"/>
      <c r="AW542" s="1714"/>
      <c r="AX542" s="1714"/>
      <c r="AY542" s="1714"/>
      <c r="AZ542" s="1714"/>
      <c r="BA542" s="1714"/>
      <c r="BB542" s="1714"/>
      <c r="BC542" s="1714"/>
      <c r="BD542" s="1714"/>
      <c r="BE542" s="1714"/>
      <c r="BF542" s="1714"/>
    </row>
    <row r="543" spans="1:58" ht="11.25" customHeight="1">
      <c r="A543" s="1088" t="s">
        <v>1361</v>
      </c>
      <c r="D543" s="1082"/>
      <c r="E543" s="1092"/>
      <c r="F543" s="3895"/>
      <c r="G543" s="3875"/>
      <c r="H543" s="3885" t="s">
        <v>421</v>
      </c>
      <c r="I543" s="3886"/>
      <c r="J543" s="3883"/>
      <c r="K543" s="3887"/>
      <c r="L543" s="3599"/>
      <c r="M543" s="3600"/>
      <c r="N543" s="1097"/>
      <c r="O543" s="1098"/>
      <c r="P543" s="1090" t="s">
        <v>1445</v>
      </c>
      <c r="Q543" s="1098"/>
      <c r="R543" s="1098"/>
      <c r="S543" s="1098"/>
      <c r="T543" s="1098"/>
      <c r="U543" s="1098"/>
      <c r="V543" s="1098"/>
      <c r="W543" s="1098"/>
      <c r="X543" s="1098"/>
      <c r="Y543" s="1098"/>
      <c r="Z543" s="1098"/>
      <c r="AA543" s="1098"/>
      <c r="AB543" s="1098"/>
      <c r="AC543" s="1098"/>
      <c r="AD543" s="1098"/>
      <c r="AE543" s="1105"/>
      <c r="AF543" s="3876"/>
      <c r="AG543" s="3877"/>
      <c r="AH543" s="3877"/>
      <c r="AI543" s="3876"/>
      <c r="AJ543" s="3877"/>
      <c r="AK543" s="3877"/>
      <c r="AL543" s="1874"/>
      <c r="AM543" s="1714"/>
      <c r="AN543" s="1714"/>
      <c r="AO543" s="1714"/>
      <c r="AP543" s="1714"/>
      <c r="AQ543" s="1714"/>
      <c r="AR543" s="1714"/>
      <c r="AS543" s="1714"/>
      <c r="AT543" s="1714"/>
      <c r="AU543" s="1714"/>
      <c r="AV543" s="1714"/>
      <c r="AW543" s="1714"/>
      <c r="AX543" s="1714"/>
      <c r="AY543" s="1714"/>
      <c r="AZ543" s="1714"/>
      <c r="BA543" s="1714"/>
      <c r="BB543" s="1714"/>
      <c r="BC543" s="1714"/>
      <c r="BD543" s="1714"/>
      <c r="BE543" s="1714"/>
      <c r="BF543" s="1714"/>
    </row>
    <row r="544" spans="1:58" ht="12" customHeight="1">
      <c r="A544" s="1088" t="s">
        <v>1361</v>
      </c>
      <c r="D544" s="1082"/>
      <c r="E544" s="1092"/>
      <c r="F544" s="3896"/>
      <c r="G544" s="1112"/>
      <c r="H544" s="1112"/>
      <c r="I544" s="3893" t="s">
        <v>1451</v>
      </c>
      <c r="J544" s="3893"/>
      <c r="K544" s="3893"/>
      <c r="L544" s="1095"/>
      <c r="M544" s="1095"/>
      <c r="N544" s="1096"/>
      <c r="O544" s="1096"/>
      <c r="P544" s="1096"/>
      <c r="Q544" s="1096"/>
      <c r="R544" s="1096"/>
      <c r="S544" s="1096"/>
      <c r="T544" s="1096"/>
      <c r="U544" s="1096"/>
      <c r="V544" s="1096"/>
      <c r="W544" s="1096"/>
      <c r="X544" s="1096"/>
      <c r="Y544" s="1096"/>
      <c r="Z544" s="1096"/>
      <c r="AA544" s="1096"/>
      <c r="AB544" s="1096"/>
      <c r="AC544" s="1096"/>
      <c r="AD544" s="1096"/>
      <c r="AE544" s="1096"/>
      <c r="AF544" s="1096"/>
      <c r="AG544" s="1095"/>
      <c r="AH544" s="1095"/>
      <c r="AI544" s="1096"/>
      <c r="AJ544" s="1095"/>
      <c r="AK544" s="1096"/>
      <c r="AL544" s="1874"/>
      <c r="AM544" s="1714"/>
      <c r="AN544" s="1714"/>
      <c r="AO544" s="1714"/>
      <c r="AP544" s="1714"/>
      <c r="AQ544" s="1714"/>
      <c r="AR544" s="1714"/>
      <c r="AS544" s="1714"/>
      <c r="AT544" s="1714"/>
      <c r="AU544" s="1714"/>
      <c r="AV544" s="1714"/>
      <c r="AW544" s="1714"/>
      <c r="AX544" s="1714"/>
      <c r="AY544" s="1714"/>
      <c r="AZ544" s="1714"/>
      <c r="BA544" s="1714"/>
      <c r="BB544" s="1714"/>
      <c r="BC544" s="1714"/>
      <c r="BD544" s="1714"/>
      <c r="BE544" s="1714"/>
      <c r="BF544" s="1714"/>
    </row>
    <row r="545" spans="1:58" ht="0.75" customHeight="1">
      <c r="A545" s="1088" t="s">
        <v>1361</v>
      </c>
      <c r="D545" s="1082"/>
      <c r="E545" s="1092"/>
      <c r="F545" s="3894">
        <v>2026</v>
      </c>
      <c r="G545" s="3885"/>
      <c r="H545" s="3898" t="s">
        <v>421</v>
      </c>
      <c r="I545" s="3899"/>
      <c r="J545" s="3891"/>
      <c r="K545" s="3891"/>
      <c r="L545" s="3892"/>
      <c r="M545" s="3743"/>
      <c r="N545" s="1922"/>
      <c r="O545" s="1921"/>
      <c r="P545" s="1922"/>
      <c r="Q545" s="1922"/>
      <c r="R545" s="1922"/>
      <c r="S545" s="1922"/>
      <c r="T545" s="1922"/>
      <c r="U545" s="1922"/>
      <c r="V545" s="1922"/>
      <c r="W545" s="1922"/>
      <c r="X545" s="1922"/>
      <c r="Y545" s="1922"/>
      <c r="Z545" s="1922"/>
      <c r="AA545" s="1922"/>
      <c r="AB545" s="1922"/>
      <c r="AC545" s="1922"/>
      <c r="AD545" s="1922"/>
      <c r="AE545" s="1922"/>
      <c r="AF545" s="3897"/>
      <c r="AG545" s="3892"/>
      <c r="AH545" s="3892"/>
      <c r="AI545" s="3897"/>
      <c r="AJ545" s="3892"/>
      <c r="AK545" s="3892"/>
      <c r="AL545" s="1874"/>
      <c r="AM545" s="1714"/>
      <c r="AN545" s="1714"/>
      <c r="AO545" s="1714"/>
      <c r="AP545" s="1714"/>
      <c r="AQ545" s="1714"/>
      <c r="AR545" s="1714"/>
      <c r="AS545" s="1714"/>
      <c r="AT545" s="1714"/>
      <c r="AU545" s="1714"/>
      <c r="AV545" s="1714"/>
      <c r="AW545" s="1714"/>
      <c r="AX545" s="1714"/>
      <c r="AY545" s="1714"/>
      <c r="AZ545" s="1714"/>
      <c r="BA545" s="1714"/>
      <c r="BB545" s="1714"/>
      <c r="BC545" s="1714"/>
      <c r="BD545" s="1714"/>
      <c r="BE545" s="1714"/>
      <c r="BF545" s="1714"/>
    </row>
    <row r="546" spans="1:58" ht="0.75" customHeight="1">
      <c r="A546" s="1088" t="s">
        <v>1361</v>
      </c>
      <c r="D546" s="1082"/>
      <c r="E546" s="1092"/>
      <c r="F546" s="3894"/>
      <c r="G546" s="3885"/>
      <c r="H546" s="3898"/>
      <c r="I546" s="3899"/>
      <c r="J546" s="3891"/>
      <c r="K546" s="3891"/>
      <c r="L546" s="3892"/>
      <c r="M546" s="3743"/>
      <c r="N546" s="3900"/>
      <c r="O546" s="3901"/>
      <c r="P546" s="3888"/>
      <c r="Q546" s="3891"/>
      <c r="R546" s="3891"/>
      <c r="S546" s="3891"/>
      <c r="T546" s="3891"/>
      <c r="U546" s="3891"/>
      <c r="V546" s="3891"/>
      <c r="W546" s="3891"/>
      <c r="X546" s="3891"/>
      <c r="Y546" s="3891"/>
      <c r="Z546" s="1923"/>
      <c r="AA546" s="1924"/>
      <c r="AB546" s="1924"/>
      <c r="AC546" s="1925"/>
      <c r="AD546" s="1925"/>
      <c r="AE546" s="1926"/>
      <c r="AF546" s="3897"/>
      <c r="AG546" s="3892"/>
      <c r="AH546" s="3892"/>
      <c r="AI546" s="3897"/>
      <c r="AJ546" s="3892"/>
      <c r="AK546" s="3892"/>
      <c r="AL546" s="1874"/>
      <c r="AM546" s="1714"/>
      <c r="AN546" s="1714"/>
      <c r="AO546" s="1714"/>
      <c r="AP546" s="1714"/>
      <c r="AQ546" s="1714"/>
      <c r="AR546" s="1714"/>
      <c r="AS546" s="1714"/>
      <c r="AT546" s="1714"/>
      <c r="AU546" s="1714"/>
      <c r="AV546" s="1714"/>
      <c r="AW546" s="1714"/>
      <c r="AX546" s="1714"/>
      <c r="AY546" s="1714"/>
      <c r="AZ546" s="1714"/>
      <c r="BA546" s="1714"/>
      <c r="BB546" s="1714"/>
      <c r="BC546" s="1714"/>
      <c r="BD546" s="1714"/>
      <c r="BE546" s="1714"/>
      <c r="BF546" s="1714"/>
    </row>
    <row r="547" spans="1:58" ht="0.75" customHeight="1">
      <c r="A547" s="1088" t="s">
        <v>1361</v>
      </c>
      <c r="D547" s="1082"/>
      <c r="E547" s="1092"/>
      <c r="F547" s="3894"/>
      <c r="G547" s="3885"/>
      <c r="H547" s="3898"/>
      <c r="I547" s="3899"/>
      <c r="J547" s="3891"/>
      <c r="K547" s="3891"/>
      <c r="L547" s="3892"/>
      <c r="M547" s="3743"/>
      <c r="N547" s="3900"/>
      <c r="O547" s="3901"/>
      <c r="P547" s="3889"/>
      <c r="Q547" s="3891"/>
      <c r="R547" s="3891"/>
      <c r="S547" s="3891"/>
      <c r="T547" s="3891"/>
      <c r="U547" s="3891"/>
      <c r="V547" s="3891"/>
      <c r="W547" s="3891"/>
      <c r="X547" s="3891"/>
      <c r="Y547" s="3891"/>
      <c r="Z547" s="1927"/>
      <c r="AA547" s="1928"/>
      <c r="AB547" s="1929"/>
      <c r="AC547" s="1930"/>
      <c r="AD547" s="1929"/>
      <c r="AE547" s="1930"/>
      <c r="AF547" s="3897"/>
      <c r="AG547" s="3892"/>
      <c r="AH547" s="3892"/>
      <c r="AI547" s="3897"/>
      <c r="AJ547" s="3892"/>
      <c r="AK547" s="3892"/>
      <c r="AL547" s="1874"/>
      <c r="AM547" s="1714"/>
      <c r="AN547" s="1714"/>
      <c r="AO547" s="1714"/>
      <c r="AP547" s="1714"/>
      <c r="AQ547" s="1714"/>
      <c r="AR547" s="1714"/>
      <c r="AS547" s="1714"/>
      <c r="AT547" s="1714"/>
      <c r="AU547" s="1714"/>
      <c r="AV547" s="1714"/>
      <c r="AW547" s="1714"/>
      <c r="AX547" s="1714"/>
      <c r="AY547" s="1714"/>
      <c r="AZ547" s="1714"/>
      <c r="BA547" s="1714"/>
      <c r="BB547" s="1714"/>
      <c r="BC547" s="1714"/>
      <c r="BD547" s="1714"/>
      <c r="BE547" s="1714"/>
      <c r="BF547" s="1714"/>
    </row>
    <row r="548" spans="1:58" ht="0.75" customHeight="1">
      <c r="A548" s="1088" t="s">
        <v>1361</v>
      </c>
      <c r="D548" s="1082"/>
      <c r="E548" s="1092"/>
      <c r="F548" s="3894"/>
      <c r="G548" s="3885"/>
      <c r="H548" s="3898"/>
      <c r="I548" s="3899"/>
      <c r="J548" s="3891"/>
      <c r="K548" s="3891"/>
      <c r="L548" s="3892"/>
      <c r="M548" s="3743"/>
      <c r="N548" s="3900"/>
      <c r="O548" s="3901"/>
      <c r="P548" s="3890"/>
      <c r="Q548" s="3891"/>
      <c r="R548" s="3891"/>
      <c r="S548" s="3891"/>
      <c r="T548" s="3891"/>
      <c r="U548" s="3891"/>
      <c r="V548" s="3891"/>
      <c r="W548" s="3891"/>
      <c r="X548" s="3891"/>
      <c r="Y548" s="3891"/>
      <c r="Z548" s="1923"/>
      <c r="AA548" s="1924"/>
      <c r="AB548" s="1931"/>
      <c r="AC548" s="1925"/>
      <c r="AD548" s="1925"/>
      <c r="AE548" s="1932"/>
      <c r="AF548" s="3897"/>
      <c r="AG548" s="3892"/>
      <c r="AH548" s="3892"/>
      <c r="AI548" s="3897"/>
      <c r="AJ548" s="3892"/>
      <c r="AK548" s="3892"/>
      <c r="AL548" s="1874"/>
      <c r="AM548" s="1714"/>
      <c r="AN548" s="1714"/>
      <c r="AO548" s="1714"/>
      <c r="AP548" s="1714"/>
      <c r="AQ548" s="1714"/>
      <c r="AR548" s="1714"/>
      <c r="AS548" s="1714"/>
      <c r="AT548" s="1714"/>
      <c r="AU548" s="1714"/>
      <c r="AV548" s="1714"/>
      <c r="AW548" s="1714"/>
      <c r="AX548" s="1714"/>
      <c r="AY548" s="1714"/>
      <c r="AZ548" s="1714"/>
      <c r="BA548" s="1714"/>
      <c r="BB548" s="1714"/>
      <c r="BC548" s="1714"/>
      <c r="BD548" s="1714"/>
      <c r="BE548" s="1714"/>
      <c r="BF548" s="1714"/>
    </row>
    <row r="549" spans="1:58" ht="0.75" customHeight="1">
      <c r="A549" s="1088" t="s">
        <v>1361</v>
      </c>
      <c r="D549" s="1082"/>
      <c r="E549" s="1092"/>
      <c r="F549" s="3894"/>
      <c r="G549" s="3885"/>
      <c r="H549" s="3898"/>
      <c r="I549" s="3899"/>
      <c r="J549" s="3891"/>
      <c r="K549" s="3891"/>
      <c r="L549" s="3892"/>
      <c r="M549" s="3743"/>
      <c r="N549" s="1924"/>
      <c r="O549" s="1924"/>
      <c r="P549" s="1931"/>
      <c r="Q549" s="1924"/>
      <c r="R549" s="1924"/>
      <c r="S549" s="1924"/>
      <c r="T549" s="1924"/>
      <c r="U549" s="1924"/>
      <c r="V549" s="1924"/>
      <c r="W549" s="1924"/>
      <c r="X549" s="1924"/>
      <c r="Y549" s="1924"/>
      <c r="Z549" s="1924"/>
      <c r="AA549" s="1924"/>
      <c r="AB549" s="1924"/>
      <c r="AC549" s="1924"/>
      <c r="AD549" s="1924"/>
      <c r="AE549" s="1933"/>
      <c r="AF549" s="3897"/>
      <c r="AG549" s="3892"/>
      <c r="AH549" s="3892"/>
      <c r="AI549" s="3897"/>
      <c r="AJ549" s="3892"/>
      <c r="AK549" s="3892"/>
      <c r="AL549" s="1874"/>
      <c r="AM549" s="1714"/>
      <c r="AN549" s="1714"/>
      <c r="AO549" s="1714"/>
      <c r="AP549" s="1714"/>
      <c r="AQ549" s="1714"/>
      <c r="AR549" s="1714"/>
      <c r="AS549" s="1714"/>
      <c r="AT549" s="1714"/>
      <c r="AU549" s="1714"/>
      <c r="AV549" s="1714"/>
      <c r="AW549" s="1714"/>
      <c r="AX549" s="1714"/>
      <c r="AY549" s="1714"/>
      <c r="AZ549" s="1714"/>
      <c r="BA549" s="1714"/>
      <c r="BB549" s="1714"/>
      <c r="BC549" s="1714"/>
      <c r="BD549" s="1714"/>
      <c r="BE549" s="1714"/>
      <c r="BF549" s="1714"/>
    </row>
    <row r="550" spans="1:58" ht="11.25" customHeight="1">
      <c r="A550" s="1088" t="s">
        <v>1361</v>
      </c>
      <c r="D550" s="1082"/>
      <c r="E550" s="1092"/>
      <c r="F550" s="3895"/>
      <c r="G550" s="3853" t="s">
        <v>90</v>
      </c>
      <c r="H550" s="3885" t="s">
        <v>164</v>
      </c>
      <c r="I550" s="3886"/>
      <c r="J550" s="3883"/>
      <c r="K550" s="3887" t="s">
        <v>1488</v>
      </c>
      <c r="L550" s="3599" t="s">
        <v>6</v>
      </c>
      <c r="M550" s="3600"/>
      <c r="N550" s="1872"/>
      <c r="O550" s="1099" t="s">
        <v>421</v>
      </c>
      <c r="P550" s="1100"/>
      <c r="Q550" s="1100"/>
      <c r="R550" s="1100"/>
      <c r="S550" s="1100"/>
      <c r="T550" s="1100"/>
      <c r="U550" s="1100"/>
      <c r="V550" s="1100"/>
      <c r="W550" s="1100"/>
      <c r="X550" s="1100"/>
      <c r="Y550" s="1100"/>
      <c r="Z550" s="1100"/>
      <c r="AA550" s="1100"/>
      <c r="AB550" s="1100"/>
      <c r="AC550" s="1100"/>
      <c r="AD550" s="1100"/>
      <c r="AE550" s="1100"/>
      <c r="AF550" s="3876">
        <v>2025</v>
      </c>
      <c r="AG550" s="3877" t="s">
        <v>1447</v>
      </c>
      <c r="AH550" s="3877" t="s">
        <v>1487</v>
      </c>
      <c r="AI550" s="3876">
        <v>2025</v>
      </c>
      <c r="AJ550" s="3877" t="s">
        <v>1447</v>
      </c>
      <c r="AK550" s="3877" t="s">
        <v>1487</v>
      </c>
      <c r="AL550" s="1874"/>
      <c r="AM550" s="1714"/>
      <c r="AN550" s="1714"/>
      <c r="AO550" s="1714"/>
      <c r="AP550" s="1714"/>
      <c r="AQ550" s="1714"/>
      <c r="AR550" s="1714"/>
      <c r="AS550" s="1714"/>
      <c r="AT550" s="1714"/>
      <c r="AU550" s="1714"/>
      <c r="AV550" s="1714"/>
      <c r="AW550" s="1714"/>
      <c r="AX550" s="1714"/>
      <c r="AY550" s="1714"/>
      <c r="AZ550" s="1714"/>
      <c r="BA550" s="1714"/>
      <c r="BB550" s="1714"/>
      <c r="BC550" s="1714"/>
      <c r="BD550" s="1714"/>
      <c r="BE550" s="1714"/>
      <c r="BF550" s="1714"/>
    </row>
    <row r="551" spans="1:58" ht="11.25" customHeight="1">
      <c r="A551" s="1088" t="s">
        <v>1361</v>
      </c>
      <c r="D551" s="1082"/>
      <c r="E551" s="1092"/>
      <c r="F551" s="3895"/>
      <c r="G551" s="3875"/>
      <c r="H551" s="3885" t="s">
        <v>421</v>
      </c>
      <c r="I551" s="3886"/>
      <c r="J551" s="3883"/>
      <c r="K551" s="3887"/>
      <c r="L551" s="3599"/>
      <c r="M551" s="3600"/>
      <c r="N551" s="3878"/>
      <c r="O551" s="3879">
        <v>1</v>
      </c>
      <c r="P551" s="3880" t="s">
        <v>50</v>
      </c>
      <c r="Q551" s="3883" t="s">
        <v>1494</v>
      </c>
      <c r="R551" s="3884" t="s">
        <v>1457</v>
      </c>
      <c r="S551" s="3884" t="s">
        <v>128</v>
      </c>
      <c r="T551" s="3884" t="s">
        <v>128</v>
      </c>
      <c r="U551" s="3884" t="s">
        <v>129</v>
      </c>
      <c r="V551" s="3884" t="s">
        <v>1495</v>
      </c>
      <c r="W551" s="3884" t="s">
        <v>1496</v>
      </c>
      <c r="X551" s="3884" t="s">
        <v>1497</v>
      </c>
      <c r="Y551" s="3884" t="s">
        <v>1498</v>
      </c>
      <c r="Z551" s="1097"/>
      <c r="AA551" s="1098"/>
      <c r="AB551" s="1098"/>
      <c r="AC551" s="1102"/>
      <c r="AD551" s="1102"/>
      <c r="AE551" s="1103"/>
      <c r="AF551" s="3876"/>
      <c r="AG551" s="3877"/>
      <c r="AH551" s="3877"/>
      <c r="AI551" s="3876"/>
      <c r="AJ551" s="3877"/>
      <c r="AK551" s="3877"/>
      <c r="AL551" s="1874"/>
      <c r="AM551" s="1714"/>
      <c r="AN551" s="1714"/>
      <c r="AO551" s="1714"/>
      <c r="AP551" s="1714"/>
      <c r="AQ551" s="1714"/>
      <c r="AR551" s="1714"/>
      <c r="AS551" s="1714"/>
      <c r="AT551" s="1714"/>
      <c r="AU551" s="1714"/>
      <c r="AV551" s="1714"/>
      <c r="AW551" s="1714"/>
      <c r="AX551" s="1714"/>
      <c r="AY551" s="1714"/>
      <c r="AZ551" s="1714"/>
      <c r="BA551" s="1714"/>
      <c r="BB551" s="1714"/>
      <c r="BC551" s="1714"/>
      <c r="BD551" s="1714"/>
      <c r="BE551" s="1714"/>
      <c r="BF551" s="1714"/>
    </row>
    <row r="552" spans="1:58" ht="11.25" customHeight="1">
      <c r="A552" s="1088" t="s">
        <v>1361</v>
      </c>
      <c r="D552" s="1082"/>
      <c r="E552" s="1092"/>
      <c r="F552" s="3895"/>
      <c r="G552" s="3875"/>
      <c r="H552" s="3885" t="s">
        <v>421</v>
      </c>
      <c r="I552" s="3886"/>
      <c r="J552" s="3883"/>
      <c r="K552" s="3887"/>
      <c r="L552" s="3599"/>
      <c r="M552" s="3600"/>
      <c r="N552" s="3878"/>
      <c r="O552" s="3879"/>
      <c r="P552" s="3881"/>
      <c r="Q552" s="3883"/>
      <c r="R552" s="3874"/>
      <c r="S552" s="3884"/>
      <c r="T552" s="3874"/>
      <c r="U552" s="3874"/>
      <c r="V552" s="3874"/>
      <c r="W552" s="3874"/>
      <c r="X552" s="3874"/>
      <c r="Y552" s="3874"/>
      <c r="Z552" s="1719"/>
      <c r="AA552" s="1686">
        <v>1</v>
      </c>
      <c r="AB552" s="1101" t="s">
        <v>1443</v>
      </c>
      <c r="AC552" s="1091">
        <v>1070</v>
      </c>
      <c r="AD552" s="1101" t="str">
        <f>AB552</f>
        <v xml:space="preserve">  Прибыль направляемая на инвестиции</v>
      </c>
      <c r="AE552" s="1091">
        <v>0</v>
      </c>
      <c r="AF552" s="3876"/>
      <c r="AG552" s="3877"/>
      <c r="AH552" s="3877"/>
      <c r="AI552" s="3876"/>
      <c r="AJ552" s="3877"/>
      <c r="AK552" s="3877"/>
      <c r="AL552" s="1874"/>
      <c r="AM552" s="1714"/>
      <c r="AN552" s="1714"/>
      <c r="AO552" s="1714"/>
      <c r="AP552" s="1714"/>
      <c r="AQ552" s="1714"/>
      <c r="AR552" s="1714"/>
      <c r="AS552" s="1714"/>
      <c r="AT552" s="1714"/>
      <c r="AU552" s="1714"/>
      <c r="AV552" s="1714"/>
      <c r="AW552" s="1714"/>
      <c r="AX552" s="1714"/>
      <c r="AY552" s="1714"/>
      <c r="AZ552" s="1714"/>
      <c r="BA552" s="1714"/>
      <c r="BB552" s="1714"/>
      <c r="BC552" s="1714"/>
      <c r="BD552" s="1714"/>
      <c r="BE552" s="1714"/>
      <c r="BF552" s="1714"/>
    </row>
    <row r="553" spans="1:58" ht="11.25" customHeight="1">
      <c r="A553" s="1088" t="s">
        <v>1361</v>
      </c>
      <c r="D553" s="1082"/>
      <c r="E553" s="1092"/>
      <c r="F553" s="3895"/>
      <c r="G553" s="3875"/>
      <c r="H553" s="3885" t="s">
        <v>421</v>
      </c>
      <c r="I553" s="3886"/>
      <c r="J553" s="3883"/>
      <c r="K553" s="3887"/>
      <c r="L553" s="3599"/>
      <c r="M553" s="3600"/>
      <c r="N553" s="3878"/>
      <c r="O553" s="3879"/>
      <c r="P553" s="3882"/>
      <c r="Q553" s="3883"/>
      <c r="R553" s="3874"/>
      <c r="S553" s="3884"/>
      <c r="T553" s="3874"/>
      <c r="U553" s="3874"/>
      <c r="V553" s="3874"/>
      <c r="W553" s="3874"/>
      <c r="X553" s="3874"/>
      <c r="Y553" s="3874"/>
      <c r="Z553" s="1097"/>
      <c r="AA553" s="1098"/>
      <c r="AB553" s="1163" t="s">
        <v>1444</v>
      </c>
      <c r="AC553" s="1102"/>
      <c r="AD553" s="1102"/>
      <c r="AE553" s="1104"/>
      <c r="AF553" s="3876"/>
      <c r="AG553" s="3877"/>
      <c r="AH553" s="3877"/>
      <c r="AI553" s="3876"/>
      <c r="AJ553" s="3877"/>
      <c r="AK553" s="3877"/>
      <c r="AL553" s="1874"/>
      <c r="AM553" s="1714"/>
      <c r="AN553" s="1714"/>
      <c r="AO553" s="1714"/>
      <c r="AP553" s="1714"/>
      <c r="AQ553" s="1714"/>
      <c r="AR553" s="1714"/>
      <c r="AS553" s="1714"/>
      <c r="AT553" s="1714"/>
      <c r="AU553" s="1714"/>
      <c r="AV553" s="1714"/>
      <c r="AW553" s="1714"/>
      <c r="AX553" s="1714"/>
      <c r="AY553" s="1714"/>
      <c r="AZ553" s="1714"/>
      <c r="BA553" s="1714"/>
      <c r="BB553" s="1714"/>
      <c r="BC553" s="1714"/>
      <c r="BD553" s="1714"/>
      <c r="BE553" s="1714"/>
      <c r="BF553" s="1714"/>
    </row>
    <row r="554" spans="1:58" ht="11.25" customHeight="1">
      <c r="A554" s="1088" t="s">
        <v>1361</v>
      </c>
      <c r="D554" s="1082"/>
      <c r="E554" s="1092"/>
      <c r="F554" s="3895"/>
      <c r="G554" s="3875"/>
      <c r="H554" s="3885" t="s">
        <v>421</v>
      </c>
      <c r="I554" s="3886"/>
      <c r="J554" s="3883"/>
      <c r="K554" s="3887"/>
      <c r="L554" s="3599"/>
      <c r="M554" s="3600"/>
      <c r="N554" s="1097"/>
      <c r="O554" s="1098"/>
      <c r="P554" s="1090" t="s">
        <v>1445</v>
      </c>
      <c r="Q554" s="1098"/>
      <c r="R554" s="1098"/>
      <c r="S554" s="1098"/>
      <c r="T554" s="1098"/>
      <c r="U554" s="1098"/>
      <c r="V554" s="1098"/>
      <c r="W554" s="1098"/>
      <c r="X554" s="1098"/>
      <c r="Y554" s="1098"/>
      <c r="Z554" s="1098"/>
      <c r="AA554" s="1098"/>
      <c r="AB554" s="1098"/>
      <c r="AC554" s="1098"/>
      <c r="AD554" s="1098"/>
      <c r="AE554" s="1105"/>
      <c r="AF554" s="3876"/>
      <c r="AG554" s="3877"/>
      <c r="AH554" s="3877"/>
      <c r="AI554" s="3876"/>
      <c r="AJ554" s="3877"/>
      <c r="AK554" s="3877"/>
      <c r="AL554" s="1874"/>
      <c r="AM554" s="1714"/>
      <c r="AN554" s="1714"/>
      <c r="AO554" s="1714"/>
      <c r="AP554" s="1714"/>
      <c r="AQ554" s="1714"/>
      <c r="AR554" s="1714"/>
      <c r="AS554" s="1714"/>
      <c r="AT554" s="1714"/>
      <c r="AU554" s="1714"/>
      <c r="AV554" s="1714"/>
      <c r="AW554" s="1714"/>
      <c r="AX554" s="1714"/>
      <c r="AY554" s="1714"/>
      <c r="AZ554" s="1714"/>
      <c r="BA554" s="1714"/>
      <c r="BB554" s="1714"/>
      <c r="BC554" s="1714"/>
      <c r="BD554" s="1714"/>
      <c r="BE554" s="1714"/>
      <c r="BF554" s="1714"/>
    </row>
    <row r="555" spans="1:58" ht="12" customHeight="1">
      <c r="A555" s="1088" t="s">
        <v>1361</v>
      </c>
      <c r="D555" s="1082"/>
      <c r="E555" s="1092"/>
      <c r="F555" s="3896"/>
      <c r="G555" s="1112"/>
      <c r="H555" s="1112"/>
      <c r="I555" s="3893" t="s">
        <v>1451</v>
      </c>
      <c r="J555" s="3893"/>
      <c r="K555" s="3893"/>
      <c r="L555" s="1095"/>
      <c r="M555" s="1095"/>
      <c r="N555" s="1096"/>
      <c r="O555" s="1096"/>
      <c r="P555" s="1096"/>
      <c r="Q555" s="1096"/>
      <c r="R555" s="1096"/>
      <c r="S555" s="1096"/>
      <c r="T555" s="1096"/>
      <c r="U555" s="1096"/>
      <c r="V555" s="1096"/>
      <c r="W555" s="1096"/>
      <c r="X555" s="1096"/>
      <c r="Y555" s="1096"/>
      <c r="Z555" s="1096"/>
      <c r="AA555" s="1096"/>
      <c r="AB555" s="1096"/>
      <c r="AC555" s="1096"/>
      <c r="AD555" s="1096"/>
      <c r="AE555" s="1096"/>
      <c r="AF555" s="1096"/>
      <c r="AG555" s="1095"/>
      <c r="AH555" s="1095"/>
      <c r="AI555" s="1096"/>
      <c r="AJ555" s="1095"/>
      <c r="AK555" s="1096"/>
      <c r="AL555" s="1874"/>
      <c r="AM555" s="1714"/>
      <c r="AN555" s="1714"/>
      <c r="AO555" s="1714"/>
      <c r="AP555" s="1714"/>
      <c r="AQ555" s="1714"/>
      <c r="AR555" s="1714"/>
      <c r="AS555" s="1714"/>
      <c r="AT555" s="1714"/>
      <c r="AU555" s="1714"/>
      <c r="AV555" s="1714"/>
      <c r="AW555" s="1714"/>
      <c r="AX555" s="1714"/>
      <c r="AY555" s="1714"/>
      <c r="AZ555" s="1714"/>
      <c r="BA555" s="1714"/>
      <c r="BB555" s="1714"/>
      <c r="BC555" s="1714"/>
      <c r="BD555" s="1714"/>
      <c r="BE555" s="1714"/>
      <c r="BF555" s="1714"/>
    </row>
    <row r="556" spans="1:58" ht="0.75" customHeight="1">
      <c r="A556" s="1088" t="s">
        <v>1361</v>
      </c>
      <c r="D556" s="1082"/>
      <c r="E556" s="1092"/>
      <c r="F556" s="3894">
        <v>2027</v>
      </c>
      <c r="G556" s="3885"/>
      <c r="H556" s="3898" t="s">
        <v>421</v>
      </c>
      <c r="I556" s="3899"/>
      <c r="J556" s="3891"/>
      <c r="K556" s="3891"/>
      <c r="L556" s="3892"/>
      <c r="M556" s="3743"/>
      <c r="N556" s="1922"/>
      <c r="O556" s="1921"/>
      <c r="P556" s="1922"/>
      <c r="Q556" s="1922"/>
      <c r="R556" s="1922"/>
      <c r="S556" s="1922"/>
      <c r="T556" s="1922"/>
      <c r="U556" s="1922"/>
      <c r="V556" s="1922"/>
      <c r="W556" s="1922"/>
      <c r="X556" s="1922"/>
      <c r="Y556" s="1922"/>
      <c r="Z556" s="1922"/>
      <c r="AA556" s="1922"/>
      <c r="AB556" s="1922"/>
      <c r="AC556" s="1922"/>
      <c r="AD556" s="1922"/>
      <c r="AE556" s="1922"/>
      <c r="AF556" s="3897"/>
      <c r="AG556" s="3892"/>
      <c r="AH556" s="3892"/>
      <c r="AI556" s="3897"/>
      <c r="AJ556" s="3892"/>
      <c r="AK556" s="3892"/>
      <c r="AL556" s="1874"/>
      <c r="AM556" s="1714"/>
      <c r="AN556" s="1714"/>
      <c r="AO556" s="1714"/>
      <c r="AP556" s="1714"/>
      <c r="AQ556" s="1714"/>
      <c r="AR556" s="1714"/>
      <c r="AS556" s="1714"/>
      <c r="AT556" s="1714"/>
      <c r="AU556" s="1714"/>
      <c r="AV556" s="1714"/>
      <c r="AW556" s="1714"/>
      <c r="AX556" s="1714"/>
      <c r="AY556" s="1714"/>
      <c r="AZ556" s="1714"/>
      <c r="BA556" s="1714"/>
      <c r="BB556" s="1714"/>
      <c r="BC556" s="1714"/>
      <c r="BD556" s="1714"/>
      <c r="BE556" s="1714"/>
      <c r="BF556" s="1714"/>
    </row>
    <row r="557" spans="1:58" ht="0.75" customHeight="1">
      <c r="A557" s="1088" t="s">
        <v>1361</v>
      </c>
      <c r="D557" s="1082"/>
      <c r="E557" s="1092"/>
      <c r="F557" s="3894"/>
      <c r="G557" s="3885"/>
      <c r="H557" s="3898"/>
      <c r="I557" s="3899"/>
      <c r="J557" s="3891"/>
      <c r="K557" s="3891"/>
      <c r="L557" s="3892"/>
      <c r="M557" s="3743"/>
      <c r="N557" s="3900"/>
      <c r="O557" s="3901"/>
      <c r="P557" s="3888"/>
      <c r="Q557" s="3891"/>
      <c r="R557" s="3891"/>
      <c r="S557" s="3891"/>
      <c r="T557" s="3891"/>
      <c r="U557" s="3891"/>
      <c r="V557" s="3891"/>
      <c r="W557" s="3891"/>
      <c r="X557" s="3891"/>
      <c r="Y557" s="3891"/>
      <c r="Z557" s="1923"/>
      <c r="AA557" s="1924"/>
      <c r="AB557" s="1924"/>
      <c r="AC557" s="1925"/>
      <c r="AD557" s="1925"/>
      <c r="AE557" s="1926"/>
      <c r="AF557" s="3897"/>
      <c r="AG557" s="3892"/>
      <c r="AH557" s="3892"/>
      <c r="AI557" s="3897"/>
      <c r="AJ557" s="3892"/>
      <c r="AK557" s="3892"/>
      <c r="AL557" s="1874"/>
      <c r="AM557" s="1714"/>
      <c r="AN557" s="1714"/>
      <c r="AO557" s="1714"/>
      <c r="AP557" s="1714"/>
      <c r="AQ557" s="1714"/>
      <c r="AR557" s="1714"/>
      <c r="AS557" s="1714"/>
      <c r="AT557" s="1714"/>
      <c r="AU557" s="1714"/>
      <c r="AV557" s="1714"/>
      <c r="AW557" s="1714"/>
      <c r="AX557" s="1714"/>
      <c r="AY557" s="1714"/>
      <c r="AZ557" s="1714"/>
      <c r="BA557" s="1714"/>
      <c r="BB557" s="1714"/>
      <c r="BC557" s="1714"/>
      <c r="BD557" s="1714"/>
      <c r="BE557" s="1714"/>
      <c r="BF557" s="1714"/>
    </row>
    <row r="558" spans="1:58" ht="0.75" customHeight="1">
      <c r="A558" s="1088" t="s">
        <v>1361</v>
      </c>
      <c r="D558" s="1082"/>
      <c r="E558" s="1092"/>
      <c r="F558" s="3894"/>
      <c r="G558" s="3885"/>
      <c r="H558" s="3898"/>
      <c r="I558" s="3899"/>
      <c r="J558" s="3891"/>
      <c r="K558" s="3891"/>
      <c r="L558" s="3892"/>
      <c r="M558" s="3743"/>
      <c r="N558" s="3900"/>
      <c r="O558" s="3901"/>
      <c r="P558" s="3889"/>
      <c r="Q558" s="3891"/>
      <c r="R558" s="3891"/>
      <c r="S558" s="3891"/>
      <c r="T558" s="3891"/>
      <c r="U558" s="3891"/>
      <c r="V558" s="3891"/>
      <c r="W558" s="3891"/>
      <c r="X558" s="3891"/>
      <c r="Y558" s="3891"/>
      <c r="Z558" s="1927"/>
      <c r="AA558" s="1928"/>
      <c r="AB558" s="1929"/>
      <c r="AC558" s="1930"/>
      <c r="AD558" s="1929"/>
      <c r="AE558" s="1930"/>
      <c r="AF558" s="3897"/>
      <c r="AG558" s="3892"/>
      <c r="AH558" s="3892"/>
      <c r="AI558" s="3897"/>
      <c r="AJ558" s="3892"/>
      <c r="AK558" s="3892"/>
      <c r="AL558" s="1874"/>
      <c r="AM558" s="1714"/>
      <c r="AN558" s="1714"/>
      <c r="AO558" s="1714"/>
      <c r="AP558" s="1714"/>
      <c r="AQ558" s="1714"/>
      <c r="AR558" s="1714"/>
      <c r="AS558" s="1714"/>
      <c r="AT558" s="1714"/>
      <c r="AU558" s="1714"/>
      <c r="AV558" s="1714"/>
      <c r="AW558" s="1714"/>
      <c r="AX558" s="1714"/>
      <c r="AY558" s="1714"/>
      <c r="AZ558" s="1714"/>
      <c r="BA558" s="1714"/>
      <c r="BB558" s="1714"/>
      <c r="BC558" s="1714"/>
      <c r="BD558" s="1714"/>
      <c r="BE558" s="1714"/>
      <c r="BF558" s="1714"/>
    </row>
    <row r="559" spans="1:58" ht="0.75" customHeight="1">
      <c r="A559" s="1088" t="s">
        <v>1361</v>
      </c>
      <c r="D559" s="1082"/>
      <c r="E559" s="1092"/>
      <c r="F559" s="3894"/>
      <c r="G559" s="3885"/>
      <c r="H559" s="3898"/>
      <c r="I559" s="3899"/>
      <c r="J559" s="3891"/>
      <c r="K559" s="3891"/>
      <c r="L559" s="3892"/>
      <c r="M559" s="3743"/>
      <c r="N559" s="3900"/>
      <c r="O559" s="3901"/>
      <c r="P559" s="3890"/>
      <c r="Q559" s="3891"/>
      <c r="R559" s="3891"/>
      <c r="S559" s="3891"/>
      <c r="T559" s="3891"/>
      <c r="U559" s="3891"/>
      <c r="V559" s="3891"/>
      <c r="W559" s="3891"/>
      <c r="X559" s="3891"/>
      <c r="Y559" s="3891"/>
      <c r="Z559" s="1923"/>
      <c r="AA559" s="1924"/>
      <c r="AB559" s="1931"/>
      <c r="AC559" s="1925"/>
      <c r="AD559" s="1925"/>
      <c r="AE559" s="1932"/>
      <c r="AF559" s="3897"/>
      <c r="AG559" s="3892"/>
      <c r="AH559" s="3892"/>
      <c r="AI559" s="3897"/>
      <c r="AJ559" s="3892"/>
      <c r="AK559" s="3892"/>
      <c r="AL559" s="1874"/>
      <c r="AM559" s="1714"/>
      <c r="AN559" s="1714"/>
      <c r="AO559" s="1714"/>
      <c r="AP559" s="1714"/>
      <c r="AQ559" s="1714"/>
      <c r="AR559" s="1714"/>
      <c r="AS559" s="1714"/>
      <c r="AT559" s="1714"/>
      <c r="AU559" s="1714"/>
      <c r="AV559" s="1714"/>
      <c r="AW559" s="1714"/>
      <c r="AX559" s="1714"/>
      <c r="AY559" s="1714"/>
      <c r="AZ559" s="1714"/>
      <c r="BA559" s="1714"/>
      <c r="BB559" s="1714"/>
      <c r="BC559" s="1714"/>
      <c r="BD559" s="1714"/>
      <c r="BE559" s="1714"/>
      <c r="BF559" s="1714"/>
    </row>
    <row r="560" spans="1:58" ht="0.75" customHeight="1">
      <c r="A560" s="1088" t="s">
        <v>1361</v>
      </c>
      <c r="D560" s="1082"/>
      <c r="E560" s="1092"/>
      <c r="F560" s="3894"/>
      <c r="G560" s="3885"/>
      <c r="H560" s="3898"/>
      <c r="I560" s="3899"/>
      <c r="J560" s="3891"/>
      <c r="K560" s="3891"/>
      <c r="L560" s="3892"/>
      <c r="M560" s="3743"/>
      <c r="N560" s="1924"/>
      <c r="O560" s="1924"/>
      <c r="P560" s="1931"/>
      <c r="Q560" s="1924"/>
      <c r="R560" s="1924"/>
      <c r="S560" s="1924"/>
      <c r="T560" s="1924"/>
      <c r="U560" s="1924"/>
      <c r="V560" s="1924"/>
      <c r="W560" s="1924"/>
      <c r="X560" s="1924"/>
      <c r="Y560" s="1924"/>
      <c r="Z560" s="1924"/>
      <c r="AA560" s="1924"/>
      <c r="AB560" s="1924"/>
      <c r="AC560" s="1924"/>
      <c r="AD560" s="1924"/>
      <c r="AE560" s="1933"/>
      <c r="AF560" s="3897"/>
      <c r="AG560" s="3892"/>
      <c r="AH560" s="3892"/>
      <c r="AI560" s="3897"/>
      <c r="AJ560" s="3892"/>
      <c r="AK560" s="3892"/>
      <c r="AL560" s="1874"/>
      <c r="AM560" s="1714"/>
      <c r="AN560" s="1714"/>
      <c r="AO560" s="1714"/>
      <c r="AP560" s="1714"/>
      <c r="AQ560" s="1714"/>
      <c r="AR560" s="1714"/>
      <c r="AS560" s="1714"/>
      <c r="AT560" s="1714"/>
      <c r="AU560" s="1714"/>
      <c r="AV560" s="1714"/>
      <c r="AW560" s="1714"/>
      <c r="AX560" s="1714"/>
      <c r="AY560" s="1714"/>
      <c r="AZ560" s="1714"/>
      <c r="BA560" s="1714"/>
      <c r="BB560" s="1714"/>
      <c r="BC560" s="1714"/>
      <c r="BD560" s="1714"/>
      <c r="BE560" s="1714"/>
      <c r="BF560" s="1714"/>
    </row>
    <row r="561" spans="1:58" ht="11.25" customHeight="1">
      <c r="A561" s="1088" t="s">
        <v>1361</v>
      </c>
      <c r="D561" s="1082"/>
      <c r="E561" s="1092"/>
      <c r="F561" s="3895"/>
      <c r="G561" s="3853" t="s">
        <v>90</v>
      </c>
      <c r="H561" s="3885" t="s">
        <v>164</v>
      </c>
      <c r="I561" s="3886"/>
      <c r="J561" s="3883"/>
      <c r="K561" s="3887" t="s">
        <v>1488</v>
      </c>
      <c r="L561" s="3599" t="s">
        <v>6</v>
      </c>
      <c r="M561" s="3600"/>
      <c r="N561" s="1872"/>
      <c r="O561" s="1099" t="s">
        <v>421</v>
      </c>
      <c r="P561" s="1100"/>
      <c r="Q561" s="1100"/>
      <c r="R561" s="1100"/>
      <c r="S561" s="1100"/>
      <c r="T561" s="1100"/>
      <c r="U561" s="1100"/>
      <c r="V561" s="1100"/>
      <c r="W561" s="1100"/>
      <c r="X561" s="1100"/>
      <c r="Y561" s="1100"/>
      <c r="Z561" s="1100"/>
      <c r="AA561" s="1100"/>
      <c r="AB561" s="1100"/>
      <c r="AC561" s="1100"/>
      <c r="AD561" s="1100"/>
      <c r="AE561" s="1100"/>
      <c r="AF561" s="3876">
        <v>2025</v>
      </c>
      <c r="AG561" s="3877" t="s">
        <v>1447</v>
      </c>
      <c r="AH561" s="3877" t="s">
        <v>1487</v>
      </c>
      <c r="AI561" s="3876">
        <v>2025</v>
      </c>
      <c r="AJ561" s="3877" t="s">
        <v>1447</v>
      </c>
      <c r="AK561" s="3877" t="s">
        <v>1487</v>
      </c>
      <c r="AL561" s="1874"/>
      <c r="AM561" s="1714"/>
      <c r="AN561" s="1714"/>
      <c r="AO561" s="1714"/>
      <c r="AP561" s="1714"/>
      <c r="AQ561" s="1714"/>
      <c r="AR561" s="1714"/>
      <c r="AS561" s="1714"/>
      <c r="AT561" s="1714"/>
      <c r="AU561" s="1714"/>
      <c r="AV561" s="1714"/>
      <c r="AW561" s="1714"/>
      <c r="AX561" s="1714"/>
      <c r="AY561" s="1714"/>
      <c r="AZ561" s="1714"/>
      <c r="BA561" s="1714"/>
      <c r="BB561" s="1714"/>
      <c r="BC561" s="1714"/>
      <c r="BD561" s="1714"/>
      <c r="BE561" s="1714"/>
      <c r="BF561" s="1714"/>
    </row>
    <row r="562" spans="1:58" ht="11.25" customHeight="1">
      <c r="A562" s="1088" t="s">
        <v>1361</v>
      </c>
      <c r="D562" s="1082"/>
      <c r="E562" s="1092"/>
      <c r="F562" s="3895"/>
      <c r="G562" s="3875"/>
      <c r="H562" s="3885" t="s">
        <v>421</v>
      </c>
      <c r="I562" s="3886"/>
      <c r="J562" s="3883"/>
      <c r="K562" s="3887"/>
      <c r="L562" s="3599"/>
      <c r="M562" s="3600"/>
      <c r="N562" s="3878"/>
      <c r="O562" s="3879">
        <v>1</v>
      </c>
      <c r="P562" s="3880" t="s">
        <v>50</v>
      </c>
      <c r="Q562" s="3883" t="s">
        <v>1494</v>
      </c>
      <c r="R562" s="3884" t="s">
        <v>1457</v>
      </c>
      <c r="S562" s="3884" t="s">
        <v>128</v>
      </c>
      <c r="T562" s="3884" t="s">
        <v>128</v>
      </c>
      <c r="U562" s="3884" t="s">
        <v>129</v>
      </c>
      <c r="V562" s="3884" t="s">
        <v>1495</v>
      </c>
      <c r="W562" s="3884" t="s">
        <v>1496</v>
      </c>
      <c r="X562" s="3884" t="s">
        <v>1497</v>
      </c>
      <c r="Y562" s="3884" t="s">
        <v>1498</v>
      </c>
      <c r="Z562" s="1097"/>
      <c r="AA562" s="1098"/>
      <c r="AB562" s="1098"/>
      <c r="AC562" s="1102"/>
      <c r="AD562" s="1102"/>
      <c r="AE562" s="1103"/>
      <c r="AF562" s="3876"/>
      <c r="AG562" s="3877"/>
      <c r="AH562" s="3877"/>
      <c r="AI562" s="3876"/>
      <c r="AJ562" s="3877"/>
      <c r="AK562" s="3877"/>
      <c r="AL562" s="1874"/>
      <c r="AM562" s="1714"/>
      <c r="AN562" s="1714"/>
      <c r="AO562" s="1714"/>
      <c r="AP562" s="1714"/>
      <c r="AQ562" s="1714"/>
      <c r="AR562" s="1714"/>
      <c r="AS562" s="1714"/>
      <c r="AT562" s="1714"/>
      <c r="AU562" s="1714"/>
      <c r="AV562" s="1714"/>
      <c r="AW562" s="1714"/>
      <c r="AX562" s="1714"/>
      <c r="AY562" s="1714"/>
      <c r="AZ562" s="1714"/>
      <c r="BA562" s="1714"/>
      <c r="BB562" s="1714"/>
      <c r="BC562" s="1714"/>
      <c r="BD562" s="1714"/>
      <c r="BE562" s="1714"/>
      <c r="BF562" s="1714"/>
    </row>
    <row r="563" spans="1:58" ht="11.25" customHeight="1">
      <c r="A563" s="1088" t="s">
        <v>1361</v>
      </c>
      <c r="D563" s="1082"/>
      <c r="E563" s="1092"/>
      <c r="F563" s="3895"/>
      <c r="G563" s="3875"/>
      <c r="H563" s="3885" t="s">
        <v>421</v>
      </c>
      <c r="I563" s="3886"/>
      <c r="J563" s="3883"/>
      <c r="K563" s="3887"/>
      <c r="L563" s="3599"/>
      <c r="M563" s="3600"/>
      <c r="N563" s="3878"/>
      <c r="O563" s="3879"/>
      <c r="P563" s="3881"/>
      <c r="Q563" s="3883"/>
      <c r="R563" s="3874"/>
      <c r="S563" s="3884"/>
      <c r="T563" s="3874"/>
      <c r="U563" s="3874"/>
      <c r="V563" s="3874"/>
      <c r="W563" s="3874"/>
      <c r="X563" s="3874"/>
      <c r="Y563" s="3874"/>
      <c r="Z563" s="1719"/>
      <c r="AA563" s="1686">
        <v>1</v>
      </c>
      <c r="AB563" s="1101" t="s">
        <v>1443</v>
      </c>
      <c r="AC563" s="1091">
        <v>1070</v>
      </c>
      <c r="AD563" s="1101" t="str">
        <f>AB563</f>
        <v xml:space="preserve">  Прибыль направляемая на инвестиции</v>
      </c>
      <c r="AE563" s="1091">
        <v>0</v>
      </c>
      <c r="AF563" s="3876"/>
      <c r="AG563" s="3877"/>
      <c r="AH563" s="3877"/>
      <c r="AI563" s="3876"/>
      <c r="AJ563" s="3877"/>
      <c r="AK563" s="3877"/>
      <c r="AL563" s="1874"/>
      <c r="AM563" s="1714"/>
      <c r="AN563" s="1714"/>
      <c r="AO563" s="1714"/>
      <c r="AP563" s="1714"/>
      <c r="AQ563" s="1714"/>
      <c r="AR563" s="1714"/>
      <c r="AS563" s="1714"/>
      <c r="AT563" s="1714"/>
      <c r="AU563" s="1714"/>
      <c r="AV563" s="1714"/>
      <c r="AW563" s="1714"/>
      <c r="AX563" s="1714"/>
      <c r="AY563" s="1714"/>
      <c r="AZ563" s="1714"/>
      <c r="BA563" s="1714"/>
      <c r="BB563" s="1714"/>
      <c r="BC563" s="1714"/>
      <c r="BD563" s="1714"/>
      <c r="BE563" s="1714"/>
      <c r="BF563" s="1714"/>
    </row>
    <row r="564" spans="1:58" ht="11.25" customHeight="1">
      <c r="A564" s="1088" t="s">
        <v>1361</v>
      </c>
      <c r="D564" s="1082"/>
      <c r="E564" s="1092"/>
      <c r="F564" s="3895"/>
      <c r="G564" s="3875"/>
      <c r="H564" s="3885" t="s">
        <v>421</v>
      </c>
      <c r="I564" s="3886"/>
      <c r="J564" s="3883"/>
      <c r="K564" s="3887"/>
      <c r="L564" s="3599"/>
      <c r="M564" s="3600"/>
      <c r="N564" s="3878"/>
      <c r="O564" s="3879"/>
      <c r="P564" s="3882"/>
      <c r="Q564" s="3883"/>
      <c r="R564" s="3874"/>
      <c r="S564" s="3884"/>
      <c r="T564" s="3874"/>
      <c r="U564" s="3874"/>
      <c r="V564" s="3874"/>
      <c r="W564" s="3874"/>
      <c r="X564" s="3874"/>
      <c r="Y564" s="3874"/>
      <c r="Z564" s="1097"/>
      <c r="AA564" s="1098"/>
      <c r="AB564" s="1163" t="s">
        <v>1444</v>
      </c>
      <c r="AC564" s="1102"/>
      <c r="AD564" s="1102"/>
      <c r="AE564" s="1104"/>
      <c r="AF564" s="3876"/>
      <c r="AG564" s="3877"/>
      <c r="AH564" s="3877"/>
      <c r="AI564" s="3876"/>
      <c r="AJ564" s="3877"/>
      <c r="AK564" s="3877"/>
      <c r="AL564" s="1874"/>
      <c r="AM564" s="1714"/>
      <c r="AN564" s="1714"/>
      <c r="AO564" s="1714"/>
      <c r="AP564" s="1714"/>
      <c r="AQ564" s="1714"/>
      <c r="AR564" s="1714"/>
      <c r="AS564" s="1714"/>
      <c r="AT564" s="1714"/>
      <c r="AU564" s="1714"/>
      <c r="AV564" s="1714"/>
      <c r="AW564" s="1714"/>
      <c r="AX564" s="1714"/>
      <c r="AY564" s="1714"/>
      <c r="AZ564" s="1714"/>
      <c r="BA564" s="1714"/>
      <c r="BB564" s="1714"/>
      <c r="BC564" s="1714"/>
      <c r="BD564" s="1714"/>
      <c r="BE564" s="1714"/>
      <c r="BF564" s="1714"/>
    </row>
    <row r="565" spans="1:58" ht="11.25" customHeight="1">
      <c r="A565" s="1088" t="s">
        <v>1361</v>
      </c>
      <c r="D565" s="1082"/>
      <c r="E565" s="1092"/>
      <c r="F565" s="3895"/>
      <c r="G565" s="3875"/>
      <c r="H565" s="3885" t="s">
        <v>421</v>
      </c>
      <c r="I565" s="3886"/>
      <c r="J565" s="3883"/>
      <c r="K565" s="3887"/>
      <c r="L565" s="3599"/>
      <c r="M565" s="3600"/>
      <c r="N565" s="1097"/>
      <c r="O565" s="1098"/>
      <c r="P565" s="1090" t="s">
        <v>1445</v>
      </c>
      <c r="Q565" s="1098"/>
      <c r="R565" s="1098"/>
      <c r="S565" s="1098"/>
      <c r="T565" s="1098"/>
      <c r="U565" s="1098"/>
      <c r="V565" s="1098"/>
      <c r="W565" s="1098"/>
      <c r="X565" s="1098"/>
      <c r="Y565" s="1098"/>
      <c r="Z565" s="1098"/>
      <c r="AA565" s="1098"/>
      <c r="AB565" s="1098"/>
      <c r="AC565" s="1098"/>
      <c r="AD565" s="1098"/>
      <c r="AE565" s="1105"/>
      <c r="AF565" s="3876"/>
      <c r="AG565" s="3877"/>
      <c r="AH565" s="3877"/>
      <c r="AI565" s="3876"/>
      <c r="AJ565" s="3877"/>
      <c r="AK565" s="3877"/>
      <c r="AL565" s="1874"/>
      <c r="AM565" s="1714"/>
      <c r="AN565" s="1714"/>
      <c r="AO565" s="1714"/>
      <c r="AP565" s="1714"/>
      <c r="AQ565" s="1714"/>
      <c r="AR565" s="1714"/>
      <c r="AS565" s="1714"/>
      <c r="AT565" s="1714"/>
      <c r="AU565" s="1714"/>
      <c r="AV565" s="1714"/>
      <c r="AW565" s="1714"/>
      <c r="AX565" s="1714"/>
      <c r="AY565" s="1714"/>
      <c r="AZ565" s="1714"/>
      <c r="BA565" s="1714"/>
      <c r="BB565" s="1714"/>
      <c r="BC565" s="1714"/>
      <c r="BD565" s="1714"/>
      <c r="BE565" s="1714"/>
      <c r="BF565" s="1714"/>
    </row>
    <row r="566" spans="1:58" ht="12" customHeight="1">
      <c r="A566" s="1088" t="s">
        <v>1361</v>
      </c>
      <c r="D566" s="1082"/>
      <c r="E566" s="1092"/>
      <c r="F566" s="3896"/>
      <c r="G566" s="1112"/>
      <c r="H566" s="1112"/>
      <c r="I566" s="3893" t="s">
        <v>1451</v>
      </c>
      <c r="J566" s="3893"/>
      <c r="K566" s="3893"/>
      <c r="L566" s="1095"/>
      <c r="M566" s="1095"/>
      <c r="N566" s="1096"/>
      <c r="O566" s="1096"/>
      <c r="P566" s="1096"/>
      <c r="Q566" s="1096"/>
      <c r="R566" s="1096"/>
      <c r="S566" s="1096"/>
      <c r="T566" s="1096"/>
      <c r="U566" s="1096"/>
      <c r="V566" s="1096"/>
      <c r="W566" s="1096"/>
      <c r="X566" s="1096"/>
      <c r="Y566" s="1096"/>
      <c r="Z566" s="1096"/>
      <c r="AA566" s="1096"/>
      <c r="AB566" s="1096"/>
      <c r="AC566" s="1096"/>
      <c r="AD566" s="1096"/>
      <c r="AE566" s="1096"/>
      <c r="AF566" s="1096"/>
      <c r="AG566" s="1095"/>
      <c r="AH566" s="1095"/>
      <c r="AI566" s="1096"/>
      <c r="AJ566" s="1095"/>
      <c r="AK566" s="1096"/>
      <c r="AL566" s="1874"/>
      <c r="AM566" s="1714"/>
      <c r="AN566" s="1714"/>
      <c r="AO566" s="1714"/>
      <c r="AP566" s="1714"/>
      <c r="AQ566" s="1714"/>
      <c r="AR566" s="1714"/>
      <c r="AS566" s="1714"/>
      <c r="AT566" s="1714"/>
      <c r="AU566" s="1714"/>
      <c r="AV566" s="1714"/>
      <c r="AW566" s="1714"/>
      <c r="AX566" s="1714"/>
      <c r="AY566" s="1714"/>
      <c r="AZ566" s="1714"/>
      <c r="BA566" s="1714"/>
      <c r="BB566" s="1714"/>
      <c r="BC566" s="1714"/>
      <c r="BD566" s="1714"/>
      <c r="BE566" s="1714"/>
      <c r="BF566" s="1714"/>
    </row>
    <row r="567" spans="1:58" ht="0.75" customHeight="1">
      <c r="A567" s="1088" t="s">
        <v>1361</v>
      </c>
      <c r="D567" s="1082"/>
      <c r="E567" s="1092"/>
      <c r="F567" s="3894">
        <v>2028</v>
      </c>
      <c r="G567" s="3885"/>
      <c r="H567" s="3898" t="s">
        <v>421</v>
      </c>
      <c r="I567" s="3899"/>
      <c r="J567" s="3891"/>
      <c r="K567" s="3891"/>
      <c r="L567" s="3892"/>
      <c r="M567" s="3743"/>
      <c r="N567" s="1922"/>
      <c r="O567" s="1921"/>
      <c r="P567" s="1922"/>
      <c r="Q567" s="1922"/>
      <c r="R567" s="1922"/>
      <c r="S567" s="1922"/>
      <c r="T567" s="1922"/>
      <c r="U567" s="1922"/>
      <c r="V567" s="1922"/>
      <c r="W567" s="1922"/>
      <c r="X567" s="1922"/>
      <c r="Y567" s="1922"/>
      <c r="Z567" s="1922"/>
      <c r="AA567" s="1922"/>
      <c r="AB567" s="1922"/>
      <c r="AC567" s="1922"/>
      <c r="AD567" s="1922"/>
      <c r="AE567" s="1922"/>
      <c r="AF567" s="3897"/>
      <c r="AG567" s="3892"/>
      <c r="AH567" s="3892"/>
      <c r="AI567" s="3897"/>
      <c r="AJ567" s="3892"/>
      <c r="AK567" s="3892"/>
      <c r="AL567" s="1874"/>
      <c r="AM567" s="1714"/>
      <c r="AN567" s="1714"/>
      <c r="AO567" s="1714"/>
      <c r="AP567" s="1714"/>
      <c r="AQ567" s="1714"/>
      <c r="AR567" s="1714"/>
      <c r="AS567" s="1714"/>
      <c r="AT567" s="1714"/>
      <c r="AU567" s="1714"/>
      <c r="AV567" s="1714"/>
      <c r="AW567" s="1714"/>
      <c r="AX567" s="1714"/>
      <c r="AY567" s="1714"/>
      <c r="AZ567" s="1714"/>
      <c r="BA567" s="1714"/>
      <c r="BB567" s="1714"/>
      <c r="BC567" s="1714"/>
      <c r="BD567" s="1714"/>
      <c r="BE567" s="1714"/>
      <c r="BF567" s="1714"/>
    </row>
    <row r="568" spans="1:58" ht="0.75" customHeight="1">
      <c r="A568" s="1088" t="s">
        <v>1361</v>
      </c>
      <c r="D568" s="1082"/>
      <c r="E568" s="1092"/>
      <c r="F568" s="3894"/>
      <c r="G568" s="3885"/>
      <c r="H568" s="3898"/>
      <c r="I568" s="3899"/>
      <c r="J568" s="3891"/>
      <c r="K568" s="3891"/>
      <c r="L568" s="3892"/>
      <c r="M568" s="3743"/>
      <c r="N568" s="3900"/>
      <c r="O568" s="3901"/>
      <c r="P568" s="3888"/>
      <c r="Q568" s="3891"/>
      <c r="R568" s="3891"/>
      <c r="S568" s="3891"/>
      <c r="T568" s="3891"/>
      <c r="U568" s="3891"/>
      <c r="V568" s="3891"/>
      <c r="W568" s="3891"/>
      <c r="X568" s="3891"/>
      <c r="Y568" s="3891"/>
      <c r="Z568" s="1923"/>
      <c r="AA568" s="1924"/>
      <c r="AB568" s="1924"/>
      <c r="AC568" s="1925"/>
      <c r="AD568" s="1925"/>
      <c r="AE568" s="1926"/>
      <c r="AF568" s="3897"/>
      <c r="AG568" s="3892"/>
      <c r="AH568" s="3892"/>
      <c r="AI568" s="3897"/>
      <c r="AJ568" s="3892"/>
      <c r="AK568" s="3892"/>
      <c r="AL568" s="1874"/>
      <c r="AM568" s="1714"/>
      <c r="AN568" s="1714"/>
      <c r="AO568" s="1714"/>
      <c r="AP568" s="1714"/>
      <c r="AQ568" s="1714"/>
      <c r="AR568" s="1714"/>
      <c r="AS568" s="1714"/>
      <c r="AT568" s="1714"/>
      <c r="AU568" s="1714"/>
      <c r="AV568" s="1714"/>
      <c r="AW568" s="1714"/>
      <c r="AX568" s="1714"/>
      <c r="AY568" s="1714"/>
      <c r="AZ568" s="1714"/>
      <c r="BA568" s="1714"/>
      <c r="BB568" s="1714"/>
      <c r="BC568" s="1714"/>
      <c r="BD568" s="1714"/>
      <c r="BE568" s="1714"/>
      <c r="BF568" s="1714"/>
    </row>
    <row r="569" spans="1:58" ht="0.75" customHeight="1">
      <c r="A569" s="1088" t="s">
        <v>1361</v>
      </c>
      <c r="D569" s="1082"/>
      <c r="E569" s="1092"/>
      <c r="F569" s="3894"/>
      <c r="G569" s="3885"/>
      <c r="H569" s="3898"/>
      <c r="I569" s="3899"/>
      <c r="J569" s="3891"/>
      <c r="K569" s="3891"/>
      <c r="L569" s="3892"/>
      <c r="M569" s="3743"/>
      <c r="N569" s="3900"/>
      <c r="O569" s="3901"/>
      <c r="P569" s="3889"/>
      <c r="Q569" s="3891"/>
      <c r="R569" s="3891"/>
      <c r="S569" s="3891"/>
      <c r="T569" s="3891"/>
      <c r="U569" s="3891"/>
      <c r="V569" s="3891"/>
      <c r="W569" s="3891"/>
      <c r="X569" s="3891"/>
      <c r="Y569" s="3891"/>
      <c r="Z569" s="1927"/>
      <c r="AA569" s="1928"/>
      <c r="AB569" s="1929"/>
      <c r="AC569" s="1930"/>
      <c r="AD569" s="1929"/>
      <c r="AE569" s="1930"/>
      <c r="AF569" s="3897"/>
      <c r="AG569" s="3892"/>
      <c r="AH569" s="3892"/>
      <c r="AI569" s="3897"/>
      <c r="AJ569" s="3892"/>
      <c r="AK569" s="3892"/>
      <c r="AL569" s="1874"/>
      <c r="AM569" s="1714"/>
      <c r="AN569" s="1714"/>
      <c r="AO569" s="1714"/>
      <c r="AP569" s="1714"/>
      <c r="AQ569" s="1714"/>
      <c r="AR569" s="1714"/>
      <c r="AS569" s="1714"/>
      <c r="AT569" s="1714"/>
      <c r="AU569" s="1714"/>
      <c r="AV569" s="1714"/>
      <c r="AW569" s="1714"/>
      <c r="AX569" s="1714"/>
      <c r="AY569" s="1714"/>
      <c r="AZ569" s="1714"/>
      <c r="BA569" s="1714"/>
      <c r="BB569" s="1714"/>
      <c r="BC569" s="1714"/>
      <c r="BD569" s="1714"/>
      <c r="BE569" s="1714"/>
      <c r="BF569" s="1714"/>
    </row>
    <row r="570" spans="1:58" ht="0.75" customHeight="1">
      <c r="A570" s="1088" t="s">
        <v>1361</v>
      </c>
      <c r="D570" s="1082"/>
      <c r="E570" s="1092"/>
      <c r="F570" s="3894"/>
      <c r="G570" s="3885"/>
      <c r="H570" s="3898"/>
      <c r="I570" s="3899"/>
      <c r="J570" s="3891"/>
      <c r="K570" s="3891"/>
      <c r="L570" s="3892"/>
      <c r="M570" s="3743"/>
      <c r="N570" s="3900"/>
      <c r="O570" s="3901"/>
      <c r="P570" s="3890"/>
      <c r="Q570" s="3891"/>
      <c r="R570" s="3891"/>
      <c r="S570" s="3891"/>
      <c r="T570" s="3891"/>
      <c r="U570" s="3891"/>
      <c r="V570" s="3891"/>
      <c r="W570" s="3891"/>
      <c r="X570" s="3891"/>
      <c r="Y570" s="3891"/>
      <c r="Z570" s="1923"/>
      <c r="AA570" s="1924"/>
      <c r="AB570" s="1931"/>
      <c r="AC570" s="1925"/>
      <c r="AD570" s="1925"/>
      <c r="AE570" s="1932"/>
      <c r="AF570" s="3897"/>
      <c r="AG570" s="3892"/>
      <c r="AH570" s="3892"/>
      <c r="AI570" s="3897"/>
      <c r="AJ570" s="3892"/>
      <c r="AK570" s="3892"/>
      <c r="AL570" s="1874"/>
      <c r="AM570" s="1714"/>
      <c r="AN570" s="1714"/>
      <c r="AO570" s="1714"/>
      <c r="AP570" s="1714"/>
      <c r="AQ570" s="1714"/>
      <c r="AR570" s="1714"/>
      <c r="AS570" s="1714"/>
      <c r="AT570" s="1714"/>
      <c r="AU570" s="1714"/>
      <c r="AV570" s="1714"/>
      <c r="AW570" s="1714"/>
      <c r="AX570" s="1714"/>
      <c r="AY570" s="1714"/>
      <c r="AZ570" s="1714"/>
      <c r="BA570" s="1714"/>
      <c r="BB570" s="1714"/>
      <c r="BC570" s="1714"/>
      <c r="BD570" s="1714"/>
      <c r="BE570" s="1714"/>
      <c r="BF570" s="1714"/>
    </row>
    <row r="571" spans="1:58" ht="0.75" customHeight="1">
      <c r="A571" s="1088" t="s">
        <v>1361</v>
      </c>
      <c r="D571" s="1082"/>
      <c r="E571" s="1092"/>
      <c r="F571" s="3894"/>
      <c r="G571" s="3885"/>
      <c r="H571" s="3898"/>
      <c r="I571" s="3899"/>
      <c r="J571" s="3891"/>
      <c r="K571" s="3891"/>
      <c r="L571" s="3892"/>
      <c r="M571" s="3743"/>
      <c r="N571" s="1924"/>
      <c r="O571" s="1924"/>
      <c r="P571" s="1931"/>
      <c r="Q571" s="1924"/>
      <c r="R571" s="1924"/>
      <c r="S571" s="1924"/>
      <c r="T571" s="1924"/>
      <c r="U571" s="1924"/>
      <c r="V571" s="1924"/>
      <c r="W571" s="1924"/>
      <c r="X571" s="1924"/>
      <c r="Y571" s="1924"/>
      <c r="Z571" s="1924"/>
      <c r="AA571" s="1924"/>
      <c r="AB571" s="1924"/>
      <c r="AC571" s="1924"/>
      <c r="AD571" s="1924"/>
      <c r="AE571" s="1933"/>
      <c r="AF571" s="3897"/>
      <c r="AG571" s="3892"/>
      <c r="AH571" s="3892"/>
      <c r="AI571" s="3897"/>
      <c r="AJ571" s="3892"/>
      <c r="AK571" s="3892"/>
      <c r="AL571" s="1874"/>
      <c r="AM571" s="1714"/>
      <c r="AN571" s="1714"/>
      <c r="AO571" s="1714"/>
      <c r="AP571" s="1714"/>
      <c r="AQ571" s="1714"/>
      <c r="AR571" s="1714"/>
      <c r="AS571" s="1714"/>
      <c r="AT571" s="1714"/>
      <c r="AU571" s="1714"/>
      <c r="AV571" s="1714"/>
      <c r="AW571" s="1714"/>
      <c r="AX571" s="1714"/>
      <c r="AY571" s="1714"/>
      <c r="AZ571" s="1714"/>
      <c r="BA571" s="1714"/>
      <c r="BB571" s="1714"/>
      <c r="BC571" s="1714"/>
      <c r="BD571" s="1714"/>
      <c r="BE571" s="1714"/>
      <c r="BF571" s="1714"/>
    </row>
    <row r="572" spans="1:58" ht="11.25" customHeight="1">
      <c r="A572" s="1088" t="s">
        <v>1361</v>
      </c>
      <c r="D572" s="1082"/>
      <c r="E572" s="1092"/>
      <c r="F572" s="3895"/>
      <c r="G572" s="3853" t="s">
        <v>90</v>
      </c>
      <c r="H572" s="3885" t="s">
        <v>164</v>
      </c>
      <c r="I572" s="3886"/>
      <c r="J572" s="3883"/>
      <c r="K572" s="3887" t="s">
        <v>1488</v>
      </c>
      <c r="L572" s="3599" t="s">
        <v>6</v>
      </c>
      <c r="M572" s="3600"/>
      <c r="N572" s="1872"/>
      <c r="O572" s="1099" t="s">
        <v>421</v>
      </c>
      <c r="P572" s="1100"/>
      <c r="Q572" s="1100"/>
      <c r="R572" s="1100"/>
      <c r="S572" s="1100"/>
      <c r="T572" s="1100"/>
      <c r="U572" s="1100"/>
      <c r="V572" s="1100"/>
      <c r="W572" s="1100"/>
      <c r="X572" s="1100"/>
      <c r="Y572" s="1100"/>
      <c r="Z572" s="1100"/>
      <c r="AA572" s="1100"/>
      <c r="AB572" s="1100"/>
      <c r="AC572" s="1100"/>
      <c r="AD572" s="1100"/>
      <c r="AE572" s="1100"/>
      <c r="AF572" s="3876">
        <v>2025</v>
      </c>
      <c r="AG572" s="3877" t="s">
        <v>1447</v>
      </c>
      <c r="AH572" s="3877" t="s">
        <v>1487</v>
      </c>
      <c r="AI572" s="3876">
        <v>2025</v>
      </c>
      <c r="AJ572" s="3877" t="s">
        <v>1447</v>
      </c>
      <c r="AK572" s="3877" t="s">
        <v>1487</v>
      </c>
      <c r="AL572" s="1874"/>
      <c r="AM572" s="1714"/>
      <c r="AN572" s="1714"/>
      <c r="AO572" s="1714"/>
      <c r="AP572" s="1714"/>
      <c r="AQ572" s="1714"/>
      <c r="AR572" s="1714"/>
      <c r="AS572" s="1714"/>
      <c r="AT572" s="1714"/>
      <c r="AU572" s="1714"/>
      <c r="AV572" s="1714"/>
      <c r="AW572" s="1714"/>
      <c r="AX572" s="1714"/>
      <c r="AY572" s="1714"/>
      <c r="AZ572" s="1714"/>
      <c r="BA572" s="1714"/>
      <c r="BB572" s="1714"/>
      <c r="BC572" s="1714"/>
      <c r="BD572" s="1714"/>
      <c r="BE572" s="1714"/>
      <c r="BF572" s="1714"/>
    </row>
    <row r="573" spans="1:58" ht="11.25" customHeight="1">
      <c r="A573" s="1088" t="s">
        <v>1361</v>
      </c>
      <c r="D573" s="1082"/>
      <c r="E573" s="1092"/>
      <c r="F573" s="3895"/>
      <c r="G573" s="3875"/>
      <c r="H573" s="3885" t="s">
        <v>421</v>
      </c>
      <c r="I573" s="3886"/>
      <c r="J573" s="3883"/>
      <c r="K573" s="3887"/>
      <c r="L573" s="3599"/>
      <c r="M573" s="3600"/>
      <c r="N573" s="3878"/>
      <c r="O573" s="3879">
        <v>1</v>
      </c>
      <c r="P573" s="3880" t="s">
        <v>50</v>
      </c>
      <c r="Q573" s="3883" t="s">
        <v>1494</v>
      </c>
      <c r="R573" s="3884" t="s">
        <v>1457</v>
      </c>
      <c r="S573" s="3884" t="s">
        <v>128</v>
      </c>
      <c r="T573" s="3884" t="s">
        <v>128</v>
      </c>
      <c r="U573" s="3884" t="s">
        <v>129</v>
      </c>
      <c r="V573" s="3884" t="s">
        <v>1495</v>
      </c>
      <c r="W573" s="3884" t="s">
        <v>1496</v>
      </c>
      <c r="X573" s="3884" t="s">
        <v>1497</v>
      </c>
      <c r="Y573" s="3884" t="s">
        <v>1498</v>
      </c>
      <c r="Z573" s="1097"/>
      <c r="AA573" s="1098"/>
      <c r="AB573" s="1098"/>
      <c r="AC573" s="1102"/>
      <c r="AD573" s="1102"/>
      <c r="AE573" s="1103"/>
      <c r="AF573" s="3876"/>
      <c r="AG573" s="3877"/>
      <c r="AH573" s="3877"/>
      <c r="AI573" s="3876"/>
      <c r="AJ573" s="3877"/>
      <c r="AK573" s="3877"/>
      <c r="AL573" s="1874"/>
      <c r="AM573" s="1714"/>
      <c r="AN573" s="1714"/>
      <c r="AO573" s="1714"/>
      <c r="AP573" s="1714"/>
      <c r="AQ573" s="1714"/>
      <c r="AR573" s="1714"/>
      <c r="AS573" s="1714"/>
      <c r="AT573" s="1714"/>
      <c r="AU573" s="1714"/>
      <c r="AV573" s="1714"/>
      <c r="AW573" s="1714"/>
      <c r="AX573" s="1714"/>
      <c r="AY573" s="1714"/>
      <c r="AZ573" s="1714"/>
      <c r="BA573" s="1714"/>
      <c r="BB573" s="1714"/>
      <c r="BC573" s="1714"/>
      <c r="BD573" s="1714"/>
      <c r="BE573" s="1714"/>
      <c r="BF573" s="1714"/>
    </row>
    <row r="574" spans="1:58" ht="11.25" customHeight="1">
      <c r="A574" s="1088" t="s">
        <v>1361</v>
      </c>
      <c r="D574" s="1082"/>
      <c r="E574" s="1092"/>
      <c r="F574" s="3895"/>
      <c r="G574" s="3875"/>
      <c r="H574" s="3885" t="s">
        <v>421</v>
      </c>
      <c r="I574" s="3886"/>
      <c r="J574" s="3883"/>
      <c r="K574" s="3887"/>
      <c r="L574" s="3599"/>
      <c r="M574" s="3600"/>
      <c r="N574" s="3878"/>
      <c r="O574" s="3879"/>
      <c r="P574" s="3881"/>
      <c r="Q574" s="3883"/>
      <c r="R574" s="3874"/>
      <c r="S574" s="3884"/>
      <c r="T574" s="3874"/>
      <c r="U574" s="3874"/>
      <c r="V574" s="3874"/>
      <c r="W574" s="3874"/>
      <c r="X574" s="3874"/>
      <c r="Y574" s="3874"/>
      <c r="Z574" s="1719"/>
      <c r="AA574" s="1686">
        <v>1</v>
      </c>
      <c r="AB574" s="1101" t="s">
        <v>1443</v>
      </c>
      <c r="AC574" s="1091">
        <v>1070</v>
      </c>
      <c r="AD574" s="1101" t="str">
        <f>AB574</f>
        <v xml:space="preserve">  Прибыль направляемая на инвестиции</v>
      </c>
      <c r="AE574" s="1091">
        <v>0</v>
      </c>
      <c r="AF574" s="3876"/>
      <c r="AG574" s="3877"/>
      <c r="AH574" s="3877"/>
      <c r="AI574" s="3876"/>
      <c r="AJ574" s="3877"/>
      <c r="AK574" s="3877"/>
      <c r="AL574" s="1874"/>
      <c r="AM574" s="1714"/>
      <c r="AN574" s="1714"/>
      <c r="AO574" s="1714"/>
      <c r="AP574" s="1714"/>
      <c r="AQ574" s="1714"/>
      <c r="AR574" s="1714"/>
      <c r="AS574" s="1714"/>
      <c r="AT574" s="1714"/>
      <c r="AU574" s="1714"/>
      <c r="AV574" s="1714"/>
      <c r="AW574" s="1714"/>
      <c r="AX574" s="1714"/>
      <c r="AY574" s="1714"/>
      <c r="AZ574" s="1714"/>
      <c r="BA574" s="1714"/>
      <c r="BB574" s="1714"/>
      <c r="BC574" s="1714"/>
      <c r="BD574" s="1714"/>
      <c r="BE574" s="1714"/>
      <c r="BF574" s="1714"/>
    </row>
    <row r="575" spans="1:58" ht="11.25" customHeight="1">
      <c r="A575" s="1088" t="s">
        <v>1361</v>
      </c>
      <c r="D575" s="1082"/>
      <c r="E575" s="1092"/>
      <c r="F575" s="3895"/>
      <c r="G575" s="3875"/>
      <c r="H575" s="3885" t="s">
        <v>421</v>
      </c>
      <c r="I575" s="3886"/>
      <c r="J575" s="3883"/>
      <c r="K575" s="3887"/>
      <c r="L575" s="3599"/>
      <c r="M575" s="3600"/>
      <c r="N575" s="3878"/>
      <c r="O575" s="3879"/>
      <c r="P575" s="3882"/>
      <c r="Q575" s="3883"/>
      <c r="R575" s="3874"/>
      <c r="S575" s="3884"/>
      <c r="T575" s="3874"/>
      <c r="U575" s="3874"/>
      <c r="V575" s="3874"/>
      <c r="W575" s="3874"/>
      <c r="X575" s="3874"/>
      <c r="Y575" s="3874"/>
      <c r="Z575" s="1097"/>
      <c r="AA575" s="1098"/>
      <c r="AB575" s="1163" t="s">
        <v>1444</v>
      </c>
      <c r="AC575" s="1102"/>
      <c r="AD575" s="1102"/>
      <c r="AE575" s="1104"/>
      <c r="AF575" s="3876"/>
      <c r="AG575" s="3877"/>
      <c r="AH575" s="3877"/>
      <c r="AI575" s="3876"/>
      <c r="AJ575" s="3877"/>
      <c r="AK575" s="3877"/>
      <c r="AL575" s="1874"/>
      <c r="AM575" s="1714"/>
      <c r="AN575" s="1714"/>
      <c r="AO575" s="1714"/>
      <c r="AP575" s="1714"/>
      <c r="AQ575" s="1714"/>
      <c r="AR575" s="1714"/>
      <c r="AS575" s="1714"/>
      <c r="AT575" s="1714"/>
      <c r="AU575" s="1714"/>
      <c r="AV575" s="1714"/>
      <c r="AW575" s="1714"/>
      <c r="AX575" s="1714"/>
      <c r="AY575" s="1714"/>
      <c r="AZ575" s="1714"/>
      <c r="BA575" s="1714"/>
      <c r="BB575" s="1714"/>
      <c r="BC575" s="1714"/>
      <c r="BD575" s="1714"/>
      <c r="BE575" s="1714"/>
      <c r="BF575" s="1714"/>
    </row>
    <row r="576" spans="1:58" ht="11.25" customHeight="1">
      <c r="A576" s="1088" t="s">
        <v>1361</v>
      </c>
      <c r="D576" s="1082"/>
      <c r="E576" s="1092"/>
      <c r="F576" s="3895"/>
      <c r="G576" s="3875"/>
      <c r="H576" s="3885" t="s">
        <v>421</v>
      </c>
      <c r="I576" s="3886"/>
      <c r="J576" s="3883"/>
      <c r="K576" s="3887"/>
      <c r="L576" s="3599"/>
      <c r="M576" s="3600"/>
      <c r="N576" s="1097"/>
      <c r="O576" s="1098"/>
      <c r="P576" s="1090" t="s">
        <v>1445</v>
      </c>
      <c r="Q576" s="1098"/>
      <c r="R576" s="1098"/>
      <c r="S576" s="1098"/>
      <c r="T576" s="1098"/>
      <c r="U576" s="1098"/>
      <c r="V576" s="1098"/>
      <c r="W576" s="1098"/>
      <c r="X576" s="1098"/>
      <c r="Y576" s="1098"/>
      <c r="Z576" s="1098"/>
      <c r="AA576" s="1098"/>
      <c r="AB576" s="1098"/>
      <c r="AC576" s="1098"/>
      <c r="AD576" s="1098"/>
      <c r="AE576" s="1105"/>
      <c r="AF576" s="3876"/>
      <c r="AG576" s="3877"/>
      <c r="AH576" s="3877"/>
      <c r="AI576" s="3876"/>
      <c r="AJ576" s="3877"/>
      <c r="AK576" s="3877"/>
      <c r="AL576" s="1874"/>
      <c r="AM576" s="1714"/>
      <c r="AN576" s="1714"/>
      <c r="AO576" s="1714"/>
      <c r="AP576" s="1714"/>
      <c r="AQ576" s="1714"/>
      <c r="AR576" s="1714"/>
      <c r="AS576" s="1714"/>
      <c r="AT576" s="1714"/>
      <c r="AU576" s="1714"/>
      <c r="AV576" s="1714"/>
      <c r="AW576" s="1714"/>
      <c r="AX576" s="1714"/>
      <c r="AY576" s="1714"/>
      <c r="AZ576" s="1714"/>
      <c r="BA576" s="1714"/>
      <c r="BB576" s="1714"/>
      <c r="BC576" s="1714"/>
      <c r="BD576" s="1714"/>
      <c r="BE576" s="1714"/>
      <c r="BF576" s="1714"/>
    </row>
    <row r="577" spans="1:58" ht="12" customHeight="1">
      <c r="A577" s="1088" t="s">
        <v>1361</v>
      </c>
      <c r="D577" s="1082"/>
      <c r="E577" s="1092"/>
      <c r="F577" s="3896"/>
      <c r="G577" s="1112"/>
      <c r="H577" s="1112"/>
      <c r="I577" s="3893" t="s">
        <v>1451</v>
      </c>
      <c r="J577" s="3893"/>
      <c r="K577" s="3893"/>
      <c r="L577" s="1095"/>
      <c r="M577" s="1095"/>
      <c r="N577" s="1096"/>
      <c r="O577" s="1096"/>
      <c r="P577" s="1096"/>
      <c r="Q577" s="1096"/>
      <c r="R577" s="1096"/>
      <c r="S577" s="1096"/>
      <c r="T577" s="1096"/>
      <c r="U577" s="1096"/>
      <c r="V577" s="1096"/>
      <c r="W577" s="1096"/>
      <c r="X577" s="1096"/>
      <c r="Y577" s="1096"/>
      <c r="Z577" s="1096"/>
      <c r="AA577" s="1096"/>
      <c r="AB577" s="1096"/>
      <c r="AC577" s="1096"/>
      <c r="AD577" s="1096"/>
      <c r="AE577" s="1096"/>
      <c r="AF577" s="1096"/>
      <c r="AG577" s="1095"/>
      <c r="AH577" s="1095"/>
      <c r="AI577" s="1096"/>
      <c r="AJ577" s="1095"/>
      <c r="AK577" s="1096"/>
      <c r="AL577" s="1874"/>
      <c r="AM577" s="1714"/>
      <c r="AN577" s="1714"/>
      <c r="AO577" s="1714"/>
      <c r="AP577" s="1714"/>
      <c r="AQ577" s="1714"/>
      <c r="AR577" s="1714"/>
      <c r="AS577" s="1714"/>
      <c r="AT577" s="1714"/>
      <c r="AU577" s="1714"/>
      <c r="AV577" s="1714"/>
      <c r="AW577" s="1714"/>
      <c r="AX577" s="1714"/>
      <c r="AY577" s="1714"/>
      <c r="AZ577" s="1714"/>
      <c r="BA577" s="1714"/>
      <c r="BB577" s="1714"/>
      <c r="BC577" s="1714"/>
      <c r="BD577" s="1714"/>
      <c r="BE577" s="1714"/>
      <c r="BF577" s="1714"/>
    </row>
    <row r="578" spans="1:58" ht="0.75" customHeight="1">
      <c r="A578" s="1088" t="s">
        <v>1361</v>
      </c>
      <c r="D578" s="1082"/>
      <c r="E578" s="1092"/>
      <c r="F578" s="3894">
        <v>2029</v>
      </c>
      <c r="G578" s="3885"/>
      <c r="H578" s="3898" t="s">
        <v>421</v>
      </c>
      <c r="I578" s="3899"/>
      <c r="J578" s="3891"/>
      <c r="K578" s="3891"/>
      <c r="L578" s="3892"/>
      <c r="M578" s="3743"/>
      <c r="N578" s="1922"/>
      <c r="O578" s="1921"/>
      <c r="P578" s="1922"/>
      <c r="Q578" s="1922"/>
      <c r="R578" s="1922"/>
      <c r="S578" s="1922"/>
      <c r="T578" s="1922"/>
      <c r="U578" s="1922"/>
      <c r="V578" s="1922"/>
      <c r="W578" s="1922"/>
      <c r="X578" s="1922"/>
      <c r="Y578" s="1922"/>
      <c r="Z578" s="1922"/>
      <c r="AA578" s="1922"/>
      <c r="AB578" s="1922"/>
      <c r="AC578" s="1922"/>
      <c r="AD578" s="1922"/>
      <c r="AE578" s="1922"/>
      <c r="AF578" s="3897"/>
      <c r="AG578" s="3892"/>
      <c r="AH578" s="3892"/>
      <c r="AI578" s="3897"/>
      <c r="AJ578" s="3892"/>
      <c r="AK578" s="3892"/>
      <c r="AL578" s="1874"/>
      <c r="AM578" s="1714"/>
      <c r="AN578" s="1714"/>
      <c r="AO578" s="1714"/>
      <c r="AP578" s="1714"/>
      <c r="AQ578" s="1714"/>
      <c r="AR578" s="1714"/>
      <c r="AS578" s="1714"/>
      <c r="AT578" s="1714"/>
      <c r="AU578" s="1714"/>
      <c r="AV578" s="1714"/>
      <c r="AW578" s="1714"/>
      <c r="AX578" s="1714"/>
      <c r="AY578" s="1714"/>
      <c r="AZ578" s="1714"/>
      <c r="BA578" s="1714"/>
      <c r="BB578" s="1714"/>
      <c r="BC578" s="1714"/>
      <c r="BD578" s="1714"/>
      <c r="BE578" s="1714"/>
      <c r="BF578" s="1714"/>
    </row>
    <row r="579" spans="1:58" ht="0.75" customHeight="1">
      <c r="A579" s="1088" t="s">
        <v>1361</v>
      </c>
      <c r="D579" s="1082"/>
      <c r="E579" s="1092"/>
      <c r="F579" s="3894"/>
      <c r="G579" s="3885"/>
      <c r="H579" s="3898"/>
      <c r="I579" s="3899"/>
      <c r="J579" s="3891"/>
      <c r="K579" s="3891"/>
      <c r="L579" s="3892"/>
      <c r="M579" s="3743"/>
      <c r="N579" s="3900"/>
      <c r="O579" s="3901"/>
      <c r="P579" s="3888"/>
      <c r="Q579" s="3891"/>
      <c r="R579" s="3891"/>
      <c r="S579" s="3891"/>
      <c r="T579" s="3891"/>
      <c r="U579" s="3891"/>
      <c r="V579" s="3891"/>
      <c r="W579" s="3891"/>
      <c r="X579" s="3891"/>
      <c r="Y579" s="3891"/>
      <c r="Z579" s="1923"/>
      <c r="AA579" s="1924"/>
      <c r="AB579" s="1924"/>
      <c r="AC579" s="1925"/>
      <c r="AD579" s="1925"/>
      <c r="AE579" s="1926"/>
      <c r="AF579" s="3897"/>
      <c r="AG579" s="3892"/>
      <c r="AH579" s="3892"/>
      <c r="AI579" s="3897"/>
      <c r="AJ579" s="3892"/>
      <c r="AK579" s="3892"/>
      <c r="AL579" s="1874"/>
      <c r="AM579" s="1714"/>
      <c r="AN579" s="1714"/>
      <c r="AO579" s="1714"/>
      <c r="AP579" s="1714"/>
      <c r="AQ579" s="1714"/>
      <c r="AR579" s="1714"/>
      <c r="AS579" s="1714"/>
      <c r="AT579" s="1714"/>
      <c r="AU579" s="1714"/>
      <c r="AV579" s="1714"/>
      <c r="AW579" s="1714"/>
      <c r="AX579" s="1714"/>
      <c r="AY579" s="1714"/>
      <c r="AZ579" s="1714"/>
      <c r="BA579" s="1714"/>
      <c r="BB579" s="1714"/>
      <c r="BC579" s="1714"/>
      <c r="BD579" s="1714"/>
      <c r="BE579" s="1714"/>
      <c r="BF579" s="1714"/>
    </row>
    <row r="580" spans="1:58" ht="0.75" customHeight="1">
      <c r="A580" s="1088" t="s">
        <v>1361</v>
      </c>
      <c r="D580" s="1082"/>
      <c r="E580" s="1092"/>
      <c r="F580" s="3894"/>
      <c r="G580" s="3885"/>
      <c r="H580" s="3898"/>
      <c r="I580" s="3899"/>
      <c r="J580" s="3891"/>
      <c r="K580" s="3891"/>
      <c r="L580" s="3892"/>
      <c r="M580" s="3743"/>
      <c r="N580" s="3900"/>
      <c r="O580" s="3901"/>
      <c r="P580" s="3889"/>
      <c r="Q580" s="3891"/>
      <c r="R580" s="3891"/>
      <c r="S580" s="3891"/>
      <c r="T580" s="3891"/>
      <c r="U580" s="3891"/>
      <c r="V580" s="3891"/>
      <c r="W580" s="3891"/>
      <c r="X580" s="3891"/>
      <c r="Y580" s="3891"/>
      <c r="Z580" s="1927"/>
      <c r="AA580" s="1928"/>
      <c r="AB580" s="1929"/>
      <c r="AC580" s="1930"/>
      <c r="AD580" s="1929"/>
      <c r="AE580" s="1930"/>
      <c r="AF580" s="3897"/>
      <c r="AG580" s="3892"/>
      <c r="AH580" s="3892"/>
      <c r="AI580" s="3897"/>
      <c r="AJ580" s="3892"/>
      <c r="AK580" s="3892"/>
      <c r="AL580" s="1874"/>
      <c r="AM580" s="1714"/>
      <c r="AN580" s="1714"/>
      <c r="AO580" s="1714"/>
      <c r="AP580" s="1714"/>
      <c r="AQ580" s="1714"/>
      <c r="AR580" s="1714"/>
      <c r="AS580" s="1714"/>
      <c r="AT580" s="1714"/>
      <c r="AU580" s="1714"/>
      <c r="AV580" s="1714"/>
      <c r="AW580" s="1714"/>
      <c r="AX580" s="1714"/>
      <c r="AY580" s="1714"/>
      <c r="AZ580" s="1714"/>
      <c r="BA580" s="1714"/>
      <c r="BB580" s="1714"/>
      <c r="BC580" s="1714"/>
      <c r="BD580" s="1714"/>
      <c r="BE580" s="1714"/>
      <c r="BF580" s="1714"/>
    </row>
    <row r="581" spans="1:58" ht="0.75" customHeight="1">
      <c r="A581" s="1088" t="s">
        <v>1361</v>
      </c>
      <c r="D581" s="1082"/>
      <c r="E581" s="1092"/>
      <c r="F581" s="3894"/>
      <c r="G581" s="3885"/>
      <c r="H581" s="3898"/>
      <c r="I581" s="3899"/>
      <c r="J581" s="3891"/>
      <c r="K581" s="3891"/>
      <c r="L581" s="3892"/>
      <c r="M581" s="3743"/>
      <c r="N581" s="3900"/>
      <c r="O581" s="3901"/>
      <c r="P581" s="3890"/>
      <c r="Q581" s="3891"/>
      <c r="R581" s="3891"/>
      <c r="S581" s="3891"/>
      <c r="T581" s="3891"/>
      <c r="U581" s="3891"/>
      <c r="V581" s="3891"/>
      <c r="W581" s="3891"/>
      <c r="X581" s="3891"/>
      <c r="Y581" s="3891"/>
      <c r="Z581" s="1923"/>
      <c r="AA581" s="1924"/>
      <c r="AB581" s="1931"/>
      <c r="AC581" s="1925"/>
      <c r="AD581" s="1925"/>
      <c r="AE581" s="1932"/>
      <c r="AF581" s="3897"/>
      <c r="AG581" s="3892"/>
      <c r="AH581" s="3892"/>
      <c r="AI581" s="3897"/>
      <c r="AJ581" s="3892"/>
      <c r="AK581" s="3892"/>
      <c r="AL581" s="1874"/>
      <c r="AM581" s="1714"/>
      <c r="AN581" s="1714"/>
      <c r="AO581" s="1714"/>
      <c r="AP581" s="1714"/>
      <c r="AQ581" s="1714"/>
      <c r="AR581" s="1714"/>
      <c r="AS581" s="1714"/>
      <c r="AT581" s="1714"/>
      <c r="AU581" s="1714"/>
      <c r="AV581" s="1714"/>
      <c r="AW581" s="1714"/>
      <c r="AX581" s="1714"/>
      <c r="AY581" s="1714"/>
      <c r="AZ581" s="1714"/>
      <c r="BA581" s="1714"/>
      <c r="BB581" s="1714"/>
      <c r="BC581" s="1714"/>
      <c r="BD581" s="1714"/>
      <c r="BE581" s="1714"/>
      <c r="BF581" s="1714"/>
    </row>
    <row r="582" spans="1:58" ht="0.75" customHeight="1">
      <c r="A582" s="1088" t="s">
        <v>1361</v>
      </c>
      <c r="D582" s="1082"/>
      <c r="E582" s="1092"/>
      <c r="F582" s="3894"/>
      <c r="G582" s="3885"/>
      <c r="H582" s="3898"/>
      <c r="I582" s="3899"/>
      <c r="J582" s="3891"/>
      <c r="K582" s="3891"/>
      <c r="L582" s="3892"/>
      <c r="M582" s="3743"/>
      <c r="N582" s="1924"/>
      <c r="O582" s="1924"/>
      <c r="P582" s="1931"/>
      <c r="Q582" s="1924"/>
      <c r="R582" s="1924"/>
      <c r="S582" s="1924"/>
      <c r="T582" s="1924"/>
      <c r="U582" s="1924"/>
      <c r="V582" s="1924"/>
      <c r="W582" s="1924"/>
      <c r="X582" s="1924"/>
      <c r="Y582" s="1924"/>
      <c r="Z582" s="1924"/>
      <c r="AA582" s="1924"/>
      <c r="AB582" s="1924"/>
      <c r="AC582" s="1924"/>
      <c r="AD582" s="1924"/>
      <c r="AE582" s="1933"/>
      <c r="AF582" s="3897"/>
      <c r="AG582" s="3892"/>
      <c r="AH582" s="3892"/>
      <c r="AI582" s="3897"/>
      <c r="AJ582" s="3892"/>
      <c r="AK582" s="3892"/>
      <c r="AL582" s="1874"/>
      <c r="AM582" s="1714"/>
      <c r="AN582" s="1714"/>
      <c r="AO582" s="1714"/>
      <c r="AP582" s="1714"/>
      <c r="AQ582" s="1714"/>
      <c r="AR582" s="1714"/>
      <c r="AS582" s="1714"/>
      <c r="AT582" s="1714"/>
      <c r="AU582" s="1714"/>
      <c r="AV582" s="1714"/>
      <c r="AW582" s="1714"/>
      <c r="AX582" s="1714"/>
      <c r="AY582" s="1714"/>
      <c r="AZ582" s="1714"/>
      <c r="BA582" s="1714"/>
      <c r="BB582" s="1714"/>
      <c r="BC582" s="1714"/>
      <c r="BD582" s="1714"/>
      <c r="BE582" s="1714"/>
      <c r="BF582" s="1714"/>
    </row>
    <row r="583" spans="1:58" ht="11.25" customHeight="1">
      <c r="A583" s="1088" t="s">
        <v>1361</v>
      </c>
      <c r="D583" s="1082"/>
      <c r="E583" s="1092"/>
      <c r="F583" s="3895"/>
      <c r="G583" s="3853" t="s">
        <v>90</v>
      </c>
      <c r="H583" s="3885" t="s">
        <v>164</v>
      </c>
      <c r="I583" s="3886"/>
      <c r="J583" s="3883"/>
      <c r="K583" s="3887" t="s">
        <v>1488</v>
      </c>
      <c r="L583" s="3599" t="s">
        <v>6</v>
      </c>
      <c r="M583" s="3600"/>
      <c r="N583" s="1872"/>
      <c r="O583" s="1099" t="s">
        <v>421</v>
      </c>
      <c r="P583" s="1100"/>
      <c r="Q583" s="1100"/>
      <c r="R583" s="1100"/>
      <c r="S583" s="1100"/>
      <c r="T583" s="1100"/>
      <c r="U583" s="1100"/>
      <c r="V583" s="1100"/>
      <c r="W583" s="1100"/>
      <c r="X583" s="1100"/>
      <c r="Y583" s="1100"/>
      <c r="Z583" s="1100"/>
      <c r="AA583" s="1100"/>
      <c r="AB583" s="1100"/>
      <c r="AC583" s="1100"/>
      <c r="AD583" s="1100"/>
      <c r="AE583" s="1100"/>
      <c r="AF583" s="3876">
        <v>2025</v>
      </c>
      <c r="AG583" s="3877" t="s">
        <v>1447</v>
      </c>
      <c r="AH583" s="3877" t="s">
        <v>1487</v>
      </c>
      <c r="AI583" s="3876">
        <v>2025</v>
      </c>
      <c r="AJ583" s="3877" t="s">
        <v>1447</v>
      </c>
      <c r="AK583" s="3877" t="s">
        <v>1487</v>
      </c>
      <c r="AL583" s="1874"/>
      <c r="AM583" s="1714"/>
      <c r="AN583" s="1714"/>
      <c r="AO583" s="1714"/>
      <c r="AP583" s="1714"/>
      <c r="AQ583" s="1714"/>
      <c r="AR583" s="1714"/>
      <c r="AS583" s="1714"/>
      <c r="AT583" s="1714"/>
      <c r="AU583" s="1714"/>
      <c r="AV583" s="1714"/>
      <c r="AW583" s="1714"/>
      <c r="AX583" s="1714"/>
      <c r="AY583" s="1714"/>
      <c r="AZ583" s="1714"/>
      <c r="BA583" s="1714"/>
      <c r="BB583" s="1714"/>
      <c r="BC583" s="1714"/>
      <c r="BD583" s="1714"/>
      <c r="BE583" s="1714"/>
      <c r="BF583" s="1714"/>
    </row>
    <row r="584" spans="1:58" ht="11.25" customHeight="1">
      <c r="A584" s="1088" t="s">
        <v>1361</v>
      </c>
      <c r="D584" s="1082"/>
      <c r="E584" s="1092"/>
      <c r="F584" s="3895"/>
      <c r="G584" s="3875"/>
      <c r="H584" s="3885" t="s">
        <v>421</v>
      </c>
      <c r="I584" s="3886"/>
      <c r="J584" s="3883"/>
      <c r="K584" s="3887"/>
      <c r="L584" s="3599"/>
      <c r="M584" s="3600"/>
      <c r="N584" s="3878"/>
      <c r="O584" s="3879">
        <v>1</v>
      </c>
      <c r="P584" s="3880" t="s">
        <v>50</v>
      </c>
      <c r="Q584" s="3883" t="s">
        <v>1494</v>
      </c>
      <c r="R584" s="3884" t="s">
        <v>1457</v>
      </c>
      <c r="S584" s="3884" t="s">
        <v>128</v>
      </c>
      <c r="T584" s="3884" t="s">
        <v>128</v>
      </c>
      <c r="U584" s="3884" t="s">
        <v>129</v>
      </c>
      <c r="V584" s="3884" t="s">
        <v>1495</v>
      </c>
      <c r="W584" s="3884" t="s">
        <v>1496</v>
      </c>
      <c r="X584" s="3884" t="s">
        <v>1497</v>
      </c>
      <c r="Y584" s="3884" t="s">
        <v>1498</v>
      </c>
      <c r="Z584" s="1097"/>
      <c r="AA584" s="1098"/>
      <c r="AB584" s="1098"/>
      <c r="AC584" s="1102"/>
      <c r="AD584" s="1102"/>
      <c r="AE584" s="1103"/>
      <c r="AF584" s="3876"/>
      <c r="AG584" s="3877"/>
      <c r="AH584" s="3877"/>
      <c r="AI584" s="3876"/>
      <c r="AJ584" s="3877"/>
      <c r="AK584" s="3877"/>
      <c r="AL584" s="1874"/>
      <c r="AM584" s="1714"/>
      <c r="AN584" s="1714"/>
      <c r="AO584" s="1714"/>
      <c r="AP584" s="1714"/>
      <c r="AQ584" s="1714"/>
      <c r="AR584" s="1714"/>
      <c r="AS584" s="1714"/>
      <c r="AT584" s="1714"/>
      <c r="AU584" s="1714"/>
      <c r="AV584" s="1714"/>
      <c r="AW584" s="1714"/>
      <c r="AX584" s="1714"/>
      <c r="AY584" s="1714"/>
      <c r="AZ584" s="1714"/>
      <c r="BA584" s="1714"/>
      <c r="BB584" s="1714"/>
      <c r="BC584" s="1714"/>
      <c r="BD584" s="1714"/>
      <c r="BE584" s="1714"/>
      <c r="BF584" s="1714"/>
    </row>
    <row r="585" spans="1:58" ht="11.25" customHeight="1">
      <c r="A585" s="1088" t="s">
        <v>1361</v>
      </c>
      <c r="D585" s="1082"/>
      <c r="E585" s="1092"/>
      <c r="F585" s="3895"/>
      <c r="G585" s="3875"/>
      <c r="H585" s="3885" t="s">
        <v>421</v>
      </c>
      <c r="I585" s="3886"/>
      <c r="J585" s="3883"/>
      <c r="K585" s="3887"/>
      <c r="L585" s="3599"/>
      <c r="M585" s="3600"/>
      <c r="N585" s="3878"/>
      <c r="O585" s="3879"/>
      <c r="P585" s="3881"/>
      <c r="Q585" s="3883"/>
      <c r="R585" s="3874"/>
      <c r="S585" s="3884"/>
      <c r="T585" s="3874"/>
      <c r="U585" s="3874"/>
      <c r="V585" s="3874"/>
      <c r="W585" s="3874"/>
      <c r="X585" s="3874"/>
      <c r="Y585" s="3874"/>
      <c r="Z585" s="1719"/>
      <c r="AA585" s="1686">
        <v>1</v>
      </c>
      <c r="AB585" s="1101" t="s">
        <v>1443</v>
      </c>
      <c r="AC585" s="1091">
        <v>1070</v>
      </c>
      <c r="AD585" s="1101" t="str">
        <f>AB585</f>
        <v xml:space="preserve">  Прибыль направляемая на инвестиции</v>
      </c>
      <c r="AE585" s="1091">
        <v>0</v>
      </c>
      <c r="AF585" s="3876"/>
      <c r="AG585" s="3877"/>
      <c r="AH585" s="3877"/>
      <c r="AI585" s="3876"/>
      <c r="AJ585" s="3877"/>
      <c r="AK585" s="3877"/>
      <c r="AL585" s="1874"/>
      <c r="AM585" s="1714"/>
      <c r="AN585" s="1714"/>
      <c r="AO585" s="1714"/>
      <c r="AP585" s="1714"/>
      <c r="AQ585" s="1714"/>
      <c r="AR585" s="1714"/>
      <c r="AS585" s="1714"/>
      <c r="AT585" s="1714"/>
      <c r="AU585" s="1714"/>
      <c r="AV585" s="1714"/>
      <c r="AW585" s="1714"/>
      <c r="AX585" s="1714"/>
      <c r="AY585" s="1714"/>
      <c r="AZ585" s="1714"/>
      <c r="BA585" s="1714"/>
      <c r="BB585" s="1714"/>
      <c r="BC585" s="1714"/>
      <c r="BD585" s="1714"/>
      <c r="BE585" s="1714"/>
      <c r="BF585" s="1714"/>
    </row>
    <row r="586" spans="1:58" ht="11.25" customHeight="1">
      <c r="A586" s="1088" t="s">
        <v>1361</v>
      </c>
      <c r="D586" s="1082"/>
      <c r="E586" s="1092"/>
      <c r="F586" s="3895"/>
      <c r="G586" s="3875"/>
      <c r="H586" s="3885" t="s">
        <v>421</v>
      </c>
      <c r="I586" s="3886"/>
      <c r="J586" s="3883"/>
      <c r="K586" s="3887"/>
      <c r="L586" s="3599"/>
      <c r="M586" s="3600"/>
      <c r="N586" s="3878"/>
      <c r="O586" s="3879"/>
      <c r="P586" s="3882"/>
      <c r="Q586" s="3883"/>
      <c r="R586" s="3874"/>
      <c r="S586" s="3884"/>
      <c r="T586" s="3874"/>
      <c r="U586" s="3874"/>
      <c r="V586" s="3874"/>
      <c r="W586" s="3874"/>
      <c r="X586" s="3874"/>
      <c r="Y586" s="3874"/>
      <c r="Z586" s="1097"/>
      <c r="AA586" s="1098"/>
      <c r="AB586" s="1163" t="s">
        <v>1444</v>
      </c>
      <c r="AC586" s="1102"/>
      <c r="AD586" s="1102"/>
      <c r="AE586" s="1104"/>
      <c r="AF586" s="3876"/>
      <c r="AG586" s="3877"/>
      <c r="AH586" s="3877"/>
      <c r="AI586" s="3876"/>
      <c r="AJ586" s="3877"/>
      <c r="AK586" s="3877"/>
      <c r="AL586" s="1874"/>
      <c r="AM586" s="1714"/>
      <c r="AN586" s="1714"/>
      <c r="AO586" s="1714"/>
      <c r="AP586" s="1714"/>
      <c r="AQ586" s="1714"/>
      <c r="AR586" s="1714"/>
      <c r="AS586" s="1714"/>
      <c r="AT586" s="1714"/>
      <c r="AU586" s="1714"/>
      <c r="AV586" s="1714"/>
      <c r="AW586" s="1714"/>
      <c r="AX586" s="1714"/>
      <c r="AY586" s="1714"/>
      <c r="AZ586" s="1714"/>
      <c r="BA586" s="1714"/>
      <c r="BB586" s="1714"/>
      <c r="BC586" s="1714"/>
      <c r="BD586" s="1714"/>
      <c r="BE586" s="1714"/>
      <c r="BF586" s="1714"/>
    </row>
    <row r="587" spans="1:58" ht="11.25" customHeight="1">
      <c r="A587" s="1088" t="s">
        <v>1361</v>
      </c>
      <c r="D587" s="1082"/>
      <c r="E587" s="1092"/>
      <c r="F587" s="3895"/>
      <c r="G587" s="3875"/>
      <c r="H587" s="3885" t="s">
        <v>421</v>
      </c>
      <c r="I587" s="3886"/>
      <c r="J587" s="3883"/>
      <c r="K587" s="3887"/>
      <c r="L587" s="3599"/>
      <c r="M587" s="3600"/>
      <c r="N587" s="1097"/>
      <c r="O587" s="1098"/>
      <c r="P587" s="1090" t="s">
        <v>1445</v>
      </c>
      <c r="Q587" s="1098"/>
      <c r="R587" s="1098"/>
      <c r="S587" s="1098"/>
      <c r="T587" s="1098"/>
      <c r="U587" s="1098"/>
      <c r="V587" s="1098"/>
      <c r="W587" s="1098"/>
      <c r="X587" s="1098"/>
      <c r="Y587" s="1098"/>
      <c r="Z587" s="1098"/>
      <c r="AA587" s="1098"/>
      <c r="AB587" s="1098"/>
      <c r="AC587" s="1098"/>
      <c r="AD587" s="1098"/>
      <c r="AE587" s="1105"/>
      <c r="AF587" s="3876"/>
      <c r="AG587" s="3877"/>
      <c r="AH587" s="3877"/>
      <c r="AI587" s="3876"/>
      <c r="AJ587" s="3877"/>
      <c r="AK587" s="3877"/>
      <c r="AL587" s="1874"/>
      <c r="AM587" s="1714"/>
      <c r="AN587" s="1714"/>
      <c r="AO587" s="1714"/>
      <c r="AP587" s="1714"/>
      <c r="AQ587" s="1714"/>
      <c r="AR587" s="1714"/>
      <c r="AS587" s="1714"/>
      <c r="AT587" s="1714"/>
      <c r="AU587" s="1714"/>
      <c r="AV587" s="1714"/>
      <c r="AW587" s="1714"/>
      <c r="AX587" s="1714"/>
      <c r="AY587" s="1714"/>
      <c r="AZ587" s="1714"/>
      <c r="BA587" s="1714"/>
      <c r="BB587" s="1714"/>
      <c r="BC587" s="1714"/>
      <c r="BD587" s="1714"/>
      <c r="BE587" s="1714"/>
      <c r="BF587" s="1714"/>
    </row>
    <row r="588" spans="1:58" ht="12" customHeight="1">
      <c r="A588" s="1088" t="s">
        <v>1361</v>
      </c>
      <c r="D588" s="1082"/>
      <c r="E588" s="1092"/>
      <c r="F588" s="3896"/>
      <c r="G588" s="1112"/>
      <c r="H588" s="1112"/>
      <c r="I588" s="3893" t="s">
        <v>1451</v>
      </c>
      <c r="J588" s="3893"/>
      <c r="K588" s="3893"/>
      <c r="L588" s="1095"/>
      <c r="M588" s="1095"/>
      <c r="N588" s="1096"/>
      <c r="O588" s="1096"/>
      <c r="P588" s="1096"/>
      <c r="Q588" s="1096"/>
      <c r="R588" s="1096"/>
      <c r="S588" s="1096"/>
      <c r="T588" s="1096"/>
      <c r="U588" s="1096"/>
      <c r="V588" s="1096"/>
      <c r="W588" s="1096"/>
      <c r="X588" s="1096"/>
      <c r="Y588" s="1096"/>
      <c r="Z588" s="1096"/>
      <c r="AA588" s="1096"/>
      <c r="AB588" s="1096"/>
      <c r="AC588" s="1096"/>
      <c r="AD588" s="1096"/>
      <c r="AE588" s="1096"/>
      <c r="AF588" s="1096"/>
      <c r="AG588" s="1095"/>
      <c r="AH588" s="1095"/>
      <c r="AI588" s="1096"/>
      <c r="AJ588" s="1095"/>
      <c r="AK588" s="1096"/>
      <c r="AL588" s="1874"/>
      <c r="AM588" s="1714"/>
      <c r="AN588" s="1714"/>
      <c r="AO588" s="1714"/>
      <c r="AP588" s="1714"/>
      <c r="AQ588" s="1714"/>
      <c r="AR588" s="1714"/>
      <c r="AS588" s="1714"/>
      <c r="AT588" s="1714"/>
      <c r="AU588" s="1714"/>
      <c r="AV588" s="1714"/>
      <c r="AW588" s="1714"/>
      <c r="AX588" s="1714"/>
      <c r="AY588" s="1714"/>
      <c r="AZ588" s="1714"/>
      <c r="BA588" s="1714"/>
      <c r="BB588" s="1714"/>
      <c r="BC588" s="1714"/>
      <c r="BD588" s="1714"/>
      <c r="BE588" s="1714"/>
      <c r="BF588" s="1714"/>
    </row>
    <row r="589" spans="1:58" ht="0.75" customHeight="1">
      <c r="A589" s="1088" t="s">
        <v>1361</v>
      </c>
      <c r="D589" s="1082"/>
      <c r="E589" s="1092"/>
      <c r="F589" s="3894">
        <v>2030</v>
      </c>
      <c r="G589" s="3885"/>
      <c r="H589" s="3898" t="s">
        <v>421</v>
      </c>
      <c r="I589" s="3899"/>
      <c r="J589" s="3891"/>
      <c r="K589" s="3891"/>
      <c r="L589" s="3892"/>
      <c r="M589" s="3743"/>
      <c r="N589" s="1922"/>
      <c r="O589" s="1921"/>
      <c r="P589" s="1922"/>
      <c r="Q589" s="1922"/>
      <c r="R589" s="1922"/>
      <c r="S589" s="1922"/>
      <c r="T589" s="1922"/>
      <c r="U589" s="1922"/>
      <c r="V589" s="1922"/>
      <c r="W589" s="1922"/>
      <c r="X589" s="1922"/>
      <c r="Y589" s="1922"/>
      <c r="Z589" s="1922"/>
      <c r="AA589" s="1922"/>
      <c r="AB589" s="1922"/>
      <c r="AC589" s="1922"/>
      <c r="AD589" s="1922"/>
      <c r="AE589" s="1922"/>
      <c r="AF589" s="3897"/>
      <c r="AG589" s="3892"/>
      <c r="AH589" s="3892"/>
      <c r="AI589" s="3897"/>
      <c r="AJ589" s="3892"/>
      <c r="AK589" s="3892"/>
      <c r="AL589" s="1874"/>
      <c r="AM589" s="1714"/>
      <c r="AN589" s="1714"/>
      <c r="AO589" s="1714"/>
      <c r="AP589" s="1714"/>
      <c r="AQ589" s="1714"/>
      <c r="AR589" s="1714"/>
      <c r="AS589" s="1714"/>
      <c r="AT589" s="1714"/>
      <c r="AU589" s="1714"/>
      <c r="AV589" s="1714"/>
      <c r="AW589" s="1714"/>
      <c r="AX589" s="1714"/>
      <c r="AY589" s="1714"/>
      <c r="AZ589" s="1714"/>
      <c r="BA589" s="1714"/>
      <c r="BB589" s="1714"/>
      <c r="BC589" s="1714"/>
      <c r="BD589" s="1714"/>
      <c r="BE589" s="1714"/>
      <c r="BF589" s="1714"/>
    </row>
    <row r="590" spans="1:58" ht="0.75" customHeight="1">
      <c r="A590" s="1088" t="s">
        <v>1361</v>
      </c>
      <c r="D590" s="1082"/>
      <c r="E590" s="1092"/>
      <c r="F590" s="3894"/>
      <c r="G590" s="3885"/>
      <c r="H590" s="3898"/>
      <c r="I590" s="3899"/>
      <c r="J590" s="3891"/>
      <c r="K590" s="3891"/>
      <c r="L590" s="3892"/>
      <c r="M590" s="3743"/>
      <c r="N590" s="3900"/>
      <c r="O590" s="3901"/>
      <c r="P590" s="3888"/>
      <c r="Q590" s="3891"/>
      <c r="R590" s="3891"/>
      <c r="S590" s="3891"/>
      <c r="T590" s="3891"/>
      <c r="U590" s="3891"/>
      <c r="V590" s="3891"/>
      <c r="W590" s="3891"/>
      <c r="X590" s="3891"/>
      <c r="Y590" s="3891"/>
      <c r="Z590" s="1923"/>
      <c r="AA590" s="1924"/>
      <c r="AB590" s="1924"/>
      <c r="AC590" s="1925"/>
      <c r="AD590" s="1925"/>
      <c r="AE590" s="1926"/>
      <c r="AF590" s="3897"/>
      <c r="AG590" s="3892"/>
      <c r="AH590" s="3892"/>
      <c r="AI590" s="3897"/>
      <c r="AJ590" s="3892"/>
      <c r="AK590" s="3892"/>
      <c r="AL590" s="1874"/>
      <c r="AM590" s="1714"/>
      <c r="AN590" s="1714"/>
      <c r="AO590" s="1714"/>
      <c r="AP590" s="1714"/>
      <c r="AQ590" s="1714"/>
      <c r="AR590" s="1714"/>
      <c r="AS590" s="1714"/>
      <c r="AT590" s="1714"/>
      <c r="AU590" s="1714"/>
      <c r="AV590" s="1714"/>
      <c r="AW590" s="1714"/>
      <c r="AX590" s="1714"/>
      <c r="AY590" s="1714"/>
      <c r="AZ590" s="1714"/>
      <c r="BA590" s="1714"/>
      <c r="BB590" s="1714"/>
      <c r="BC590" s="1714"/>
      <c r="BD590" s="1714"/>
      <c r="BE590" s="1714"/>
      <c r="BF590" s="1714"/>
    </row>
    <row r="591" spans="1:58" ht="0.75" customHeight="1">
      <c r="A591" s="1088" t="s">
        <v>1361</v>
      </c>
      <c r="D591" s="1082"/>
      <c r="E591" s="1092"/>
      <c r="F591" s="3894"/>
      <c r="G591" s="3885"/>
      <c r="H591" s="3898"/>
      <c r="I591" s="3899"/>
      <c r="J591" s="3891"/>
      <c r="K591" s="3891"/>
      <c r="L591" s="3892"/>
      <c r="M591" s="3743"/>
      <c r="N591" s="3900"/>
      <c r="O591" s="3901"/>
      <c r="P591" s="3889"/>
      <c r="Q591" s="3891"/>
      <c r="R591" s="3891"/>
      <c r="S591" s="3891"/>
      <c r="T591" s="3891"/>
      <c r="U591" s="3891"/>
      <c r="V591" s="3891"/>
      <c r="W591" s="3891"/>
      <c r="X591" s="3891"/>
      <c r="Y591" s="3891"/>
      <c r="Z591" s="1927"/>
      <c r="AA591" s="1928"/>
      <c r="AB591" s="1929"/>
      <c r="AC591" s="1930"/>
      <c r="AD591" s="1929"/>
      <c r="AE591" s="1930"/>
      <c r="AF591" s="3897"/>
      <c r="AG591" s="3892"/>
      <c r="AH591" s="3892"/>
      <c r="AI591" s="3897"/>
      <c r="AJ591" s="3892"/>
      <c r="AK591" s="3892"/>
      <c r="AL591" s="1874"/>
      <c r="AM591" s="1714"/>
      <c r="AN591" s="1714"/>
      <c r="AO591" s="1714"/>
      <c r="AP591" s="1714"/>
      <c r="AQ591" s="1714"/>
      <c r="AR591" s="1714"/>
      <c r="AS591" s="1714"/>
      <c r="AT591" s="1714"/>
      <c r="AU591" s="1714"/>
      <c r="AV591" s="1714"/>
      <c r="AW591" s="1714"/>
      <c r="AX591" s="1714"/>
      <c r="AY591" s="1714"/>
      <c r="AZ591" s="1714"/>
      <c r="BA591" s="1714"/>
      <c r="BB591" s="1714"/>
      <c r="BC591" s="1714"/>
      <c r="BD591" s="1714"/>
      <c r="BE591" s="1714"/>
      <c r="BF591" s="1714"/>
    </row>
    <row r="592" spans="1:58" ht="0.75" customHeight="1">
      <c r="A592" s="1088" t="s">
        <v>1361</v>
      </c>
      <c r="D592" s="1082"/>
      <c r="E592" s="1092"/>
      <c r="F592" s="3894"/>
      <c r="G592" s="3885"/>
      <c r="H592" s="3898"/>
      <c r="I592" s="3899"/>
      <c r="J592" s="3891"/>
      <c r="K592" s="3891"/>
      <c r="L592" s="3892"/>
      <c r="M592" s="3743"/>
      <c r="N592" s="3900"/>
      <c r="O592" s="3901"/>
      <c r="P592" s="3890"/>
      <c r="Q592" s="3891"/>
      <c r="R592" s="3891"/>
      <c r="S592" s="3891"/>
      <c r="T592" s="3891"/>
      <c r="U592" s="3891"/>
      <c r="V592" s="3891"/>
      <c r="W592" s="3891"/>
      <c r="X592" s="3891"/>
      <c r="Y592" s="3891"/>
      <c r="Z592" s="1923"/>
      <c r="AA592" s="1924"/>
      <c r="AB592" s="1931"/>
      <c r="AC592" s="1925"/>
      <c r="AD592" s="1925"/>
      <c r="AE592" s="1932"/>
      <c r="AF592" s="3897"/>
      <c r="AG592" s="3892"/>
      <c r="AH592" s="3892"/>
      <c r="AI592" s="3897"/>
      <c r="AJ592" s="3892"/>
      <c r="AK592" s="3892"/>
      <c r="AL592" s="1874"/>
      <c r="AM592" s="1714"/>
      <c r="AN592" s="1714"/>
      <c r="AO592" s="1714"/>
      <c r="AP592" s="1714"/>
      <c r="AQ592" s="1714"/>
      <c r="AR592" s="1714"/>
      <c r="AS592" s="1714"/>
      <c r="AT592" s="1714"/>
      <c r="AU592" s="1714"/>
      <c r="AV592" s="1714"/>
      <c r="AW592" s="1714"/>
      <c r="AX592" s="1714"/>
      <c r="AY592" s="1714"/>
      <c r="AZ592" s="1714"/>
      <c r="BA592" s="1714"/>
      <c r="BB592" s="1714"/>
      <c r="BC592" s="1714"/>
      <c r="BD592" s="1714"/>
      <c r="BE592" s="1714"/>
      <c r="BF592" s="1714"/>
    </row>
    <row r="593" spans="1:58" ht="0.75" customHeight="1">
      <c r="A593" s="1088" t="s">
        <v>1361</v>
      </c>
      <c r="D593" s="1082"/>
      <c r="E593" s="1092"/>
      <c r="F593" s="3894"/>
      <c r="G593" s="3885"/>
      <c r="H593" s="3898"/>
      <c r="I593" s="3899"/>
      <c r="J593" s="3891"/>
      <c r="K593" s="3891"/>
      <c r="L593" s="3892"/>
      <c r="M593" s="3743"/>
      <c r="N593" s="1924"/>
      <c r="O593" s="1924"/>
      <c r="P593" s="1931"/>
      <c r="Q593" s="1924"/>
      <c r="R593" s="1924"/>
      <c r="S593" s="1924"/>
      <c r="T593" s="1924"/>
      <c r="U593" s="1924"/>
      <c r="V593" s="1924"/>
      <c r="W593" s="1924"/>
      <c r="X593" s="1924"/>
      <c r="Y593" s="1924"/>
      <c r="Z593" s="1924"/>
      <c r="AA593" s="1924"/>
      <c r="AB593" s="1924"/>
      <c r="AC593" s="1924"/>
      <c r="AD593" s="1924"/>
      <c r="AE593" s="1933"/>
      <c r="AF593" s="3897"/>
      <c r="AG593" s="3892"/>
      <c r="AH593" s="3892"/>
      <c r="AI593" s="3897"/>
      <c r="AJ593" s="3892"/>
      <c r="AK593" s="3892"/>
      <c r="AL593" s="1874"/>
      <c r="AM593" s="1714"/>
      <c r="AN593" s="1714"/>
      <c r="AO593" s="1714"/>
      <c r="AP593" s="1714"/>
      <c r="AQ593" s="1714"/>
      <c r="AR593" s="1714"/>
      <c r="AS593" s="1714"/>
      <c r="AT593" s="1714"/>
      <c r="AU593" s="1714"/>
      <c r="AV593" s="1714"/>
      <c r="AW593" s="1714"/>
      <c r="AX593" s="1714"/>
      <c r="AY593" s="1714"/>
      <c r="AZ593" s="1714"/>
      <c r="BA593" s="1714"/>
      <c r="BB593" s="1714"/>
      <c r="BC593" s="1714"/>
      <c r="BD593" s="1714"/>
      <c r="BE593" s="1714"/>
      <c r="BF593" s="1714"/>
    </row>
    <row r="594" spans="1:58" ht="11.25" customHeight="1">
      <c r="A594" s="1088" t="s">
        <v>1361</v>
      </c>
      <c r="D594" s="1082"/>
      <c r="E594" s="1092"/>
      <c r="F594" s="3895"/>
      <c r="G594" s="3853" t="s">
        <v>90</v>
      </c>
      <c r="H594" s="3885" t="s">
        <v>164</v>
      </c>
      <c r="I594" s="3886"/>
      <c r="J594" s="3883"/>
      <c r="K594" s="3887" t="s">
        <v>1488</v>
      </c>
      <c r="L594" s="3599" t="s">
        <v>6</v>
      </c>
      <c r="M594" s="3600"/>
      <c r="N594" s="1872"/>
      <c r="O594" s="1099" t="s">
        <v>421</v>
      </c>
      <c r="P594" s="1100"/>
      <c r="Q594" s="1100"/>
      <c r="R594" s="1100"/>
      <c r="S594" s="1100"/>
      <c r="T594" s="1100"/>
      <c r="U594" s="1100"/>
      <c r="V594" s="1100"/>
      <c r="W594" s="1100"/>
      <c r="X594" s="1100"/>
      <c r="Y594" s="1100"/>
      <c r="Z594" s="1100"/>
      <c r="AA594" s="1100"/>
      <c r="AB594" s="1100"/>
      <c r="AC594" s="1100"/>
      <c r="AD594" s="1100"/>
      <c r="AE594" s="1100"/>
      <c r="AF594" s="3876">
        <v>2025</v>
      </c>
      <c r="AG594" s="3877" t="s">
        <v>1447</v>
      </c>
      <c r="AH594" s="3877" t="s">
        <v>1487</v>
      </c>
      <c r="AI594" s="3876">
        <v>2025</v>
      </c>
      <c r="AJ594" s="3877" t="s">
        <v>1447</v>
      </c>
      <c r="AK594" s="3877" t="s">
        <v>1487</v>
      </c>
      <c r="AL594" s="1874"/>
      <c r="AM594" s="1714"/>
      <c r="AN594" s="1714"/>
      <c r="AO594" s="1714"/>
      <c r="AP594" s="1714"/>
      <c r="AQ594" s="1714"/>
      <c r="AR594" s="1714"/>
      <c r="AS594" s="1714"/>
      <c r="AT594" s="1714"/>
      <c r="AU594" s="1714"/>
      <c r="AV594" s="1714"/>
      <c r="AW594" s="1714"/>
      <c r="AX594" s="1714"/>
      <c r="AY594" s="1714"/>
      <c r="AZ594" s="1714"/>
      <c r="BA594" s="1714"/>
      <c r="BB594" s="1714"/>
      <c r="BC594" s="1714"/>
      <c r="BD594" s="1714"/>
      <c r="BE594" s="1714"/>
      <c r="BF594" s="1714"/>
    </row>
    <row r="595" spans="1:58" ht="11.25" customHeight="1">
      <c r="A595" s="1088" t="s">
        <v>1361</v>
      </c>
      <c r="D595" s="1082"/>
      <c r="E595" s="1092"/>
      <c r="F595" s="3895"/>
      <c r="G595" s="3875"/>
      <c r="H595" s="3885" t="s">
        <v>421</v>
      </c>
      <c r="I595" s="3886"/>
      <c r="J595" s="3883"/>
      <c r="K595" s="3887"/>
      <c r="L595" s="3599"/>
      <c r="M595" s="3600"/>
      <c r="N595" s="3878"/>
      <c r="O595" s="3879">
        <v>1</v>
      </c>
      <c r="P595" s="3880" t="s">
        <v>50</v>
      </c>
      <c r="Q595" s="3883" t="s">
        <v>1494</v>
      </c>
      <c r="R595" s="3884" t="s">
        <v>1457</v>
      </c>
      <c r="S595" s="3884" t="s">
        <v>128</v>
      </c>
      <c r="T595" s="3884" t="s">
        <v>128</v>
      </c>
      <c r="U595" s="3884" t="s">
        <v>129</v>
      </c>
      <c r="V595" s="3884" t="s">
        <v>1495</v>
      </c>
      <c r="W595" s="3884" t="s">
        <v>1496</v>
      </c>
      <c r="X595" s="3884" t="s">
        <v>1497</v>
      </c>
      <c r="Y595" s="3884" t="s">
        <v>1498</v>
      </c>
      <c r="Z595" s="1097"/>
      <c r="AA595" s="1098"/>
      <c r="AB595" s="1098"/>
      <c r="AC595" s="1102"/>
      <c r="AD595" s="1102"/>
      <c r="AE595" s="1103"/>
      <c r="AF595" s="3876"/>
      <c r="AG595" s="3877"/>
      <c r="AH595" s="3877"/>
      <c r="AI595" s="3876"/>
      <c r="AJ595" s="3877"/>
      <c r="AK595" s="3877"/>
      <c r="AL595" s="1874"/>
      <c r="AM595" s="1714"/>
      <c r="AN595" s="1714"/>
      <c r="AO595" s="1714"/>
      <c r="AP595" s="1714"/>
      <c r="AQ595" s="1714"/>
      <c r="AR595" s="1714"/>
      <c r="AS595" s="1714"/>
      <c r="AT595" s="1714"/>
      <c r="AU595" s="1714"/>
      <c r="AV595" s="1714"/>
      <c r="AW595" s="1714"/>
      <c r="AX595" s="1714"/>
      <c r="AY595" s="1714"/>
      <c r="AZ595" s="1714"/>
      <c r="BA595" s="1714"/>
      <c r="BB595" s="1714"/>
      <c r="BC595" s="1714"/>
      <c r="BD595" s="1714"/>
      <c r="BE595" s="1714"/>
      <c r="BF595" s="1714"/>
    </row>
    <row r="596" spans="1:58" ht="11.25" customHeight="1">
      <c r="A596" s="1088" t="s">
        <v>1361</v>
      </c>
      <c r="D596" s="1082"/>
      <c r="E596" s="1092"/>
      <c r="F596" s="3895"/>
      <c r="G596" s="3875"/>
      <c r="H596" s="3885" t="s">
        <v>421</v>
      </c>
      <c r="I596" s="3886"/>
      <c r="J596" s="3883"/>
      <c r="K596" s="3887"/>
      <c r="L596" s="3599"/>
      <c r="M596" s="3600"/>
      <c r="N596" s="3878"/>
      <c r="O596" s="3879"/>
      <c r="P596" s="3881"/>
      <c r="Q596" s="3883"/>
      <c r="R596" s="3874"/>
      <c r="S596" s="3884"/>
      <c r="T596" s="3874"/>
      <c r="U596" s="3874"/>
      <c r="V596" s="3874"/>
      <c r="W596" s="3874"/>
      <c r="X596" s="3874"/>
      <c r="Y596" s="3874"/>
      <c r="Z596" s="1719"/>
      <c r="AA596" s="1686">
        <v>1</v>
      </c>
      <c r="AB596" s="1101" t="s">
        <v>1443</v>
      </c>
      <c r="AC596" s="1091">
        <v>1070</v>
      </c>
      <c r="AD596" s="1101" t="str">
        <f>AB596</f>
        <v xml:space="preserve">  Прибыль направляемая на инвестиции</v>
      </c>
      <c r="AE596" s="1091">
        <v>0</v>
      </c>
      <c r="AF596" s="3876"/>
      <c r="AG596" s="3877"/>
      <c r="AH596" s="3877"/>
      <c r="AI596" s="3876"/>
      <c r="AJ596" s="3877"/>
      <c r="AK596" s="3877"/>
      <c r="AL596" s="1874"/>
      <c r="AM596" s="1714"/>
      <c r="AN596" s="1714"/>
      <c r="AO596" s="1714"/>
      <c r="AP596" s="1714"/>
      <c r="AQ596" s="1714"/>
      <c r="AR596" s="1714"/>
      <c r="AS596" s="1714"/>
      <c r="AT596" s="1714"/>
      <c r="AU596" s="1714"/>
      <c r="AV596" s="1714"/>
      <c r="AW596" s="1714"/>
      <c r="AX596" s="1714"/>
      <c r="AY596" s="1714"/>
      <c r="AZ596" s="1714"/>
      <c r="BA596" s="1714"/>
      <c r="BB596" s="1714"/>
      <c r="BC596" s="1714"/>
      <c r="BD596" s="1714"/>
      <c r="BE596" s="1714"/>
      <c r="BF596" s="1714"/>
    </row>
    <row r="597" spans="1:58" ht="11.25" customHeight="1">
      <c r="A597" s="1088" t="s">
        <v>1361</v>
      </c>
      <c r="D597" s="1082"/>
      <c r="E597" s="1092"/>
      <c r="F597" s="3895"/>
      <c r="G597" s="3875"/>
      <c r="H597" s="3885" t="s">
        <v>421</v>
      </c>
      <c r="I597" s="3886"/>
      <c r="J597" s="3883"/>
      <c r="K597" s="3887"/>
      <c r="L597" s="3599"/>
      <c r="M597" s="3600"/>
      <c r="N597" s="3878"/>
      <c r="O597" s="3879"/>
      <c r="P597" s="3882"/>
      <c r="Q597" s="3883"/>
      <c r="R597" s="3874"/>
      <c r="S597" s="3884"/>
      <c r="T597" s="3874"/>
      <c r="U597" s="3874"/>
      <c r="V597" s="3874"/>
      <c r="W597" s="3874"/>
      <c r="X597" s="3874"/>
      <c r="Y597" s="3874"/>
      <c r="Z597" s="1097"/>
      <c r="AA597" s="1098"/>
      <c r="AB597" s="1163" t="s">
        <v>1444</v>
      </c>
      <c r="AC597" s="1102"/>
      <c r="AD597" s="1102"/>
      <c r="AE597" s="1104"/>
      <c r="AF597" s="3876"/>
      <c r="AG597" s="3877"/>
      <c r="AH597" s="3877"/>
      <c r="AI597" s="3876"/>
      <c r="AJ597" s="3877"/>
      <c r="AK597" s="3877"/>
      <c r="AL597" s="1874"/>
      <c r="AM597" s="1714"/>
      <c r="AN597" s="1714"/>
      <c r="AO597" s="1714"/>
      <c r="AP597" s="1714"/>
      <c r="AQ597" s="1714"/>
      <c r="AR597" s="1714"/>
      <c r="AS597" s="1714"/>
      <c r="AT597" s="1714"/>
      <c r="AU597" s="1714"/>
      <c r="AV597" s="1714"/>
      <c r="AW597" s="1714"/>
      <c r="AX597" s="1714"/>
      <c r="AY597" s="1714"/>
      <c r="AZ597" s="1714"/>
      <c r="BA597" s="1714"/>
      <c r="BB597" s="1714"/>
      <c r="BC597" s="1714"/>
      <c r="BD597" s="1714"/>
      <c r="BE597" s="1714"/>
      <c r="BF597" s="1714"/>
    </row>
    <row r="598" spans="1:58" ht="11.25" customHeight="1">
      <c r="A598" s="1088" t="s">
        <v>1361</v>
      </c>
      <c r="D598" s="1082"/>
      <c r="E598" s="1092"/>
      <c r="F598" s="3895"/>
      <c r="G598" s="3875"/>
      <c r="H598" s="3885" t="s">
        <v>421</v>
      </c>
      <c r="I598" s="3886"/>
      <c r="J598" s="3883"/>
      <c r="K598" s="3887"/>
      <c r="L598" s="3599"/>
      <c r="M598" s="3600"/>
      <c r="N598" s="1097"/>
      <c r="O598" s="1098"/>
      <c r="P598" s="1090" t="s">
        <v>1445</v>
      </c>
      <c r="Q598" s="1098"/>
      <c r="R598" s="1098"/>
      <c r="S598" s="1098"/>
      <c r="T598" s="1098"/>
      <c r="U598" s="1098"/>
      <c r="V598" s="1098"/>
      <c r="W598" s="1098"/>
      <c r="X598" s="1098"/>
      <c r="Y598" s="1098"/>
      <c r="Z598" s="1098"/>
      <c r="AA598" s="1098"/>
      <c r="AB598" s="1098"/>
      <c r="AC598" s="1098"/>
      <c r="AD598" s="1098"/>
      <c r="AE598" s="1105"/>
      <c r="AF598" s="3876"/>
      <c r="AG598" s="3877"/>
      <c r="AH598" s="3877"/>
      <c r="AI598" s="3876"/>
      <c r="AJ598" s="3877"/>
      <c r="AK598" s="3877"/>
      <c r="AL598" s="1874"/>
      <c r="AM598" s="1714"/>
      <c r="AN598" s="1714"/>
      <c r="AO598" s="1714"/>
      <c r="AP598" s="1714"/>
      <c r="AQ598" s="1714"/>
      <c r="AR598" s="1714"/>
      <c r="AS598" s="1714"/>
      <c r="AT598" s="1714"/>
      <c r="AU598" s="1714"/>
      <c r="AV598" s="1714"/>
      <c r="AW598" s="1714"/>
      <c r="AX598" s="1714"/>
      <c r="AY598" s="1714"/>
      <c r="AZ598" s="1714"/>
      <c r="BA598" s="1714"/>
      <c r="BB598" s="1714"/>
      <c r="BC598" s="1714"/>
      <c r="BD598" s="1714"/>
      <c r="BE598" s="1714"/>
      <c r="BF598" s="1714"/>
    </row>
    <row r="599" spans="1:58" ht="12" customHeight="1">
      <c r="A599" s="1088" t="s">
        <v>1361</v>
      </c>
      <c r="D599" s="1082"/>
      <c r="E599" s="1092"/>
      <c r="F599" s="3896"/>
      <c r="G599" s="1112"/>
      <c r="H599" s="1112"/>
      <c r="I599" s="3893" t="s">
        <v>1451</v>
      </c>
      <c r="J599" s="3893"/>
      <c r="K599" s="3893"/>
      <c r="L599" s="1095"/>
      <c r="M599" s="1095"/>
      <c r="N599" s="1096"/>
      <c r="O599" s="1096"/>
      <c r="P599" s="1096"/>
      <c r="Q599" s="1096"/>
      <c r="R599" s="1096"/>
      <c r="S599" s="1096"/>
      <c r="T599" s="1096"/>
      <c r="U599" s="1096"/>
      <c r="V599" s="1096"/>
      <c r="W599" s="1096"/>
      <c r="X599" s="1096"/>
      <c r="Y599" s="1096"/>
      <c r="Z599" s="1096"/>
      <c r="AA599" s="1096"/>
      <c r="AB599" s="1096"/>
      <c r="AC599" s="1096"/>
      <c r="AD599" s="1096"/>
      <c r="AE599" s="1096"/>
      <c r="AF599" s="1096"/>
      <c r="AG599" s="1095"/>
      <c r="AH599" s="1095"/>
      <c r="AI599" s="1096"/>
      <c r="AJ599" s="1095"/>
      <c r="AK599" s="1096"/>
      <c r="AL599" s="1874"/>
      <c r="AM599" s="1714"/>
      <c r="AN599" s="1714"/>
      <c r="AO599" s="1714"/>
      <c r="AP599" s="1714"/>
      <c r="AQ599" s="1714"/>
      <c r="AR599" s="1714"/>
      <c r="AS599" s="1714"/>
      <c r="AT599" s="1714"/>
      <c r="AU599" s="1714"/>
      <c r="AV599" s="1714"/>
      <c r="AW599" s="1714"/>
      <c r="AX599" s="1714"/>
      <c r="AY599" s="1714"/>
      <c r="AZ599" s="1714"/>
      <c r="BA599" s="1714"/>
      <c r="BB599" s="1714"/>
      <c r="BC599" s="1714"/>
      <c r="BD599" s="1714"/>
      <c r="BE599" s="1714"/>
      <c r="BF599" s="1714"/>
    </row>
    <row r="600" spans="1:58" ht="0.75" customHeight="1">
      <c r="A600" s="1088" t="s">
        <v>1361</v>
      </c>
      <c r="D600" s="1082"/>
      <c r="E600" s="1092"/>
      <c r="F600" s="3894">
        <v>2031</v>
      </c>
      <c r="G600" s="3885"/>
      <c r="H600" s="3898" t="s">
        <v>421</v>
      </c>
      <c r="I600" s="3899"/>
      <c r="J600" s="3891"/>
      <c r="K600" s="3891"/>
      <c r="L600" s="3892"/>
      <c r="M600" s="3743"/>
      <c r="N600" s="1922"/>
      <c r="O600" s="1921"/>
      <c r="P600" s="1922"/>
      <c r="Q600" s="1922"/>
      <c r="R600" s="1922"/>
      <c r="S600" s="1922"/>
      <c r="T600" s="1922"/>
      <c r="U600" s="1922"/>
      <c r="V600" s="1922"/>
      <c r="W600" s="1922"/>
      <c r="X600" s="1922"/>
      <c r="Y600" s="1922"/>
      <c r="Z600" s="1922"/>
      <c r="AA600" s="1922"/>
      <c r="AB600" s="1922"/>
      <c r="AC600" s="1922"/>
      <c r="AD600" s="1922"/>
      <c r="AE600" s="1922"/>
      <c r="AF600" s="3897"/>
      <c r="AG600" s="3892"/>
      <c r="AH600" s="3892"/>
      <c r="AI600" s="3897"/>
      <c r="AJ600" s="3892"/>
      <c r="AK600" s="3892"/>
      <c r="AL600" s="1874"/>
      <c r="AM600" s="1714"/>
      <c r="AN600" s="1714"/>
      <c r="AO600" s="1714"/>
      <c r="AP600" s="1714"/>
      <c r="AQ600" s="1714"/>
      <c r="AR600" s="1714"/>
      <c r="AS600" s="1714"/>
      <c r="AT600" s="1714"/>
      <c r="AU600" s="1714"/>
      <c r="AV600" s="1714"/>
      <c r="AW600" s="1714"/>
      <c r="AX600" s="1714"/>
      <c r="AY600" s="1714"/>
      <c r="AZ600" s="1714"/>
      <c r="BA600" s="1714"/>
      <c r="BB600" s="1714"/>
      <c r="BC600" s="1714"/>
      <c r="BD600" s="1714"/>
      <c r="BE600" s="1714"/>
      <c r="BF600" s="1714"/>
    </row>
    <row r="601" spans="1:58" ht="0.75" customHeight="1">
      <c r="A601" s="1088" t="s">
        <v>1361</v>
      </c>
      <c r="D601" s="1082"/>
      <c r="E601" s="1092"/>
      <c r="F601" s="3894"/>
      <c r="G601" s="3885"/>
      <c r="H601" s="3898"/>
      <c r="I601" s="3899"/>
      <c r="J601" s="3891"/>
      <c r="K601" s="3891"/>
      <c r="L601" s="3892"/>
      <c r="M601" s="3743"/>
      <c r="N601" s="3900"/>
      <c r="O601" s="3901"/>
      <c r="P601" s="3888"/>
      <c r="Q601" s="3891"/>
      <c r="R601" s="3891"/>
      <c r="S601" s="3891"/>
      <c r="T601" s="3891"/>
      <c r="U601" s="3891"/>
      <c r="V601" s="3891"/>
      <c r="W601" s="3891"/>
      <c r="X601" s="3891"/>
      <c r="Y601" s="3891"/>
      <c r="Z601" s="1923"/>
      <c r="AA601" s="1924"/>
      <c r="AB601" s="1924"/>
      <c r="AC601" s="1925"/>
      <c r="AD601" s="1925"/>
      <c r="AE601" s="1926"/>
      <c r="AF601" s="3897"/>
      <c r="AG601" s="3892"/>
      <c r="AH601" s="3892"/>
      <c r="AI601" s="3897"/>
      <c r="AJ601" s="3892"/>
      <c r="AK601" s="3892"/>
      <c r="AL601" s="1874"/>
      <c r="AM601" s="1714"/>
      <c r="AN601" s="1714"/>
      <c r="AO601" s="1714"/>
      <c r="AP601" s="1714"/>
      <c r="AQ601" s="1714"/>
      <c r="AR601" s="1714"/>
      <c r="AS601" s="1714"/>
      <c r="AT601" s="1714"/>
      <c r="AU601" s="1714"/>
      <c r="AV601" s="1714"/>
      <c r="AW601" s="1714"/>
      <c r="AX601" s="1714"/>
      <c r="AY601" s="1714"/>
      <c r="AZ601" s="1714"/>
      <c r="BA601" s="1714"/>
      <c r="BB601" s="1714"/>
      <c r="BC601" s="1714"/>
      <c r="BD601" s="1714"/>
      <c r="BE601" s="1714"/>
      <c r="BF601" s="1714"/>
    </row>
    <row r="602" spans="1:58" ht="0.75" customHeight="1">
      <c r="A602" s="1088" t="s">
        <v>1361</v>
      </c>
      <c r="D602" s="1082"/>
      <c r="E602" s="1092"/>
      <c r="F602" s="3894"/>
      <c r="G602" s="3885"/>
      <c r="H602" s="3898"/>
      <c r="I602" s="3899"/>
      <c r="J602" s="3891"/>
      <c r="K602" s="3891"/>
      <c r="L602" s="3892"/>
      <c r="M602" s="3743"/>
      <c r="N602" s="3900"/>
      <c r="O602" s="3901"/>
      <c r="P602" s="3889"/>
      <c r="Q602" s="3891"/>
      <c r="R602" s="3891"/>
      <c r="S602" s="3891"/>
      <c r="T602" s="3891"/>
      <c r="U602" s="3891"/>
      <c r="V602" s="3891"/>
      <c r="W602" s="3891"/>
      <c r="X602" s="3891"/>
      <c r="Y602" s="3891"/>
      <c r="Z602" s="1927"/>
      <c r="AA602" s="1928"/>
      <c r="AB602" s="1929"/>
      <c r="AC602" s="1930"/>
      <c r="AD602" s="1929"/>
      <c r="AE602" s="1930"/>
      <c r="AF602" s="3897"/>
      <c r="AG602" s="3892"/>
      <c r="AH602" s="3892"/>
      <c r="AI602" s="3897"/>
      <c r="AJ602" s="3892"/>
      <c r="AK602" s="3892"/>
      <c r="AL602" s="1874"/>
      <c r="AM602" s="1714"/>
      <c r="AN602" s="1714"/>
      <c r="AO602" s="1714"/>
      <c r="AP602" s="1714"/>
      <c r="AQ602" s="1714"/>
      <c r="AR602" s="1714"/>
      <c r="AS602" s="1714"/>
      <c r="AT602" s="1714"/>
      <c r="AU602" s="1714"/>
      <c r="AV602" s="1714"/>
      <c r="AW602" s="1714"/>
      <c r="AX602" s="1714"/>
      <c r="AY602" s="1714"/>
      <c r="AZ602" s="1714"/>
      <c r="BA602" s="1714"/>
      <c r="BB602" s="1714"/>
      <c r="BC602" s="1714"/>
      <c r="BD602" s="1714"/>
      <c r="BE602" s="1714"/>
      <c r="BF602" s="1714"/>
    </row>
    <row r="603" spans="1:58" ht="0.75" customHeight="1">
      <c r="A603" s="1088" t="s">
        <v>1361</v>
      </c>
      <c r="D603" s="1082"/>
      <c r="E603" s="1092"/>
      <c r="F603" s="3894"/>
      <c r="G603" s="3885"/>
      <c r="H603" s="3898"/>
      <c r="I603" s="3899"/>
      <c r="J603" s="3891"/>
      <c r="K603" s="3891"/>
      <c r="L603" s="3892"/>
      <c r="M603" s="3743"/>
      <c r="N603" s="3900"/>
      <c r="O603" s="3901"/>
      <c r="P603" s="3890"/>
      <c r="Q603" s="3891"/>
      <c r="R603" s="3891"/>
      <c r="S603" s="3891"/>
      <c r="T603" s="3891"/>
      <c r="U603" s="3891"/>
      <c r="V603" s="3891"/>
      <c r="W603" s="3891"/>
      <c r="X603" s="3891"/>
      <c r="Y603" s="3891"/>
      <c r="Z603" s="1923"/>
      <c r="AA603" s="1924"/>
      <c r="AB603" s="1931"/>
      <c r="AC603" s="1925"/>
      <c r="AD603" s="1925"/>
      <c r="AE603" s="1932"/>
      <c r="AF603" s="3897"/>
      <c r="AG603" s="3892"/>
      <c r="AH603" s="3892"/>
      <c r="AI603" s="3897"/>
      <c r="AJ603" s="3892"/>
      <c r="AK603" s="3892"/>
      <c r="AL603" s="1874"/>
      <c r="AM603" s="1714"/>
      <c r="AN603" s="1714"/>
      <c r="AO603" s="1714"/>
      <c r="AP603" s="1714"/>
      <c r="AQ603" s="1714"/>
      <c r="AR603" s="1714"/>
      <c r="AS603" s="1714"/>
      <c r="AT603" s="1714"/>
      <c r="AU603" s="1714"/>
      <c r="AV603" s="1714"/>
      <c r="AW603" s="1714"/>
      <c r="AX603" s="1714"/>
      <c r="AY603" s="1714"/>
      <c r="AZ603" s="1714"/>
      <c r="BA603" s="1714"/>
      <c r="BB603" s="1714"/>
      <c r="BC603" s="1714"/>
      <c r="BD603" s="1714"/>
      <c r="BE603" s="1714"/>
      <c r="BF603" s="1714"/>
    </row>
    <row r="604" spans="1:58" ht="0.75" customHeight="1">
      <c r="A604" s="1088" t="s">
        <v>1361</v>
      </c>
      <c r="D604" s="1082"/>
      <c r="E604" s="1092"/>
      <c r="F604" s="3894"/>
      <c r="G604" s="3885"/>
      <c r="H604" s="3898"/>
      <c r="I604" s="3899"/>
      <c r="J604" s="3891"/>
      <c r="K604" s="3891"/>
      <c r="L604" s="3892"/>
      <c r="M604" s="3743"/>
      <c r="N604" s="1924"/>
      <c r="O604" s="1924"/>
      <c r="P604" s="1931"/>
      <c r="Q604" s="1924"/>
      <c r="R604" s="1924"/>
      <c r="S604" s="1924"/>
      <c r="T604" s="1924"/>
      <c r="U604" s="1924"/>
      <c r="V604" s="1924"/>
      <c r="W604" s="1924"/>
      <c r="X604" s="1924"/>
      <c r="Y604" s="1924"/>
      <c r="Z604" s="1924"/>
      <c r="AA604" s="1924"/>
      <c r="AB604" s="1924"/>
      <c r="AC604" s="1924"/>
      <c r="AD604" s="1924"/>
      <c r="AE604" s="1933"/>
      <c r="AF604" s="3897"/>
      <c r="AG604" s="3892"/>
      <c r="AH604" s="3892"/>
      <c r="AI604" s="3897"/>
      <c r="AJ604" s="3892"/>
      <c r="AK604" s="3892"/>
      <c r="AL604" s="1874"/>
      <c r="AM604" s="1714"/>
      <c r="AN604" s="1714"/>
      <c r="AO604" s="1714"/>
      <c r="AP604" s="1714"/>
      <c r="AQ604" s="1714"/>
      <c r="AR604" s="1714"/>
      <c r="AS604" s="1714"/>
      <c r="AT604" s="1714"/>
      <c r="AU604" s="1714"/>
      <c r="AV604" s="1714"/>
      <c r="AW604" s="1714"/>
      <c r="AX604" s="1714"/>
      <c r="AY604" s="1714"/>
      <c r="AZ604" s="1714"/>
      <c r="BA604" s="1714"/>
      <c r="BB604" s="1714"/>
      <c r="BC604" s="1714"/>
      <c r="BD604" s="1714"/>
      <c r="BE604" s="1714"/>
      <c r="BF604" s="1714"/>
    </row>
    <row r="605" spans="1:58" ht="11.25" customHeight="1">
      <c r="A605" s="1088" t="s">
        <v>1361</v>
      </c>
      <c r="D605" s="1082"/>
      <c r="E605" s="1092"/>
      <c r="F605" s="3895"/>
      <c r="G605" s="3853" t="s">
        <v>90</v>
      </c>
      <c r="H605" s="3885" t="s">
        <v>164</v>
      </c>
      <c r="I605" s="3886"/>
      <c r="J605" s="3883"/>
      <c r="K605" s="3887" t="s">
        <v>1488</v>
      </c>
      <c r="L605" s="3599" t="s">
        <v>6</v>
      </c>
      <c r="M605" s="3600"/>
      <c r="N605" s="1872"/>
      <c r="O605" s="1099" t="s">
        <v>421</v>
      </c>
      <c r="P605" s="1100"/>
      <c r="Q605" s="1100"/>
      <c r="R605" s="1100"/>
      <c r="S605" s="1100"/>
      <c r="T605" s="1100"/>
      <c r="U605" s="1100"/>
      <c r="V605" s="1100"/>
      <c r="W605" s="1100"/>
      <c r="X605" s="1100"/>
      <c r="Y605" s="1100"/>
      <c r="Z605" s="1100"/>
      <c r="AA605" s="1100"/>
      <c r="AB605" s="1100"/>
      <c r="AC605" s="1100"/>
      <c r="AD605" s="1100"/>
      <c r="AE605" s="1100"/>
      <c r="AF605" s="3876">
        <v>2025</v>
      </c>
      <c r="AG605" s="3877" t="s">
        <v>1447</v>
      </c>
      <c r="AH605" s="3877" t="s">
        <v>1487</v>
      </c>
      <c r="AI605" s="3876">
        <v>2025</v>
      </c>
      <c r="AJ605" s="3877" t="s">
        <v>1447</v>
      </c>
      <c r="AK605" s="3877" t="s">
        <v>1487</v>
      </c>
      <c r="AL605" s="1874"/>
      <c r="AM605" s="1714"/>
      <c r="AN605" s="1714"/>
      <c r="AO605" s="1714"/>
      <c r="AP605" s="1714"/>
      <c r="AQ605" s="1714"/>
      <c r="AR605" s="1714"/>
      <c r="AS605" s="1714"/>
      <c r="AT605" s="1714"/>
      <c r="AU605" s="1714"/>
      <c r="AV605" s="1714"/>
      <c r="AW605" s="1714"/>
      <c r="AX605" s="1714"/>
      <c r="AY605" s="1714"/>
      <c r="AZ605" s="1714"/>
      <c r="BA605" s="1714"/>
      <c r="BB605" s="1714"/>
      <c r="BC605" s="1714"/>
      <c r="BD605" s="1714"/>
      <c r="BE605" s="1714"/>
      <c r="BF605" s="1714"/>
    </row>
    <row r="606" spans="1:58" ht="11.25" customHeight="1">
      <c r="A606" s="1088" t="s">
        <v>1361</v>
      </c>
      <c r="D606" s="1082"/>
      <c r="E606" s="1092"/>
      <c r="F606" s="3895"/>
      <c r="G606" s="3875"/>
      <c r="H606" s="3885" t="s">
        <v>421</v>
      </c>
      <c r="I606" s="3886"/>
      <c r="J606" s="3883"/>
      <c r="K606" s="3887"/>
      <c r="L606" s="3599"/>
      <c r="M606" s="3600"/>
      <c r="N606" s="3878"/>
      <c r="O606" s="3879">
        <v>1</v>
      </c>
      <c r="P606" s="3880" t="s">
        <v>50</v>
      </c>
      <c r="Q606" s="3883" t="s">
        <v>1494</v>
      </c>
      <c r="R606" s="3884" t="s">
        <v>1457</v>
      </c>
      <c r="S606" s="3884" t="s">
        <v>128</v>
      </c>
      <c r="T606" s="3884" t="s">
        <v>128</v>
      </c>
      <c r="U606" s="3884" t="s">
        <v>129</v>
      </c>
      <c r="V606" s="3884" t="s">
        <v>1495</v>
      </c>
      <c r="W606" s="3884" t="s">
        <v>1496</v>
      </c>
      <c r="X606" s="3884" t="s">
        <v>1497</v>
      </c>
      <c r="Y606" s="3884" t="s">
        <v>1498</v>
      </c>
      <c r="Z606" s="1097"/>
      <c r="AA606" s="1098"/>
      <c r="AB606" s="1098"/>
      <c r="AC606" s="1102"/>
      <c r="AD606" s="1102"/>
      <c r="AE606" s="1103"/>
      <c r="AF606" s="3876"/>
      <c r="AG606" s="3877"/>
      <c r="AH606" s="3877"/>
      <c r="AI606" s="3876"/>
      <c r="AJ606" s="3877"/>
      <c r="AK606" s="3877"/>
      <c r="AL606" s="1874"/>
      <c r="AM606" s="1714"/>
      <c r="AN606" s="1714"/>
      <c r="AO606" s="1714"/>
      <c r="AP606" s="1714"/>
      <c r="AQ606" s="1714"/>
      <c r="AR606" s="1714"/>
      <c r="AS606" s="1714"/>
      <c r="AT606" s="1714"/>
      <c r="AU606" s="1714"/>
      <c r="AV606" s="1714"/>
      <c r="AW606" s="1714"/>
      <c r="AX606" s="1714"/>
      <c r="AY606" s="1714"/>
      <c r="AZ606" s="1714"/>
      <c r="BA606" s="1714"/>
      <c r="BB606" s="1714"/>
      <c r="BC606" s="1714"/>
      <c r="BD606" s="1714"/>
      <c r="BE606" s="1714"/>
      <c r="BF606" s="1714"/>
    </row>
    <row r="607" spans="1:58" ht="11.25" customHeight="1">
      <c r="A607" s="1088" t="s">
        <v>1361</v>
      </c>
      <c r="D607" s="1082"/>
      <c r="E607" s="1092"/>
      <c r="F607" s="3895"/>
      <c r="G607" s="3875"/>
      <c r="H607" s="3885" t="s">
        <v>421</v>
      </c>
      <c r="I607" s="3886"/>
      <c r="J607" s="3883"/>
      <c r="K607" s="3887"/>
      <c r="L607" s="3599"/>
      <c r="M607" s="3600"/>
      <c r="N607" s="3878"/>
      <c r="O607" s="3879"/>
      <c r="P607" s="3881"/>
      <c r="Q607" s="3883"/>
      <c r="R607" s="3874"/>
      <c r="S607" s="3884"/>
      <c r="T607" s="3874"/>
      <c r="U607" s="3874"/>
      <c r="V607" s="3874"/>
      <c r="W607" s="3874"/>
      <c r="X607" s="3874"/>
      <c r="Y607" s="3874"/>
      <c r="Z607" s="1719"/>
      <c r="AA607" s="1686">
        <v>1</v>
      </c>
      <c r="AB607" s="1101" t="s">
        <v>1443</v>
      </c>
      <c r="AC607" s="1091">
        <v>1070</v>
      </c>
      <c r="AD607" s="1101" t="str">
        <f>AB607</f>
        <v xml:space="preserve">  Прибыль направляемая на инвестиции</v>
      </c>
      <c r="AE607" s="1091">
        <v>0</v>
      </c>
      <c r="AF607" s="3876"/>
      <c r="AG607" s="3877"/>
      <c r="AH607" s="3877"/>
      <c r="AI607" s="3876"/>
      <c r="AJ607" s="3877"/>
      <c r="AK607" s="3877"/>
      <c r="AL607" s="1874"/>
      <c r="AM607" s="1714"/>
      <c r="AN607" s="1714"/>
      <c r="AO607" s="1714"/>
      <c r="AP607" s="1714"/>
      <c r="AQ607" s="1714"/>
      <c r="AR607" s="1714"/>
      <c r="AS607" s="1714"/>
      <c r="AT607" s="1714"/>
      <c r="AU607" s="1714"/>
      <c r="AV607" s="1714"/>
      <c r="AW607" s="1714"/>
      <c r="AX607" s="1714"/>
      <c r="AY607" s="1714"/>
      <c r="AZ607" s="1714"/>
      <c r="BA607" s="1714"/>
      <c r="BB607" s="1714"/>
      <c r="BC607" s="1714"/>
      <c r="BD607" s="1714"/>
      <c r="BE607" s="1714"/>
      <c r="BF607" s="1714"/>
    </row>
    <row r="608" spans="1:58" ht="11.25" customHeight="1">
      <c r="A608" s="1088" t="s">
        <v>1361</v>
      </c>
      <c r="D608" s="1082"/>
      <c r="E608" s="1092"/>
      <c r="F608" s="3895"/>
      <c r="G608" s="3875"/>
      <c r="H608" s="3885" t="s">
        <v>421</v>
      </c>
      <c r="I608" s="3886"/>
      <c r="J608" s="3883"/>
      <c r="K608" s="3887"/>
      <c r="L608" s="3599"/>
      <c r="M608" s="3600"/>
      <c r="N608" s="3878"/>
      <c r="O608" s="3879"/>
      <c r="P608" s="3882"/>
      <c r="Q608" s="3883"/>
      <c r="R608" s="3874"/>
      <c r="S608" s="3884"/>
      <c r="T608" s="3874"/>
      <c r="U608" s="3874"/>
      <c r="V608" s="3874"/>
      <c r="W608" s="3874"/>
      <c r="X608" s="3874"/>
      <c r="Y608" s="3874"/>
      <c r="Z608" s="1097"/>
      <c r="AA608" s="1098"/>
      <c r="AB608" s="1163" t="s">
        <v>1444</v>
      </c>
      <c r="AC608" s="1102"/>
      <c r="AD608" s="1102"/>
      <c r="AE608" s="1104"/>
      <c r="AF608" s="3876"/>
      <c r="AG608" s="3877"/>
      <c r="AH608" s="3877"/>
      <c r="AI608" s="3876"/>
      <c r="AJ608" s="3877"/>
      <c r="AK608" s="3877"/>
      <c r="AL608" s="1874"/>
      <c r="AM608" s="1714"/>
      <c r="AN608" s="1714"/>
      <c r="AO608" s="1714"/>
      <c r="AP608" s="1714"/>
      <c r="AQ608" s="1714"/>
      <c r="AR608" s="1714"/>
      <c r="AS608" s="1714"/>
      <c r="AT608" s="1714"/>
      <c r="AU608" s="1714"/>
      <c r="AV608" s="1714"/>
      <c r="AW608" s="1714"/>
      <c r="AX608" s="1714"/>
      <c r="AY608" s="1714"/>
      <c r="AZ608" s="1714"/>
      <c r="BA608" s="1714"/>
      <c r="BB608" s="1714"/>
      <c r="BC608" s="1714"/>
      <c r="BD608" s="1714"/>
      <c r="BE608" s="1714"/>
      <c r="BF608" s="1714"/>
    </row>
    <row r="609" spans="1:58" ht="11.25" customHeight="1">
      <c r="A609" s="1088" t="s">
        <v>1361</v>
      </c>
      <c r="D609" s="1082"/>
      <c r="E609" s="1092"/>
      <c r="F609" s="3895"/>
      <c r="G609" s="3875"/>
      <c r="H609" s="3885" t="s">
        <v>421</v>
      </c>
      <c r="I609" s="3886"/>
      <c r="J609" s="3883"/>
      <c r="K609" s="3887"/>
      <c r="L609" s="3599"/>
      <c r="M609" s="3600"/>
      <c r="N609" s="1097"/>
      <c r="O609" s="1098"/>
      <c r="P609" s="1090" t="s">
        <v>1445</v>
      </c>
      <c r="Q609" s="1098"/>
      <c r="R609" s="1098"/>
      <c r="S609" s="1098"/>
      <c r="T609" s="1098"/>
      <c r="U609" s="1098"/>
      <c r="V609" s="1098"/>
      <c r="W609" s="1098"/>
      <c r="X609" s="1098"/>
      <c r="Y609" s="1098"/>
      <c r="Z609" s="1098"/>
      <c r="AA609" s="1098"/>
      <c r="AB609" s="1098"/>
      <c r="AC609" s="1098"/>
      <c r="AD609" s="1098"/>
      <c r="AE609" s="1105"/>
      <c r="AF609" s="3876"/>
      <c r="AG609" s="3877"/>
      <c r="AH609" s="3877"/>
      <c r="AI609" s="3876"/>
      <c r="AJ609" s="3877"/>
      <c r="AK609" s="3877"/>
      <c r="AL609" s="1874"/>
      <c r="AM609" s="1714"/>
      <c r="AN609" s="1714"/>
      <c r="AO609" s="1714"/>
      <c r="AP609" s="1714"/>
      <c r="AQ609" s="1714"/>
      <c r="AR609" s="1714"/>
      <c r="AS609" s="1714"/>
      <c r="AT609" s="1714"/>
      <c r="AU609" s="1714"/>
      <c r="AV609" s="1714"/>
      <c r="AW609" s="1714"/>
      <c r="AX609" s="1714"/>
      <c r="AY609" s="1714"/>
      <c r="AZ609" s="1714"/>
      <c r="BA609" s="1714"/>
      <c r="BB609" s="1714"/>
      <c r="BC609" s="1714"/>
      <c r="BD609" s="1714"/>
      <c r="BE609" s="1714"/>
      <c r="BF609" s="1714"/>
    </row>
    <row r="610" spans="1:58" ht="12" customHeight="1">
      <c r="A610" s="1088" t="s">
        <v>1361</v>
      </c>
      <c r="D610" s="1082"/>
      <c r="E610" s="1092"/>
      <c r="F610" s="3896"/>
      <c r="G610" s="1112"/>
      <c r="H610" s="1112"/>
      <c r="I610" s="3893" t="s">
        <v>1451</v>
      </c>
      <c r="J610" s="3893"/>
      <c r="K610" s="3893"/>
      <c r="L610" s="1095"/>
      <c r="M610" s="1095"/>
      <c r="N610" s="1096"/>
      <c r="O610" s="1096"/>
      <c r="P610" s="1096"/>
      <c r="Q610" s="1096"/>
      <c r="R610" s="1096"/>
      <c r="S610" s="1096"/>
      <c r="T610" s="1096"/>
      <c r="U610" s="1096"/>
      <c r="V610" s="1096"/>
      <c r="W610" s="1096"/>
      <c r="X610" s="1096"/>
      <c r="Y610" s="1096"/>
      <c r="Z610" s="1096"/>
      <c r="AA610" s="1096"/>
      <c r="AB610" s="1096"/>
      <c r="AC610" s="1096"/>
      <c r="AD610" s="1096"/>
      <c r="AE610" s="1096"/>
      <c r="AF610" s="1096"/>
      <c r="AG610" s="1095"/>
      <c r="AH610" s="1095"/>
      <c r="AI610" s="1096"/>
      <c r="AJ610" s="1095"/>
      <c r="AK610" s="1096"/>
      <c r="AL610" s="1874"/>
      <c r="AM610" s="1714"/>
      <c r="AN610" s="1714"/>
      <c r="AO610" s="1714"/>
      <c r="AP610" s="1714"/>
      <c r="AQ610" s="1714"/>
      <c r="AR610" s="1714"/>
      <c r="AS610" s="1714"/>
      <c r="AT610" s="1714"/>
      <c r="AU610" s="1714"/>
      <c r="AV610" s="1714"/>
      <c r="AW610" s="1714"/>
      <c r="AX610" s="1714"/>
      <c r="AY610" s="1714"/>
      <c r="AZ610" s="1714"/>
      <c r="BA610" s="1714"/>
      <c r="BB610" s="1714"/>
      <c r="BC610" s="1714"/>
      <c r="BD610" s="1714"/>
      <c r="BE610" s="1714"/>
      <c r="BF610" s="1714"/>
    </row>
    <row r="611" spans="1:58" ht="0.75" customHeight="1">
      <c r="A611" s="1088" t="s">
        <v>1361</v>
      </c>
      <c r="D611" s="1082"/>
      <c r="E611" s="1092"/>
      <c r="F611" s="3894">
        <v>2032</v>
      </c>
      <c r="G611" s="3885"/>
      <c r="H611" s="3898" t="s">
        <v>421</v>
      </c>
      <c r="I611" s="3899"/>
      <c r="J611" s="3891"/>
      <c r="K611" s="3891"/>
      <c r="L611" s="3892"/>
      <c r="M611" s="3743"/>
      <c r="N611" s="1922"/>
      <c r="O611" s="1921"/>
      <c r="P611" s="1922"/>
      <c r="Q611" s="1922"/>
      <c r="R611" s="1922"/>
      <c r="S611" s="1922"/>
      <c r="T611" s="1922"/>
      <c r="U611" s="1922"/>
      <c r="V611" s="1922"/>
      <c r="W611" s="1922"/>
      <c r="X611" s="1922"/>
      <c r="Y611" s="1922"/>
      <c r="Z611" s="1922"/>
      <c r="AA611" s="1922"/>
      <c r="AB611" s="1922"/>
      <c r="AC611" s="1922"/>
      <c r="AD611" s="1922"/>
      <c r="AE611" s="1922"/>
      <c r="AF611" s="3897"/>
      <c r="AG611" s="3892"/>
      <c r="AH611" s="3892"/>
      <c r="AI611" s="3897"/>
      <c r="AJ611" s="3892"/>
      <c r="AK611" s="3892"/>
      <c r="AL611" s="1874"/>
      <c r="AM611" s="1714"/>
      <c r="AN611" s="1714"/>
      <c r="AO611" s="1714"/>
      <c r="AP611" s="1714"/>
      <c r="AQ611" s="1714"/>
      <c r="AR611" s="1714"/>
      <c r="AS611" s="1714"/>
      <c r="AT611" s="1714"/>
      <c r="AU611" s="1714"/>
      <c r="AV611" s="1714"/>
      <c r="AW611" s="1714"/>
      <c r="AX611" s="1714"/>
      <c r="AY611" s="1714"/>
      <c r="AZ611" s="1714"/>
      <c r="BA611" s="1714"/>
      <c r="BB611" s="1714"/>
      <c r="BC611" s="1714"/>
      <c r="BD611" s="1714"/>
      <c r="BE611" s="1714"/>
      <c r="BF611" s="1714"/>
    </row>
    <row r="612" spans="1:58" ht="0.75" customHeight="1">
      <c r="A612" s="1088" t="s">
        <v>1361</v>
      </c>
      <c r="D612" s="1082"/>
      <c r="E612" s="1092"/>
      <c r="F612" s="3894"/>
      <c r="G612" s="3885"/>
      <c r="H612" s="3898"/>
      <c r="I612" s="3899"/>
      <c r="J612" s="3891"/>
      <c r="K612" s="3891"/>
      <c r="L612" s="3892"/>
      <c r="M612" s="3743"/>
      <c r="N612" s="3900"/>
      <c r="O612" s="3901"/>
      <c r="P612" s="3888"/>
      <c r="Q612" s="3891"/>
      <c r="R612" s="3891"/>
      <c r="S612" s="3891"/>
      <c r="T612" s="3891"/>
      <c r="U612" s="3891"/>
      <c r="V612" s="3891"/>
      <c r="W612" s="3891"/>
      <c r="X612" s="3891"/>
      <c r="Y612" s="3891"/>
      <c r="Z612" s="1923"/>
      <c r="AA612" s="1924"/>
      <c r="AB612" s="1924"/>
      <c r="AC612" s="1925"/>
      <c r="AD612" s="1925"/>
      <c r="AE612" s="1926"/>
      <c r="AF612" s="3897"/>
      <c r="AG612" s="3892"/>
      <c r="AH612" s="3892"/>
      <c r="AI612" s="3897"/>
      <c r="AJ612" s="3892"/>
      <c r="AK612" s="3892"/>
      <c r="AL612" s="1874"/>
      <c r="AM612" s="1714"/>
      <c r="AN612" s="1714"/>
      <c r="AO612" s="1714"/>
      <c r="AP612" s="1714"/>
      <c r="AQ612" s="1714"/>
      <c r="AR612" s="1714"/>
      <c r="AS612" s="1714"/>
      <c r="AT612" s="1714"/>
      <c r="AU612" s="1714"/>
      <c r="AV612" s="1714"/>
      <c r="AW612" s="1714"/>
      <c r="AX612" s="1714"/>
      <c r="AY612" s="1714"/>
      <c r="AZ612" s="1714"/>
      <c r="BA612" s="1714"/>
      <c r="BB612" s="1714"/>
      <c r="BC612" s="1714"/>
      <c r="BD612" s="1714"/>
      <c r="BE612" s="1714"/>
      <c r="BF612" s="1714"/>
    </row>
    <row r="613" spans="1:58" ht="0.75" customHeight="1">
      <c r="A613" s="1088" t="s">
        <v>1361</v>
      </c>
      <c r="D613" s="1082"/>
      <c r="E613" s="1092"/>
      <c r="F613" s="3894"/>
      <c r="G613" s="3885"/>
      <c r="H613" s="3898"/>
      <c r="I613" s="3899"/>
      <c r="J613" s="3891"/>
      <c r="K613" s="3891"/>
      <c r="L613" s="3892"/>
      <c r="M613" s="3743"/>
      <c r="N613" s="3900"/>
      <c r="O613" s="3901"/>
      <c r="P613" s="3889"/>
      <c r="Q613" s="3891"/>
      <c r="R613" s="3891"/>
      <c r="S613" s="3891"/>
      <c r="T613" s="3891"/>
      <c r="U613" s="3891"/>
      <c r="V613" s="3891"/>
      <c r="W613" s="3891"/>
      <c r="X613" s="3891"/>
      <c r="Y613" s="3891"/>
      <c r="Z613" s="1927"/>
      <c r="AA613" s="1928"/>
      <c r="AB613" s="1929"/>
      <c r="AC613" s="1930"/>
      <c r="AD613" s="1929"/>
      <c r="AE613" s="1930"/>
      <c r="AF613" s="3897"/>
      <c r="AG613" s="3892"/>
      <c r="AH613" s="3892"/>
      <c r="AI613" s="3897"/>
      <c r="AJ613" s="3892"/>
      <c r="AK613" s="3892"/>
      <c r="AL613" s="1874"/>
      <c r="AM613" s="1714"/>
      <c r="AN613" s="1714"/>
      <c r="AO613" s="1714"/>
      <c r="AP613" s="1714"/>
      <c r="AQ613" s="1714"/>
      <c r="AR613" s="1714"/>
      <c r="AS613" s="1714"/>
      <c r="AT613" s="1714"/>
      <c r="AU613" s="1714"/>
      <c r="AV613" s="1714"/>
      <c r="AW613" s="1714"/>
      <c r="AX613" s="1714"/>
      <c r="AY613" s="1714"/>
      <c r="AZ613" s="1714"/>
      <c r="BA613" s="1714"/>
      <c r="BB613" s="1714"/>
      <c r="BC613" s="1714"/>
      <c r="BD613" s="1714"/>
      <c r="BE613" s="1714"/>
      <c r="BF613" s="1714"/>
    </row>
    <row r="614" spans="1:58" ht="0.75" customHeight="1">
      <c r="A614" s="1088" t="s">
        <v>1361</v>
      </c>
      <c r="D614" s="1082"/>
      <c r="E614" s="1092"/>
      <c r="F614" s="3894"/>
      <c r="G614" s="3885"/>
      <c r="H614" s="3898"/>
      <c r="I614" s="3899"/>
      <c r="J614" s="3891"/>
      <c r="K614" s="3891"/>
      <c r="L614" s="3892"/>
      <c r="M614" s="3743"/>
      <c r="N614" s="3900"/>
      <c r="O614" s="3901"/>
      <c r="P614" s="3890"/>
      <c r="Q614" s="3891"/>
      <c r="R614" s="3891"/>
      <c r="S614" s="3891"/>
      <c r="T614" s="3891"/>
      <c r="U614" s="3891"/>
      <c r="V614" s="3891"/>
      <c r="W614" s="3891"/>
      <c r="X614" s="3891"/>
      <c r="Y614" s="3891"/>
      <c r="Z614" s="1923"/>
      <c r="AA614" s="1924"/>
      <c r="AB614" s="1931"/>
      <c r="AC614" s="1925"/>
      <c r="AD614" s="1925"/>
      <c r="AE614" s="1932"/>
      <c r="AF614" s="3897"/>
      <c r="AG614" s="3892"/>
      <c r="AH614" s="3892"/>
      <c r="AI614" s="3897"/>
      <c r="AJ614" s="3892"/>
      <c r="AK614" s="3892"/>
      <c r="AL614" s="1874"/>
      <c r="AM614" s="1714"/>
      <c r="AN614" s="1714"/>
      <c r="AO614" s="1714"/>
      <c r="AP614" s="1714"/>
      <c r="AQ614" s="1714"/>
      <c r="AR614" s="1714"/>
      <c r="AS614" s="1714"/>
      <c r="AT614" s="1714"/>
      <c r="AU614" s="1714"/>
      <c r="AV614" s="1714"/>
      <c r="AW614" s="1714"/>
      <c r="AX614" s="1714"/>
      <c r="AY614" s="1714"/>
      <c r="AZ614" s="1714"/>
      <c r="BA614" s="1714"/>
      <c r="BB614" s="1714"/>
      <c r="BC614" s="1714"/>
      <c r="BD614" s="1714"/>
      <c r="BE614" s="1714"/>
      <c r="BF614" s="1714"/>
    </row>
    <row r="615" spans="1:58" ht="0.75" customHeight="1">
      <c r="A615" s="1088" t="s">
        <v>1361</v>
      </c>
      <c r="D615" s="1082"/>
      <c r="E615" s="1092"/>
      <c r="F615" s="3894"/>
      <c r="G615" s="3885"/>
      <c r="H615" s="3898"/>
      <c r="I615" s="3899"/>
      <c r="J615" s="3891"/>
      <c r="K615" s="3891"/>
      <c r="L615" s="3892"/>
      <c r="M615" s="3743"/>
      <c r="N615" s="1924"/>
      <c r="O615" s="1924"/>
      <c r="P615" s="1931"/>
      <c r="Q615" s="1924"/>
      <c r="R615" s="1924"/>
      <c r="S615" s="1924"/>
      <c r="T615" s="1924"/>
      <c r="U615" s="1924"/>
      <c r="V615" s="1924"/>
      <c r="W615" s="1924"/>
      <c r="X615" s="1924"/>
      <c r="Y615" s="1924"/>
      <c r="Z615" s="1924"/>
      <c r="AA615" s="1924"/>
      <c r="AB615" s="1924"/>
      <c r="AC615" s="1924"/>
      <c r="AD615" s="1924"/>
      <c r="AE615" s="1933"/>
      <c r="AF615" s="3897"/>
      <c r="AG615" s="3892"/>
      <c r="AH615" s="3892"/>
      <c r="AI615" s="3897"/>
      <c r="AJ615" s="3892"/>
      <c r="AK615" s="3892"/>
      <c r="AL615" s="1874"/>
      <c r="AM615" s="1714"/>
      <c r="AN615" s="1714"/>
      <c r="AO615" s="1714"/>
      <c r="AP615" s="1714"/>
      <c r="AQ615" s="1714"/>
      <c r="AR615" s="1714"/>
      <c r="AS615" s="1714"/>
      <c r="AT615" s="1714"/>
      <c r="AU615" s="1714"/>
      <c r="AV615" s="1714"/>
      <c r="AW615" s="1714"/>
      <c r="AX615" s="1714"/>
      <c r="AY615" s="1714"/>
      <c r="AZ615" s="1714"/>
      <c r="BA615" s="1714"/>
      <c r="BB615" s="1714"/>
      <c r="BC615" s="1714"/>
      <c r="BD615" s="1714"/>
      <c r="BE615" s="1714"/>
      <c r="BF615" s="1714"/>
    </row>
    <row r="616" spans="1:58" ht="11.25" customHeight="1">
      <c r="A616" s="1088" t="s">
        <v>1361</v>
      </c>
      <c r="D616" s="1082"/>
      <c r="E616" s="1092"/>
      <c r="F616" s="3895"/>
      <c r="G616" s="3853" t="s">
        <v>90</v>
      </c>
      <c r="H616" s="3885" t="s">
        <v>164</v>
      </c>
      <c r="I616" s="3886"/>
      <c r="J616" s="3883"/>
      <c r="K616" s="3887" t="s">
        <v>1488</v>
      </c>
      <c r="L616" s="3599" t="s">
        <v>6</v>
      </c>
      <c r="M616" s="3600"/>
      <c r="N616" s="1872"/>
      <c r="O616" s="1099" t="s">
        <v>421</v>
      </c>
      <c r="P616" s="1100"/>
      <c r="Q616" s="1100"/>
      <c r="R616" s="1100"/>
      <c r="S616" s="1100"/>
      <c r="T616" s="1100"/>
      <c r="U616" s="1100"/>
      <c r="V616" s="1100"/>
      <c r="W616" s="1100"/>
      <c r="X616" s="1100"/>
      <c r="Y616" s="1100"/>
      <c r="Z616" s="1100"/>
      <c r="AA616" s="1100"/>
      <c r="AB616" s="1100"/>
      <c r="AC616" s="1100"/>
      <c r="AD616" s="1100"/>
      <c r="AE616" s="1100"/>
      <c r="AF616" s="3876">
        <v>2025</v>
      </c>
      <c r="AG616" s="3877" t="s">
        <v>1447</v>
      </c>
      <c r="AH616" s="3877" t="s">
        <v>1487</v>
      </c>
      <c r="AI616" s="3876">
        <v>2025</v>
      </c>
      <c r="AJ616" s="3877" t="s">
        <v>1447</v>
      </c>
      <c r="AK616" s="3877" t="s">
        <v>1487</v>
      </c>
      <c r="AL616" s="1874"/>
      <c r="AM616" s="1714"/>
      <c r="AN616" s="1714"/>
      <c r="AO616" s="1714"/>
      <c r="AP616" s="1714"/>
      <c r="AQ616" s="1714"/>
      <c r="AR616" s="1714"/>
      <c r="AS616" s="1714"/>
      <c r="AT616" s="1714"/>
      <c r="AU616" s="1714"/>
      <c r="AV616" s="1714"/>
      <c r="AW616" s="1714"/>
      <c r="AX616" s="1714"/>
      <c r="AY616" s="1714"/>
      <c r="AZ616" s="1714"/>
      <c r="BA616" s="1714"/>
      <c r="BB616" s="1714"/>
      <c r="BC616" s="1714"/>
      <c r="BD616" s="1714"/>
      <c r="BE616" s="1714"/>
      <c r="BF616" s="1714"/>
    </row>
    <row r="617" spans="1:58" ht="11.25" customHeight="1">
      <c r="A617" s="1088" t="s">
        <v>1361</v>
      </c>
      <c r="D617" s="1082"/>
      <c r="E617" s="1092"/>
      <c r="F617" s="3895"/>
      <c r="G617" s="3875"/>
      <c r="H617" s="3885" t="s">
        <v>421</v>
      </c>
      <c r="I617" s="3886"/>
      <c r="J617" s="3883"/>
      <c r="K617" s="3887"/>
      <c r="L617" s="3599"/>
      <c r="M617" s="3600"/>
      <c r="N617" s="3878"/>
      <c r="O617" s="3879">
        <v>1</v>
      </c>
      <c r="P617" s="3880" t="s">
        <v>50</v>
      </c>
      <c r="Q617" s="3883" t="s">
        <v>1494</v>
      </c>
      <c r="R617" s="3884" t="s">
        <v>1457</v>
      </c>
      <c r="S617" s="3884" t="s">
        <v>128</v>
      </c>
      <c r="T617" s="3884" t="s">
        <v>128</v>
      </c>
      <c r="U617" s="3884" t="s">
        <v>129</v>
      </c>
      <c r="V617" s="3884" t="s">
        <v>1495</v>
      </c>
      <c r="W617" s="3884" t="s">
        <v>1496</v>
      </c>
      <c r="X617" s="3884" t="s">
        <v>1497</v>
      </c>
      <c r="Y617" s="3884" t="s">
        <v>1498</v>
      </c>
      <c r="Z617" s="1097"/>
      <c r="AA617" s="1098"/>
      <c r="AB617" s="1098"/>
      <c r="AC617" s="1102"/>
      <c r="AD617" s="1102"/>
      <c r="AE617" s="1103"/>
      <c r="AF617" s="3876"/>
      <c r="AG617" s="3877"/>
      <c r="AH617" s="3877"/>
      <c r="AI617" s="3876"/>
      <c r="AJ617" s="3877"/>
      <c r="AK617" s="3877"/>
      <c r="AL617" s="1874"/>
      <c r="AM617" s="1714"/>
      <c r="AN617" s="1714"/>
      <c r="AO617" s="1714"/>
      <c r="AP617" s="1714"/>
      <c r="AQ617" s="1714"/>
      <c r="AR617" s="1714"/>
      <c r="AS617" s="1714"/>
      <c r="AT617" s="1714"/>
      <c r="AU617" s="1714"/>
      <c r="AV617" s="1714"/>
      <c r="AW617" s="1714"/>
      <c r="AX617" s="1714"/>
      <c r="AY617" s="1714"/>
      <c r="AZ617" s="1714"/>
      <c r="BA617" s="1714"/>
      <c r="BB617" s="1714"/>
      <c r="BC617" s="1714"/>
      <c r="BD617" s="1714"/>
      <c r="BE617" s="1714"/>
      <c r="BF617" s="1714"/>
    </row>
    <row r="618" spans="1:58" ht="11.25" customHeight="1">
      <c r="A618" s="1088" t="s">
        <v>1361</v>
      </c>
      <c r="D618" s="1082"/>
      <c r="E618" s="1092"/>
      <c r="F618" s="3895"/>
      <c r="G618" s="3875"/>
      <c r="H618" s="3885" t="s">
        <v>421</v>
      </c>
      <c r="I618" s="3886"/>
      <c r="J618" s="3883"/>
      <c r="K618" s="3887"/>
      <c r="L618" s="3599"/>
      <c r="M618" s="3600"/>
      <c r="N618" s="3878"/>
      <c r="O618" s="3879"/>
      <c r="P618" s="3881"/>
      <c r="Q618" s="3883"/>
      <c r="R618" s="3874"/>
      <c r="S618" s="3884"/>
      <c r="T618" s="3874"/>
      <c r="U618" s="3874"/>
      <c r="V618" s="3874"/>
      <c r="W618" s="3874"/>
      <c r="X618" s="3874"/>
      <c r="Y618" s="3874"/>
      <c r="Z618" s="1719"/>
      <c r="AA618" s="1686">
        <v>1</v>
      </c>
      <c r="AB618" s="1101" t="s">
        <v>1443</v>
      </c>
      <c r="AC618" s="1091">
        <v>1070</v>
      </c>
      <c r="AD618" s="1101" t="str">
        <f>AB618</f>
        <v xml:space="preserve">  Прибыль направляемая на инвестиции</v>
      </c>
      <c r="AE618" s="1091">
        <v>0</v>
      </c>
      <c r="AF618" s="3876"/>
      <c r="AG618" s="3877"/>
      <c r="AH618" s="3877"/>
      <c r="AI618" s="3876"/>
      <c r="AJ618" s="3877"/>
      <c r="AK618" s="3877"/>
      <c r="AL618" s="1874"/>
      <c r="AM618" s="1714"/>
      <c r="AN618" s="1714"/>
      <c r="AO618" s="1714"/>
      <c r="AP618" s="1714"/>
      <c r="AQ618" s="1714"/>
      <c r="AR618" s="1714"/>
      <c r="AS618" s="1714"/>
      <c r="AT618" s="1714"/>
      <c r="AU618" s="1714"/>
      <c r="AV618" s="1714"/>
      <c r="AW618" s="1714"/>
      <c r="AX618" s="1714"/>
      <c r="AY618" s="1714"/>
      <c r="AZ618" s="1714"/>
      <c r="BA618" s="1714"/>
      <c r="BB618" s="1714"/>
      <c r="BC618" s="1714"/>
      <c r="BD618" s="1714"/>
      <c r="BE618" s="1714"/>
      <c r="BF618" s="1714"/>
    </row>
    <row r="619" spans="1:58" ht="11.25" customHeight="1">
      <c r="A619" s="1088" t="s">
        <v>1361</v>
      </c>
      <c r="D619" s="1082"/>
      <c r="E619" s="1092"/>
      <c r="F619" s="3895"/>
      <c r="G619" s="3875"/>
      <c r="H619" s="3885" t="s">
        <v>421</v>
      </c>
      <c r="I619" s="3886"/>
      <c r="J619" s="3883"/>
      <c r="K619" s="3887"/>
      <c r="L619" s="3599"/>
      <c r="M619" s="3600"/>
      <c r="N619" s="3878"/>
      <c r="O619" s="3879"/>
      <c r="P619" s="3882"/>
      <c r="Q619" s="3883"/>
      <c r="R619" s="3874"/>
      <c r="S619" s="3884"/>
      <c r="T619" s="3874"/>
      <c r="U619" s="3874"/>
      <c r="V619" s="3874"/>
      <c r="W619" s="3874"/>
      <c r="X619" s="3874"/>
      <c r="Y619" s="3874"/>
      <c r="Z619" s="1097"/>
      <c r="AA619" s="1098"/>
      <c r="AB619" s="1163" t="s">
        <v>1444</v>
      </c>
      <c r="AC619" s="1102"/>
      <c r="AD619" s="1102"/>
      <c r="AE619" s="1104"/>
      <c r="AF619" s="3876"/>
      <c r="AG619" s="3877"/>
      <c r="AH619" s="3877"/>
      <c r="AI619" s="3876"/>
      <c r="AJ619" s="3877"/>
      <c r="AK619" s="3877"/>
      <c r="AL619" s="1874"/>
      <c r="AM619" s="1714"/>
      <c r="AN619" s="1714"/>
      <c r="AO619" s="1714"/>
      <c r="AP619" s="1714"/>
      <c r="AQ619" s="1714"/>
      <c r="AR619" s="1714"/>
      <c r="AS619" s="1714"/>
      <c r="AT619" s="1714"/>
      <c r="AU619" s="1714"/>
      <c r="AV619" s="1714"/>
      <c r="AW619" s="1714"/>
      <c r="AX619" s="1714"/>
      <c r="AY619" s="1714"/>
      <c r="AZ619" s="1714"/>
      <c r="BA619" s="1714"/>
      <c r="BB619" s="1714"/>
      <c r="BC619" s="1714"/>
      <c r="BD619" s="1714"/>
      <c r="BE619" s="1714"/>
      <c r="BF619" s="1714"/>
    </row>
    <row r="620" spans="1:58" ht="11.25" customHeight="1">
      <c r="A620" s="1088" t="s">
        <v>1361</v>
      </c>
      <c r="D620" s="1082"/>
      <c r="E620" s="1092"/>
      <c r="F620" s="3895"/>
      <c r="G620" s="3875"/>
      <c r="H620" s="3885" t="s">
        <v>421</v>
      </c>
      <c r="I620" s="3886"/>
      <c r="J620" s="3883"/>
      <c r="K620" s="3887"/>
      <c r="L620" s="3599"/>
      <c r="M620" s="3600"/>
      <c r="N620" s="1097"/>
      <c r="O620" s="1098"/>
      <c r="P620" s="1090" t="s">
        <v>1445</v>
      </c>
      <c r="Q620" s="1098"/>
      <c r="R620" s="1098"/>
      <c r="S620" s="1098"/>
      <c r="T620" s="1098"/>
      <c r="U620" s="1098"/>
      <c r="V620" s="1098"/>
      <c r="W620" s="1098"/>
      <c r="X620" s="1098"/>
      <c r="Y620" s="1098"/>
      <c r="Z620" s="1098"/>
      <c r="AA620" s="1098"/>
      <c r="AB620" s="1098"/>
      <c r="AC620" s="1098"/>
      <c r="AD620" s="1098"/>
      <c r="AE620" s="1105"/>
      <c r="AF620" s="3876"/>
      <c r="AG620" s="3877"/>
      <c r="AH620" s="3877"/>
      <c r="AI620" s="3876"/>
      <c r="AJ620" s="3877"/>
      <c r="AK620" s="3877"/>
      <c r="AL620" s="1874"/>
      <c r="AM620" s="1714"/>
      <c r="AN620" s="1714"/>
      <c r="AO620" s="1714"/>
      <c r="AP620" s="1714"/>
      <c r="AQ620" s="1714"/>
      <c r="AR620" s="1714"/>
      <c r="AS620" s="1714"/>
      <c r="AT620" s="1714"/>
      <c r="AU620" s="1714"/>
      <c r="AV620" s="1714"/>
      <c r="AW620" s="1714"/>
      <c r="AX620" s="1714"/>
      <c r="AY620" s="1714"/>
      <c r="AZ620" s="1714"/>
      <c r="BA620" s="1714"/>
      <c r="BB620" s="1714"/>
      <c r="BC620" s="1714"/>
      <c r="BD620" s="1714"/>
      <c r="BE620" s="1714"/>
      <c r="BF620" s="1714"/>
    </row>
    <row r="621" spans="1:58" ht="12" customHeight="1">
      <c r="A621" s="1088" t="s">
        <v>1361</v>
      </c>
      <c r="D621" s="1082"/>
      <c r="E621" s="1092"/>
      <c r="F621" s="3896"/>
      <c r="G621" s="1112"/>
      <c r="H621" s="1112"/>
      <c r="I621" s="3893" t="s">
        <v>1451</v>
      </c>
      <c r="J621" s="3893"/>
      <c r="K621" s="3893"/>
      <c r="L621" s="1095"/>
      <c r="M621" s="1095"/>
      <c r="N621" s="1096"/>
      <c r="O621" s="1096"/>
      <c r="P621" s="1096"/>
      <c r="Q621" s="1096"/>
      <c r="R621" s="1096"/>
      <c r="S621" s="1096"/>
      <c r="T621" s="1096"/>
      <c r="U621" s="1096"/>
      <c r="V621" s="1096"/>
      <c r="W621" s="1096"/>
      <c r="X621" s="1096"/>
      <c r="Y621" s="1096"/>
      <c r="Z621" s="1096"/>
      <c r="AA621" s="1096"/>
      <c r="AB621" s="1096"/>
      <c r="AC621" s="1096"/>
      <c r="AD621" s="1096"/>
      <c r="AE621" s="1096"/>
      <c r="AF621" s="1096"/>
      <c r="AG621" s="1095"/>
      <c r="AH621" s="1095"/>
      <c r="AI621" s="1096"/>
      <c r="AJ621" s="1095"/>
      <c r="AK621" s="1096"/>
      <c r="AL621" s="1874"/>
      <c r="AM621" s="1714"/>
      <c r="AN621" s="1714"/>
      <c r="AO621" s="1714"/>
      <c r="AP621" s="1714"/>
      <c r="AQ621" s="1714"/>
      <c r="AR621" s="1714"/>
      <c r="AS621" s="1714"/>
      <c r="AT621" s="1714"/>
      <c r="AU621" s="1714"/>
      <c r="AV621" s="1714"/>
      <c r="AW621" s="1714"/>
      <c r="AX621" s="1714"/>
      <c r="AY621" s="1714"/>
      <c r="AZ621" s="1714"/>
      <c r="BA621" s="1714"/>
      <c r="BB621" s="1714"/>
      <c r="BC621" s="1714"/>
      <c r="BD621" s="1714"/>
      <c r="BE621" s="1714"/>
      <c r="BF621" s="1714"/>
    </row>
    <row r="622" spans="1:58" ht="0.75" customHeight="1">
      <c r="A622" s="1088" t="s">
        <v>1361</v>
      </c>
      <c r="D622" s="1082"/>
      <c r="E622" s="1092"/>
      <c r="F622" s="3894">
        <v>2033</v>
      </c>
      <c r="G622" s="3885"/>
      <c r="H622" s="3898" t="s">
        <v>421</v>
      </c>
      <c r="I622" s="3899"/>
      <c r="J622" s="3891"/>
      <c r="K622" s="3891"/>
      <c r="L622" s="3892"/>
      <c r="M622" s="3743"/>
      <c r="N622" s="1922"/>
      <c r="O622" s="1921"/>
      <c r="P622" s="1922"/>
      <c r="Q622" s="1922"/>
      <c r="R622" s="1922"/>
      <c r="S622" s="1922"/>
      <c r="T622" s="1922"/>
      <c r="U622" s="1922"/>
      <c r="V622" s="1922"/>
      <c r="W622" s="1922"/>
      <c r="X622" s="1922"/>
      <c r="Y622" s="1922"/>
      <c r="Z622" s="1922"/>
      <c r="AA622" s="1922"/>
      <c r="AB622" s="1922"/>
      <c r="AC622" s="1922"/>
      <c r="AD622" s="1922"/>
      <c r="AE622" s="1922"/>
      <c r="AF622" s="3897"/>
      <c r="AG622" s="3892"/>
      <c r="AH622" s="3892"/>
      <c r="AI622" s="3897"/>
      <c r="AJ622" s="3892"/>
      <c r="AK622" s="3892"/>
      <c r="AL622" s="1874"/>
      <c r="AM622" s="1714"/>
      <c r="AN622" s="1714"/>
      <c r="AO622" s="1714"/>
      <c r="AP622" s="1714"/>
      <c r="AQ622" s="1714"/>
      <c r="AR622" s="1714"/>
      <c r="AS622" s="1714"/>
      <c r="AT622" s="1714"/>
      <c r="AU622" s="1714"/>
      <c r="AV622" s="1714"/>
      <c r="AW622" s="1714"/>
      <c r="AX622" s="1714"/>
      <c r="AY622" s="1714"/>
      <c r="AZ622" s="1714"/>
      <c r="BA622" s="1714"/>
      <c r="BB622" s="1714"/>
      <c r="BC622" s="1714"/>
      <c r="BD622" s="1714"/>
      <c r="BE622" s="1714"/>
      <c r="BF622" s="1714"/>
    </row>
    <row r="623" spans="1:58" ht="0.75" customHeight="1">
      <c r="A623" s="1088" t="s">
        <v>1361</v>
      </c>
      <c r="D623" s="1082"/>
      <c r="E623" s="1092"/>
      <c r="F623" s="3894"/>
      <c r="G623" s="3885"/>
      <c r="H623" s="3898"/>
      <c r="I623" s="3899"/>
      <c r="J623" s="3891"/>
      <c r="K623" s="3891"/>
      <c r="L623" s="3892"/>
      <c r="M623" s="3743"/>
      <c r="N623" s="3900"/>
      <c r="O623" s="3901"/>
      <c r="P623" s="3888"/>
      <c r="Q623" s="3891"/>
      <c r="R623" s="3891"/>
      <c r="S623" s="3891"/>
      <c r="T623" s="3891"/>
      <c r="U623" s="3891"/>
      <c r="V623" s="3891"/>
      <c r="W623" s="3891"/>
      <c r="X623" s="3891"/>
      <c r="Y623" s="3891"/>
      <c r="Z623" s="1923"/>
      <c r="AA623" s="1924"/>
      <c r="AB623" s="1924"/>
      <c r="AC623" s="1925"/>
      <c r="AD623" s="1925"/>
      <c r="AE623" s="1926"/>
      <c r="AF623" s="3897"/>
      <c r="AG623" s="3892"/>
      <c r="AH623" s="3892"/>
      <c r="AI623" s="3897"/>
      <c r="AJ623" s="3892"/>
      <c r="AK623" s="3892"/>
      <c r="AL623" s="1874"/>
      <c r="AM623" s="1714"/>
      <c r="AN623" s="1714"/>
      <c r="AO623" s="1714"/>
      <c r="AP623" s="1714"/>
      <c r="AQ623" s="1714"/>
      <c r="AR623" s="1714"/>
      <c r="AS623" s="1714"/>
      <c r="AT623" s="1714"/>
      <c r="AU623" s="1714"/>
      <c r="AV623" s="1714"/>
      <c r="AW623" s="1714"/>
      <c r="AX623" s="1714"/>
      <c r="AY623" s="1714"/>
      <c r="AZ623" s="1714"/>
      <c r="BA623" s="1714"/>
      <c r="BB623" s="1714"/>
      <c r="BC623" s="1714"/>
      <c r="BD623" s="1714"/>
      <c r="BE623" s="1714"/>
      <c r="BF623" s="1714"/>
    </row>
    <row r="624" spans="1:58" ht="0.75" customHeight="1">
      <c r="A624" s="1088" t="s">
        <v>1361</v>
      </c>
      <c r="D624" s="1082"/>
      <c r="E624" s="1092"/>
      <c r="F624" s="3894"/>
      <c r="G624" s="3885"/>
      <c r="H624" s="3898"/>
      <c r="I624" s="3899"/>
      <c r="J624" s="3891"/>
      <c r="K624" s="3891"/>
      <c r="L624" s="3892"/>
      <c r="M624" s="3743"/>
      <c r="N624" s="3900"/>
      <c r="O624" s="3901"/>
      <c r="P624" s="3889"/>
      <c r="Q624" s="3891"/>
      <c r="R624" s="3891"/>
      <c r="S624" s="3891"/>
      <c r="T624" s="3891"/>
      <c r="U624" s="3891"/>
      <c r="V624" s="3891"/>
      <c r="W624" s="3891"/>
      <c r="X624" s="3891"/>
      <c r="Y624" s="3891"/>
      <c r="Z624" s="1927"/>
      <c r="AA624" s="1928"/>
      <c r="AB624" s="1929"/>
      <c r="AC624" s="1930"/>
      <c r="AD624" s="1929"/>
      <c r="AE624" s="1930"/>
      <c r="AF624" s="3897"/>
      <c r="AG624" s="3892"/>
      <c r="AH624" s="3892"/>
      <c r="AI624" s="3897"/>
      <c r="AJ624" s="3892"/>
      <c r="AK624" s="3892"/>
      <c r="AL624" s="1874"/>
      <c r="AM624" s="1714"/>
      <c r="AN624" s="1714"/>
      <c r="AO624" s="1714"/>
      <c r="AP624" s="1714"/>
      <c r="AQ624" s="1714"/>
      <c r="AR624" s="1714"/>
      <c r="AS624" s="1714"/>
      <c r="AT624" s="1714"/>
      <c r="AU624" s="1714"/>
      <c r="AV624" s="1714"/>
      <c r="AW624" s="1714"/>
      <c r="AX624" s="1714"/>
      <c r="AY624" s="1714"/>
      <c r="AZ624" s="1714"/>
      <c r="BA624" s="1714"/>
      <c r="BB624" s="1714"/>
      <c r="BC624" s="1714"/>
      <c r="BD624" s="1714"/>
      <c r="BE624" s="1714"/>
      <c r="BF624" s="1714"/>
    </row>
    <row r="625" spans="1:58" ht="0.75" customHeight="1">
      <c r="A625" s="1088" t="s">
        <v>1361</v>
      </c>
      <c r="D625" s="1082"/>
      <c r="E625" s="1092"/>
      <c r="F625" s="3894"/>
      <c r="G625" s="3885"/>
      <c r="H625" s="3898"/>
      <c r="I625" s="3899"/>
      <c r="J625" s="3891"/>
      <c r="K625" s="3891"/>
      <c r="L625" s="3892"/>
      <c r="M625" s="3743"/>
      <c r="N625" s="3900"/>
      <c r="O625" s="3901"/>
      <c r="P625" s="3890"/>
      <c r="Q625" s="3891"/>
      <c r="R625" s="3891"/>
      <c r="S625" s="3891"/>
      <c r="T625" s="3891"/>
      <c r="U625" s="3891"/>
      <c r="V625" s="3891"/>
      <c r="W625" s="3891"/>
      <c r="X625" s="3891"/>
      <c r="Y625" s="3891"/>
      <c r="Z625" s="1923"/>
      <c r="AA625" s="1924"/>
      <c r="AB625" s="1931"/>
      <c r="AC625" s="1925"/>
      <c r="AD625" s="1925"/>
      <c r="AE625" s="1932"/>
      <c r="AF625" s="3897"/>
      <c r="AG625" s="3892"/>
      <c r="AH625" s="3892"/>
      <c r="AI625" s="3897"/>
      <c r="AJ625" s="3892"/>
      <c r="AK625" s="3892"/>
      <c r="AL625" s="1874"/>
      <c r="AM625" s="1714"/>
      <c r="AN625" s="1714"/>
      <c r="AO625" s="1714"/>
      <c r="AP625" s="1714"/>
      <c r="AQ625" s="1714"/>
      <c r="AR625" s="1714"/>
      <c r="AS625" s="1714"/>
      <c r="AT625" s="1714"/>
      <c r="AU625" s="1714"/>
      <c r="AV625" s="1714"/>
      <c r="AW625" s="1714"/>
      <c r="AX625" s="1714"/>
      <c r="AY625" s="1714"/>
      <c r="AZ625" s="1714"/>
      <c r="BA625" s="1714"/>
      <c r="BB625" s="1714"/>
      <c r="BC625" s="1714"/>
      <c r="BD625" s="1714"/>
      <c r="BE625" s="1714"/>
      <c r="BF625" s="1714"/>
    </row>
    <row r="626" spans="1:58" ht="0.75" customHeight="1">
      <c r="A626" s="1088" t="s">
        <v>1361</v>
      </c>
      <c r="D626" s="1082"/>
      <c r="E626" s="1092"/>
      <c r="F626" s="3894"/>
      <c r="G626" s="3885"/>
      <c r="H626" s="3898"/>
      <c r="I626" s="3899"/>
      <c r="J626" s="3891"/>
      <c r="K626" s="3891"/>
      <c r="L626" s="3892"/>
      <c r="M626" s="3743"/>
      <c r="N626" s="1924"/>
      <c r="O626" s="1924"/>
      <c r="P626" s="1931"/>
      <c r="Q626" s="1924"/>
      <c r="R626" s="1924"/>
      <c r="S626" s="1924"/>
      <c r="T626" s="1924"/>
      <c r="U626" s="1924"/>
      <c r="V626" s="1924"/>
      <c r="W626" s="1924"/>
      <c r="X626" s="1924"/>
      <c r="Y626" s="1924"/>
      <c r="Z626" s="1924"/>
      <c r="AA626" s="1924"/>
      <c r="AB626" s="1924"/>
      <c r="AC626" s="1924"/>
      <c r="AD626" s="1924"/>
      <c r="AE626" s="1933"/>
      <c r="AF626" s="3897"/>
      <c r="AG626" s="3892"/>
      <c r="AH626" s="3892"/>
      <c r="AI626" s="3897"/>
      <c r="AJ626" s="3892"/>
      <c r="AK626" s="3892"/>
      <c r="AL626" s="1874"/>
      <c r="AM626" s="1714"/>
      <c r="AN626" s="1714"/>
      <c r="AO626" s="1714"/>
      <c r="AP626" s="1714"/>
      <c r="AQ626" s="1714"/>
      <c r="AR626" s="1714"/>
      <c r="AS626" s="1714"/>
      <c r="AT626" s="1714"/>
      <c r="AU626" s="1714"/>
      <c r="AV626" s="1714"/>
      <c r="AW626" s="1714"/>
      <c r="AX626" s="1714"/>
      <c r="AY626" s="1714"/>
      <c r="AZ626" s="1714"/>
      <c r="BA626" s="1714"/>
      <c r="BB626" s="1714"/>
      <c r="BC626" s="1714"/>
      <c r="BD626" s="1714"/>
      <c r="BE626" s="1714"/>
      <c r="BF626" s="1714"/>
    </row>
    <row r="627" spans="1:58" ht="11.25" customHeight="1">
      <c r="A627" s="1088" t="s">
        <v>1361</v>
      </c>
      <c r="D627" s="1082"/>
      <c r="E627" s="1092"/>
      <c r="F627" s="3895"/>
      <c r="G627" s="3853" t="s">
        <v>90</v>
      </c>
      <c r="H627" s="3885" t="s">
        <v>164</v>
      </c>
      <c r="I627" s="3886"/>
      <c r="J627" s="3883"/>
      <c r="K627" s="3887" t="s">
        <v>1488</v>
      </c>
      <c r="L627" s="3599" t="s">
        <v>6</v>
      </c>
      <c r="M627" s="3600"/>
      <c r="N627" s="1872"/>
      <c r="O627" s="1099" t="s">
        <v>421</v>
      </c>
      <c r="P627" s="1100"/>
      <c r="Q627" s="1100"/>
      <c r="R627" s="1100"/>
      <c r="S627" s="1100"/>
      <c r="T627" s="1100"/>
      <c r="U627" s="1100"/>
      <c r="V627" s="1100"/>
      <c r="W627" s="1100"/>
      <c r="X627" s="1100"/>
      <c r="Y627" s="1100"/>
      <c r="Z627" s="1100"/>
      <c r="AA627" s="1100"/>
      <c r="AB627" s="1100"/>
      <c r="AC627" s="1100"/>
      <c r="AD627" s="1100"/>
      <c r="AE627" s="1100"/>
      <c r="AF627" s="3876">
        <v>2025</v>
      </c>
      <c r="AG627" s="3877" t="s">
        <v>1447</v>
      </c>
      <c r="AH627" s="3877" t="s">
        <v>1487</v>
      </c>
      <c r="AI627" s="3876">
        <v>2025</v>
      </c>
      <c r="AJ627" s="3877" t="s">
        <v>1447</v>
      </c>
      <c r="AK627" s="3877" t="s">
        <v>1487</v>
      </c>
      <c r="AL627" s="1874"/>
      <c r="AM627" s="1714"/>
      <c r="AN627" s="1714"/>
      <c r="AO627" s="1714"/>
      <c r="AP627" s="1714"/>
      <c r="AQ627" s="1714"/>
      <c r="AR627" s="1714"/>
      <c r="AS627" s="1714"/>
      <c r="AT627" s="1714"/>
      <c r="AU627" s="1714"/>
      <c r="AV627" s="1714"/>
      <c r="AW627" s="1714"/>
      <c r="AX627" s="1714"/>
      <c r="AY627" s="1714"/>
      <c r="AZ627" s="1714"/>
      <c r="BA627" s="1714"/>
      <c r="BB627" s="1714"/>
      <c r="BC627" s="1714"/>
      <c r="BD627" s="1714"/>
      <c r="BE627" s="1714"/>
      <c r="BF627" s="1714"/>
    </row>
    <row r="628" spans="1:58" ht="11.25" customHeight="1">
      <c r="A628" s="1088" t="s">
        <v>1361</v>
      </c>
      <c r="D628" s="1082"/>
      <c r="E628" s="1092"/>
      <c r="F628" s="3895"/>
      <c r="G628" s="3875"/>
      <c r="H628" s="3885" t="s">
        <v>421</v>
      </c>
      <c r="I628" s="3886"/>
      <c r="J628" s="3883"/>
      <c r="K628" s="3887"/>
      <c r="L628" s="3599"/>
      <c r="M628" s="3600"/>
      <c r="N628" s="3878"/>
      <c r="O628" s="3879">
        <v>1</v>
      </c>
      <c r="P628" s="3880" t="s">
        <v>50</v>
      </c>
      <c r="Q628" s="3883" t="s">
        <v>1494</v>
      </c>
      <c r="R628" s="3884" t="s">
        <v>1457</v>
      </c>
      <c r="S628" s="3884" t="s">
        <v>128</v>
      </c>
      <c r="T628" s="3884" t="s">
        <v>128</v>
      </c>
      <c r="U628" s="3884" t="s">
        <v>129</v>
      </c>
      <c r="V628" s="3884" t="s">
        <v>1495</v>
      </c>
      <c r="W628" s="3884" t="s">
        <v>1496</v>
      </c>
      <c r="X628" s="3884" t="s">
        <v>1497</v>
      </c>
      <c r="Y628" s="3884" t="s">
        <v>1498</v>
      </c>
      <c r="Z628" s="1097"/>
      <c r="AA628" s="1098"/>
      <c r="AB628" s="1098"/>
      <c r="AC628" s="1102"/>
      <c r="AD628" s="1102"/>
      <c r="AE628" s="1103"/>
      <c r="AF628" s="3876"/>
      <c r="AG628" s="3877"/>
      <c r="AH628" s="3877"/>
      <c r="AI628" s="3876"/>
      <c r="AJ628" s="3877"/>
      <c r="AK628" s="3877"/>
      <c r="AL628" s="1874"/>
      <c r="AM628" s="1714"/>
      <c r="AN628" s="1714"/>
      <c r="AO628" s="1714"/>
      <c r="AP628" s="1714"/>
      <c r="AQ628" s="1714"/>
      <c r="AR628" s="1714"/>
      <c r="AS628" s="1714"/>
      <c r="AT628" s="1714"/>
      <c r="AU628" s="1714"/>
      <c r="AV628" s="1714"/>
      <c r="AW628" s="1714"/>
      <c r="AX628" s="1714"/>
      <c r="AY628" s="1714"/>
      <c r="AZ628" s="1714"/>
      <c r="BA628" s="1714"/>
      <c r="BB628" s="1714"/>
      <c r="BC628" s="1714"/>
      <c r="BD628" s="1714"/>
      <c r="BE628" s="1714"/>
      <c r="BF628" s="1714"/>
    </row>
    <row r="629" spans="1:58" ht="11.25" customHeight="1">
      <c r="A629" s="1088" t="s">
        <v>1361</v>
      </c>
      <c r="D629" s="1082"/>
      <c r="E629" s="1092"/>
      <c r="F629" s="3895"/>
      <c r="G629" s="3875"/>
      <c r="H629" s="3885" t="s">
        <v>421</v>
      </c>
      <c r="I629" s="3886"/>
      <c r="J629" s="3883"/>
      <c r="K629" s="3887"/>
      <c r="L629" s="3599"/>
      <c r="M629" s="3600"/>
      <c r="N629" s="3878"/>
      <c r="O629" s="3879"/>
      <c r="P629" s="3881"/>
      <c r="Q629" s="3883"/>
      <c r="R629" s="3874"/>
      <c r="S629" s="3884"/>
      <c r="T629" s="3874"/>
      <c r="U629" s="3874"/>
      <c r="V629" s="3874"/>
      <c r="W629" s="3874"/>
      <c r="X629" s="3874"/>
      <c r="Y629" s="3874"/>
      <c r="Z629" s="1719"/>
      <c r="AA629" s="1686">
        <v>1</v>
      </c>
      <c r="AB629" s="1101" t="s">
        <v>1443</v>
      </c>
      <c r="AC629" s="1091">
        <v>1070</v>
      </c>
      <c r="AD629" s="1101" t="str">
        <f>AB629</f>
        <v xml:space="preserve">  Прибыль направляемая на инвестиции</v>
      </c>
      <c r="AE629" s="1091">
        <v>0</v>
      </c>
      <c r="AF629" s="3876"/>
      <c r="AG629" s="3877"/>
      <c r="AH629" s="3877"/>
      <c r="AI629" s="3876"/>
      <c r="AJ629" s="3877"/>
      <c r="AK629" s="3877"/>
      <c r="AL629" s="1874"/>
      <c r="AM629" s="1714"/>
      <c r="AN629" s="1714"/>
      <c r="AO629" s="1714"/>
      <c r="AP629" s="1714"/>
      <c r="AQ629" s="1714"/>
      <c r="AR629" s="1714"/>
      <c r="AS629" s="1714"/>
      <c r="AT629" s="1714"/>
      <c r="AU629" s="1714"/>
      <c r="AV629" s="1714"/>
      <c r="AW629" s="1714"/>
      <c r="AX629" s="1714"/>
      <c r="AY629" s="1714"/>
      <c r="AZ629" s="1714"/>
      <c r="BA629" s="1714"/>
      <c r="BB629" s="1714"/>
      <c r="BC629" s="1714"/>
      <c r="BD629" s="1714"/>
      <c r="BE629" s="1714"/>
      <c r="BF629" s="1714"/>
    </row>
    <row r="630" spans="1:58" ht="11.25" customHeight="1">
      <c r="A630" s="1088" t="s">
        <v>1361</v>
      </c>
      <c r="D630" s="1082"/>
      <c r="E630" s="1092"/>
      <c r="F630" s="3895"/>
      <c r="G630" s="3875"/>
      <c r="H630" s="3885" t="s">
        <v>421</v>
      </c>
      <c r="I630" s="3886"/>
      <c r="J630" s="3883"/>
      <c r="K630" s="3887"/>
      <c r="L630" s="3599"/>
      <c r="M630" s="3600"/>
      <c r="N630" s="3878"/>
      <c r="O630" s="3879"/>
      <c r="P630" s="3882"/>
      <c r="Q630" s="3883"/>
      <c r="R630" s="3874"/>
      <c r="S630" s="3884"/>
      <c r="T630" s="3874"/>
      <c r="U630" s="3874"/>
      <c r="V630" s="3874"/>
      <c r="W630" s="3874"/>
      <c r="X630" s="3874"/>
      <c r="Y630" s="3874"/>
      <c r="Z630" s="1097"/>
      <c r="AA630" s="1098"/>
      <c r="AB630" s="1163" t="s">
        <v>1444</v>
      </c>
      <c r="AC630" s="1102"/>
      <c r="AD630" s="1102"/>
      <c r="AE630" s="1104"/>
      <c r="AF630" s="3876"/>
      <c r="AG630" s="3877"/>
      <c r="AH630" s="3877"/>
      <c r="AI630" s="3876"/>
      <c r="AJ630" s="3877"/>
      <c r="AK630" s="3877"/>
      <c r="AL630" s="1874"/>
      <c r="AM630" s="1714"/>
      <c r="AN630" s="1714"/>
      <c r="AO630" s="1714"/>
      <c r="AP630" s="1714"/>
      <c r="AQ630" s="1714"/>
      <c r="AR630" s="1714"/>
      <c r="AS630" s="1714"/>
      <c r="AT630" s="1714"/>
      <c r="AU630" s="1714"/>
      <c r="AV630" s="1714"/>
      <c r="AW630" s="1714"/>
      <c r="AX630" s="1714"/>
      <c r="AY630" s="1714"/>
      <c r="AZ630" s="1714"/>
      <c r="BA630" s="1714"/>
      <c r="BB630" s="1714"/>
      <c r="BC630" s="1714"/>
      <c r="BD630" s="1714"/>
      <c r="BE630" s="1714"/>
      <c r="BF630" s="1714"/>
    </row>
    <row r="631" spans="1:58" ht="11.25" customHeight="1">
      <c r="A631" s="1088" t="s">
        <v>1361</v>
      </c>
      <c r="D631" s="1082"/>
      <c r="E631" s="1092"/>
      <c r="F631" s="3895"/>
      <c r="G631" s="3875"/>
      <c r="H631" s="3885" t="s">
        <v>421</v>
      </c>
      <c r="I631" s="3886"/>
      <c r="J631" s="3883"/>
      <c r="K631" s="3887"/>
      <c r="L631" s="3599"/>
      <c r="M631" s="3600"/>
      <c r="N631" s="1097"/>
      <c r="O631" s="1098"/>
      <c r="P631" s="1090" t="s">
        <v>1445</v>
      </c>
      <c r="Q631" s="1098"/>
      <c r="R631" s="1098"/>
      <c r="S631" s="1098"/>
      <c r="T631" s="1098"/>
      <c r="U631" s="1098"/>
      <c r="V631" s="1098"/>
      <c r="W631" s="1098"/>
      <c r="X631" s="1098"/>
      <c r="Y631" s="1098"/>
      <c r="Z631" s="1098"/>
      <c r="AA631" s="1098"/>
      <c r="AB631" s="1098"/>
      <c r="AC631" s="1098"/>
      <c r="AD631" s="1098"/>
      <c r="AE631" s="1105"/>
      <c r="AF631" s="3876"/>
      <c r="AG631" s="3877"/>
      <c r="AH631" s="3877"/>
      <c r="AI631" s="3876"/>
      <c r="AJ631" s="3877"/>
      <c r="AK631" s="3877"/>
      <c r="AL631" s="1874"/>
      <c r="AM631" s="1714"/>
      <c r="AN631" s="1714"/>
      <c r="AO631" s="1714"/>
      <c r="AP631" s="1714"/>
      <c r="AQ631" s="1714"/>
      <c r="AR631" s="1714"/>
      <c r="AS631" s="1714"/>
      <c r="AT631" s="1714"/>
      <c r="AU631" s="1714"/>
      <c r="AV631" s="1714"/>
      <c r="AW631" s="1714"/>
      <c r="AX631" s="1714"/>
      <c r="AY631" s="1714"/>
      <c r="AZ631" s="1714"/>
      <c r="BA631" s="1714"/>
      <c r="BB631" s="1714"/>
      <c r="BC631" s="1714"/>
      <c r="BD631" s="1714"/>
      <c r="BE631" s="1714"/>
      <c r="BF631" s="1714"/>
    </row>
    <row r="632" spans="1:58" ht="12" customHeight="1">
      <c r="A632" s="1088" t="s">
        <v>1361</v>
      </c>
      <c r="D632" s="1082"/>
      <c r="E632" s="1092"/>
      <c r="F632" s="3896"/>
      <c r="G632" s="1112"/>
      <c r="H632" s="1112"/>
      <c r="I632" s="3893" t="s">
        <v>1451</v>
      </c>
      <c r="J632" s="3893"/>
      <c r="K632" s="3893"/>
      <c r="L632" s="1095"/>
      <c r="M632" s="1095"/>
      <c r="N632" s="1096"/>
      <c r="O632" s="1096"/>
      <c r="P632" s="1096"/>
      <c r="Q632" s="1096"/>
      <c r="R632" s="1096"/>
      <c r="S632" s="1096"/>
      <c r="T632" s="1096"/>
      <c r="U632" s="1096"/>
      <c r="V632" s="1096"/>
      <c r="W632" s="1096"/>
      <c r="X632" s="1096"/>
      <c r="Y632" s="1096"/>
      <c r="Z632" s="1096"/>
      <c r="AA632" s="1096"/>
      <c r="AB632" s="1096"/>
      <c r="AC632" s="1096"/>
      <c r="AD632" s="1096"/>
      <c r="AE632" s="1096"/>
      <c r="AF632" s="1096"/>
      <c r="AG632" s="1095"/>
      <c r="AH632" s="1095"/>
      <c r="AI632" s="1096"/>
      <c r="AJ632" s="1095"/>
      <c r="AK632" s="1096"/>
      <c r="AL632" s="1874"/>
      <c r="AM632" s="1714"/>
      <c r="AN632" s="1714"/>
      <c r="AO632" s="1714"/>
      <c r="AP632" s="1714"/>
      <c r="AQ632" s="1714"/>
      <c r="AR632" s="1714"/>
      <c r="AS632" s="1714"/>
      <c r="AT632" s="1714"/>
      <c r="AU632" s="1714"/>
      <c r="AV632" s="1714"/>
      <c r="AW632" s="1714"/>
      <c r="AX632" s="1714"/>
      <c r="AY632" s="1714"/>
      <c r="AZ632" s="1714"/>
      <c r="BA632" s="1714"/>
      <c r="BB632" s="1714"/>
      <c r="BC632" s="1714"/>
      <c r="BD632" s="1714"/>
      <c r="BE632" s="1714"/>
      <c r="BF632" s="1714"/>
    </row>
    <row r="633" spans="1:58" ht="0.75" customHeight="1">
      <c r="A633" s="1088" t="s">
        <v>1361</v>
      </c>
      <c r="D633" s="1082"/>
      <c r="E633" s="1092"/>
      <c r="F633" s="3894">
        <v>2034</v>
      </c>
      <c r="G633" s="3885"/>
      <c r="H633" s="3898" t="s">
        <v>421</v>
      </c>
      <c r="I633" s="3899"/>
      <c r="J633" s="3891"/>
      <c r="K633" s="3891"/>
      <c r="L633" s="3892"/>
      <c r="M633" s="3743"/>
      <c r="N633" s="1922"/>
      <c r="O633" s="1921"/>
      <c r="P633" s="1922"/>
      <c r="Q633" s="1922"/>
      <c r="R633" s="1922"/>
      <c r="S633" s="1922"/>
      <c r="T633" s="1922"/>
      <c r="U633" s="1922"/>
      <c r="V633" s="1922"/>
      <c r="W633" s="1922"/>
      <c r="X633" s="1922"/>
      <c r="Y633" s="1922"/>
      <c r="Z633" s="1922"/>
      <c r="AA633" s="1922"/>
      <c r="AB633" s="1922"/>
      <c r="AC633" s="1922"/>
      <c r="AD633" s="1922"/>
      <c r="AE633" s="1922"/>
      <c r="AF633" s="3897"/>
      <c r="AG633" s="3892"/>
      <c r="AH633" s="3892"/>
      <c r="AI633" s="3897"/>
      <c r="AJ633" s="3892"/>
      <c r="AK633" s="3892"/>
      <c r="AL633" s="1874"/>
      <c r="AM633" s="1714"/>
      <c r="AN633" s="1714"/>
      <c r="AO633" s="1714"/>
      <c r="AP633" s="1714"/>
      <c r="AQ633" s="1714"/>
      <c r="AR633" s="1714"/>
      <c r="AS633" s="1714"/>
      <c r="AT633" s="1714"/>
      <c r="AU633" s="1714"/>
      <c r="AV633" s="1714"/>
      <c r="AW633" s="1714"/>
      <c r="AX633" s="1714"/>
      <c r="AY633" s="1714"/>
      <c r="AZ633" s="1714"/>
      <c r="BA633" s="1714"/>
      <c r="BB633" s="1714"/>
      <c r="BC633" s="1714"/>
      <c r="BD633" s="1714"/>
      <c r="BE633" s="1714"/>
      <c r="BF633" s="1714"/>
    </row>
    <row r="634" spans="1:58" ht="0.75" customHeight="1">
      <c r="A634" s="1088" t="s">
        <v>1361</v>
      </c>
      <c r="D634" s="1082"/>
      <c r="E634" s="1092"/>
      <c r="F634" s="3894"/>
      <c r="G634" s="3885"/>
      <c r="H634" s="3898"/>
      <c r="I634" s="3899"/>
      <c r="J634" s="3891"/>
      <c r="K634" s="3891"/>
      <c r="L634" s="3892"/>
      <c r="M634" s="3743"/>
      <c r="N634" s="3900"/>
      <c r="O634" s="3901"/>
      <c r="P634" s="3888"/>
      <c r="Q634" s="3891"/>
      <c r="R634" s="3891"/>
      <c r="S634" s="3891"/>
      <c r="T634" s="3891"/>
      <c r="U634" s="3891"/>
      <c r="V634" s="3891"/>
      <c r="W634" s="3891"/>
      <c r="X634" s="3891"/>
      <c r="Y634" s="3891"/>
      <c r="Z634" s="1923"/>
      <c r="AA634" s="1924"/>
      <c r="AB634" s="1924"/>
      <c r="AC634" s="1925"/>
      <c r="AD634" s="1925"/>
      <c r="AE634" s="1926"/>
      <c r="AF634" s="3897"/>
      <c r="AG634" s="3892"/>
      <c r="AH634" s="3892"/>
      <c r="AI634" s="3897"/>
      <c r="AJ634" s="3892"/>
      <c r="AK634" s="3892"/>
      <c r="AL634" s="1874"/>
      <c r="AM634" s="1714"/>
      <c r="AN634" s="1714"/>
      <c r="AO634" s="1714"/>
      <c r="AP634" s="1714"/>
      <c r="AQ634" s="1714"/>
      <c r="AR634" s="1714"/>
      <c r="AS634" s="1714"/>
      <c r="AT634" s="1714"/>
      <c r="AU634" s="1714"/>
      <c r="AV634" s="1714"/>
      <c r="AW634" s="1714"/>
      <c r="AX634" s="1714"/>
      <c r="AY634" s="1714"/>
      <c r="AZ634" s="1714"/>
      <c r="BA634" s="1714"/>
      <c r="BB634" s="1714"/>
      <c r="BC634" s="1714"/>
      <c r="BD634" s="1714"/>
      <c r="BE634" s="1714"/>
      <c r="BF634" s="1714"/>
    </row>
    <row r="635" spans="1:58" ht="0.75" customHeight="1">
      <c r="A635" s="1088" t="s">
        <v>1361</v>
      </c>
      <c r="D635" s="1082"/>
      <c r="E635" s="1092"/>
      <c r="F635" s="3894"/>
      <c r="G635" s="3885"/>
      <c r="H635" s="3898"/>
      <c r="I635" s="3899"/>
      <c r="J635" s="3891"/>
      <c r="K635" s="3891"/>
      <c r="L635" s="3892"/>
      <c r="M635" s="3743"/>
      <c r="N635" s="3900"/>
      <c r="O635" s="3901"/>
      <c r="P635" s="3889"/>
      <c r="Q635" s="3891"/>
      <c r="R635" s="3891"/>
      <c r="S635" s="3891"/>
      <c r="T635" s="3891"/>
      <c r="U635" s="3891"/>
      <c r="V635" s="3891"/>
      <c r="W635" s="3891"/>
      <c r="X635" s="3891"/>
      <c r="Y635" s="3891"/>
      <c r="Z635" s="1927"/>
      <c r="AA635" s="1928"/>
      <c r="AB635" s="1929"/>
      <c r="AC635" s="1930"/>
      <c r="AD635" s="1929"/>
      <c r="AE635" s="1930"/>
      <c r="AF635" s="3897"/>
      <c r="AG635" s="3892"/>
      <c r="AH635" s="3892"/>
      <c r="AI635" s="3897"/>
      <c r="AJ635" s="3892"/>
      <c r="AK635" s="3892"/>
      <c r="AL635" s="1874"/>
      <c r="AM635" s="1714"/>
      <c r="AN635" s="1714"/>
      <c r="AO635" s="1714"/>
      <c r="AP635" s="1714"/>
      <c r="AQ635" s="1714"/>
      <c r="AR635" s="1714"/>
      <c r="AS635" s="1714"/>
      <c r="AT635" s="1714"/>
      <c r="AU635" s="1714"/>
      <c r="AV635" s="1714"/>
      <c r="AW635" s="1714"/>
      <c r="AX635" s="1714"/>
      <c r="AY635" s="1714"/>
      <c r="AZ635" s="1714"/>
      <c r="BA635" s="1714"/>
      <c r="BB635" s="1714"/>
      <c r="BC635" s="1714"/>
      <c r="BD635" s="1714"/>
      <c r="BE635" s="1714"/>
      <c r="BF635" s="1714"/>
    </row>
    <row r="636" spans="1:58" ht="0.75" customHeight="1">
      <c r="A636" s="1088" t="s">
        <v>1361</v>
      </c>
      <c r="D636" s="1082"/>
      <c r="E636" s="1092"/>
      <c r="F636" s="3894"/>
      <c r="G636" s="3885"/>
      <c r="H636" s="3898"/>
      <c r="I636" s="3899"/>
      <c r="J636" s="3891"/>
      <c r="K636" s="3891"/>
      <c r="L636" s="3892"/>
      <c r="M636" s="3743"/>
      <c r="N636" s="3900"/>
      <c r="O636" s="3901"/>
      <c r="P636" s="3890"/>
      <c r="Q636" s="3891"/>
      <c r="R636" s="3891"/>
      <c r="S636" s="3891"/>
      <c r="T636" s="3891"/>
      <c r="U636" s="3891"/>
      <c r="V636" s="3891"/>
      <c r="W636" s="3891"/>
      <c r="X636" s="3891"/>
      <c r="Y636" s="3891"/>
      <c r="Z636" s="1923"/>
      <c r="AA636" s="1924"/>
      <c r="AB636" s="1931"/>
      <c r="AC636" s="1925"/>
      <c r="AD636" s="1925"/>
      <c r="AE636" s="1932"/>
      <c r="AF636" s="3897"/>
      <c r="AG636" s="3892"/>
      <c r="AH636" s="3892"/>
      <c r="AI636" s="3897"/>
      <c r="AJ636" s="3892"/>
      <c r="AK636" s="3892"/>
      <c r="AL636" s="1874"/>
      <c r="AM636" s="1714"/>
      <c r="AN636" s="1714"/>
      <c r="AO636" s="1714"/>
      <c r="AP636" s="1714"/>
      <c r="AQ636" s="1714"/>
      <c r="AR636" s="1714"/>
      <c r="AS636" s="1714"/>
      <c r="AT636" s="1714"/>
      <c r="AU636" s="1714"/>
      <c r="AV636" s="1714"/>
      <c r="AW636" s="1714"/>
      <c r="AX636" s="1714"/>
      <c r="AY636" s="1714"/>
      <c r="AZ636" s="1714"/>
      <c r="BA636" s="1714"/>
      <c r="BB636" s="1714"/>
      <c r="BC636" s="1714"/>
      <c r="BD636" s="1714"/>
      <c r="BE636" s="1714"/>
      <c r="BF636" s="1714"/>
    </row>
    <row r="637" spans="1:58" ht="0.75" customHeight="1">
      <c r="A637" s="1088" t="s">
        <v>1361</v>
      </c>
      <c r="D637" s="1082"/>
      <c r="E637" s="1092"/>
      <c r="F637" s="3894"/>
      <c r="G637" s="3885"/>
      <c r="H637" s="3898"/>
      <c r="I637" s="3899"/>
      <c r="J637" s="3891"/>
      <c r="K637" s="3891"/>
      <c r="L637" s="3892"/>
      <c r="M637" s="3743"/>
      <c r="N637" s="1924"/>
      <c r="O637" s="1924"/>
      <c r="P637" s="1931"/>
      <c r="Q637" s="1924"/>
      <c r="R637" s="1924"/>
      <c r="S637" s="1924"/>
      <c r="T637" s="1924"/>
      <c r="U637" s="1924"/>
      <c r="V637" s="1924"/>
      <c r="W637" s="1924"/>
      <c r="X637" s="1924"/>
      <c r="Y637" s="1924"/>
      <c r="Z637" s="1924"/>
      <c r="AA637" s="1924"/>
      <c r="AB637" s="1924"/>
      <c r="AC637" s="1924"/>
      <c r="AD637" s="1924"/>
      <c r="AE637" s="1933"/>
      <c r="AF637" s="3897"/>
      <c r="AG637" s="3892"/>
      <c r="AH637" s="3892"/>
      <c r="AI637" s="3897"/>
      <c r="AJ637" s="3892"/>
      <c r="AK637" s="3892"/>
      <c r="AL637" s="1874"/>
      <c r="AM637" s="1714"/>
      <c r="AN637" s="1714"/>
      <c r="AO637" s="1714"/>
      <c r="AP637" s="1714"/>
      <c r="AQ637" s="1714"/>
      <c r="AR637" s="1714"/>
      <c r="AS637" s="1714"/>
      <c r="AT637" s="1714"/>
      <c r="AU637" s="1714"/>
      <c r="AV637" s="1714"/>
      <c r="AW637" s="1714"/>
      <c r="AX637" s="1714"/>
      <c r="AY637" s="1714"/>
      <c r="AZ637" s="1714"/>
      <c r="BA637" s="1714"/>
      <c r="BB637" s="1714"/>
      <c r="BC637" s="1714"/>
      <c r="BD637" s="1714"/>
      <c r="BE637" s="1714"/>
      <c r="BF637" s="1714"/>
    </row>
    <row r="638" spans="1:58" ht="11.25" customHeight="1">
      <c r="A638" s="1088" t="s">
        <v>1361</v>
      </c>
      <c r="D638" s="1082"/>
      <c r="E638" s="1092"/>
      <c r="F638" s="3895"/>
      <c r="G638" s="3853" t="s">
        <v>90</v>
      </c>
      <c r="H638" s="3885" t="s">
        <v>164</v>
      </c>
      <c r="I638" s="3886"/>
      <c r="J638" s="3883"/>
      <c r="K638" s="3887" t="s">
        <v>1488</v>
      </c>
      <c r="L638" s="3599" t="s">
        <v>6</v>
      </c>
      <c r="M638" s="3600"/>
      <c r="N638" s="1872"/>
      <c r="O638" s="1099" t="s">
        <v>421</v>
      </c>
      <c r="P638" s="1100"/>
      <c r="Q638" s="1100"/>
      <c r="R638" s="1100"/>
      <c r="S638" s="1100"/>
      <c r="T638" s="1100"/>
      <c r="U638" s="1100"/>
      <c r="V638" s="1100"/>
      <c r="W638" s="1100"/>
      <c r="X638" s="1100"/>
      <c r="Y638" s="1100"/>
      <c r="Z638" s="1100"/>
      <c r="AA638" s="1100"/>
      <c r="AB638" s="1100"/>
      <c r="AC638" s="1100"/>
      <c r="AD638" s="1100"/>
      <c r="AE638" s="1100"/>
      <c r="AF638" s="3876">
        <v>2025</v>
      </c>
      <c r="AG638" s="3877" t="s">
        <v>1447</v>
      </c>
      <c r="AH638" s="3877" t="s">
        <v>1487</v>
      </c>
      <c r="AI638" s="3876">
        <v>2025</v>
      </c>
      <c r="AJ638" s="3877" t="s">
        <v>1447</v>
      </c>
      <c r="AK638" s="3877" t="s">
        <v>1487</v>
      </c>
      <c r="AL638" s="1874"/>
      <c r="AM638" s="1714"/>
      <c r="AN638" s="1714"/>
      <c r="AO638" s="1714"/>
      <c r="AP638" s="1714"/>
      <c r="AQ638" s="1714"/>
      <c r="AR638" s="1714"/>
      <c r="AS638" s="1714"/>
      <c r="AT638" s="1714"/>
      <c r="AU638" s="1714"/>
      <c r="AV638" s="1714"/>
      <c r="AW638" s="1714"/>
      <c r="AX638" s="1714"/>
      <c r="AY638" s="1714"/>
      <c r="AZ638" s="1714"/>
      <c r="BA638" s="1714"/>
      <c r="BB638" s="1714"/>
      <c r="BC638" s="1714"/>
      <c r="BD638" s="1714"/>
      <c r="BE638" s="1714"/>
      <c r="BF638" s="1714"/>
    </row>
    <row r="639" spans="1:58" ht="11.25" customHeight="1">
      <c r="A639" s="1088" t="s">
        <v>1361</v>
      </c>
      <c r="D639" s="1082"/>
      <c r="E639" s="1092"/>
      <c r="F639" s="3895"/>
      <c r="G639" s="3875"/>
      <c r="H639" s="3885" t="s">
        <v>421</v>
      </c>
      <c r="I639" s="3886"/>
      <c r="J639" s="3883"/>
      <c r="K639" s="3887"/>
      <c r="L639" s="3599"/>
      <c r="M639" s="3600"/>
      <c r="N639" s="3878"/>
      <c r="O639" s="3879">
        <v>1</v>
      </c>
      <c r="P639" s="3880" t="s">
        <v>50</v>
      </c>
      <c r="Q639" s="3883" t="s">
        <v>1494</v>
      </c>
      <c r="R639" s="3884" t="s">
        <v>1457</v>
      </c>
      <c r="S639" s="3884" t="s">
        <v>128</v>
      </c>
      <c r="T639" s="3884" t="s">
        <v>128</v>
      </c>
      <c r="U639" s="3884" t="s">
        <v>129</v>
      </c>
      <c r="V639" s="3884" t="s">
        <v>1495</v>
      </c>
      <c r="W639" s="3884" t="s">
        <v>1496</v>
      </c>
      <c r="X639" s="3884" t="s">
        <v>1497</v>
      </c>
      <c r="Y639" s="3884" t="s">
        <v>1498</v>
      </c>
      <c r="Z639" s="1097"/>
      <c r="AA639" s="1098"/>
      <c r="AB639" s="1098"/>
      <c r="AC639" s="1102"/>
      <c r="AD639" s="1102"/>
      <c r="AE639" s="1103"/>
      <c r="AF639" s="3876"/>
      <c r="AG639" s="3877"/>
      <c r="AH639" s="3877"/>
      <c r="AI639" s="3876"/>
      <c r="AJ639" s="3877"/>
      <c r="AK639" s="3877"/>
      <c r="AL639" s="1874"/>
      <c r="AM639" s="1714"/>
      <c r="AN639" s="1714"/>
      <c r="AO639" s="1714"/>
      <c r="AP639" s="1714"/>
      <c r="AQ639" s="1714"/>
      <c r="AR639" s="1714"/>
      <c r="AS639" s="1714"/>
      <c r="AT639" s="1714"/>
      <c r="AU639" s="1714"/>
      <c r="AV639" s="1714"/>
      <c r="AW639" s="1714"/>
      <c r="AX639" s="1714"/>
      <c r="AY639" s="1714"/>
      <c r="AZ639" s="1714"/>
      <c r="BA639" s="1714"/>
      <c r="BB639" s="1714"/>
      <c r="BC639" s="1714"/>
      <c r="BD639" s="1714"/>
      <c r="BE639" s="1714"/>
      <c r="BF639" s="1714"/>
    </row>
    <row r="640" spans="1:58" ht="11.25" customHeight="1">
      <c r="A640" s="1088" t="s">
        <v>1361</v>
      </c>
      <c r="D640" s="1082"/>
      <c r="E640" s="1092"/>
      <c r="F640" s="3895"/>
      <c r="G640" s="3875"/>
      <c r="H640" s="3885" t="s">
        <v>421</v>
      </c>
      <c r="I640" s="3886"/>
      <c r="J640" s="3883"/>
      <c r="K640" s="3887"/>
      <c r="L640" s="3599"/>
      <c r="M640" s="3600"/>
      <c r="N640" s="3878"/>
      <c r="O640" s="3879"/>
      <c r="P640" s="3881"/>
      <c r="Q640" s="3883"/>
      <c r="R640" s="3874"/>
      <c r="S640" s="3884"/>
      <c r="T640" s="3874"/>
      <c r="U640" s="3874"/>
      <c r="V640" s="3874"/>
      <c r="W640" s="3874"/>
      <c r="X640" s="3874"/>
      <c r="Y640" s="3874"/>
      <c r="Z640" s="1719"/>
      <c r="AA640" s="1686">
        <v>1</v>
      </c>
      <c r="AB640" s="1101" t="s">
        <v>1443</v>
      </c>
      <c r="AC640" s="1091">
        <v>1070</v>
      </c>
      <c r="AD640" s="1101" t="str">
        <f>AB640</f>
        <v xml:space="preserve">  Прибыль направляемая на инвестиции</v>
      </c>
      <c r="AE640" s="1091">
        <v>0</v>
      </c>
      <c r="AF640" s="3876"/>
      <c r="AG640" s="3877"/>
      <c r="AH640" s="3877"/>
      <c r="AI640" s="3876"/>
      <c r="AJ640" s="3877"/>
      <c r="AK640" s="3877"/>
      <c r="AL640" s="1874"/>
      <c r="AM640" s="1714"/>
      <c r="AN640" s="1714"/>
      <c r="AO640" s="1714"/>
      <c r="AP640" s="1714"/>
      <c r="AQ640" s="1714"/>
      <c r="AR640" s="1714"/>
      <c r="AS640" s="1714"/>
      <c r="AT640" s="1714"/>
      <c r="AU640" s="1714"/>
      <c r="AV640" s="1714"/>
      <c r="AW640" s="1714"/>
      <c r="AX640" s="1714"/>
      <c r="AY640" s="1714"/>
      <c r="AZ640" s="1714"/>
      <c r="BA640" s="1714"/>
      <c r="BB640" s="1714"/>
      <c r="BC640" s="1714"/>
      <c r="BD640" s="1714"/>
      <c r="BE640" s="1714"/>
      <c r="BF640" s="1714"/>
    </row>
    <row r="641" spans="1:58" ht="11.25" customHeight="1">
      <c r="A641" s="1088" t="s">
        <v>1361</v>
      </c>
      <c r="D641" s="1082"/>
      <c r="E641" s="1092"/>
      <c r="F641" s="3895"/>
      <c r="G641" s="3875"/>
      <c r="H641" s="3885" t="s">
        <v>421</v>
      </c>
      <c r="I641" s="3886"/>
      <c r="J641" s="3883"/>
      <c r="K641" s="3887"/>
      <c r="L641" s="3599"/>
      <c r="M641" s="3600"/>
      <c r="N641" s="3878"/>
      <c r="O641" s="3879"/>
      <c r="P641" s="3882"/>
      <c r="Q641" s="3883"/>
      <c r="R641" s="3874"/>
      <c r="S641" s="3884"/>
      <c r="T641" s="3874"/>
      <c r="U641" s="3874"/>
      <c r="V641" s="3874"/>
      <c r="W641" s="3874"/>
      <c r="X641" s="3874"/>
      <c r="Y641" s="3874"/>
      <c r="Z641" s="1097"/>
      <c r="AA641" s="1098"/>
      <c r="AB641" s="1163" t="s">
        <v>1444</v>
      </c>
      <c r="AC641" s="1102"/>
      <c r="AD641" s="1102"/>
      <c r="AE641" s="1104"/>
      <c r="AF641" s="3876"/>
      <c r="AG641" s="3877"/>
      <c r="AH641" s="3877"/>
      <c r="AI641" s="3876"/>
      <c r="AJ641" s="3877"/>
      <c r="AK641" s="3877"/>
      <c r="AL641" s="1874"/>
      <c r="AM641" s="1714"/>
      <c r="AN641" s="1714"/>
      <c r="AO641" s="1714"/>
      <c r="AP641" s="1714"/>
      <c r="AQ641" s="1714"/>
      <c r="AR641" s="1714"/>
      <c r="AS641" s="1714"/>
      <c r="AT641" s="1714"/>
      <c r="AU641" s="1714"/>
      <c r="AV641" s="1714"/>
      <c r="AW641" s="1714"/>
      <c r="AX641" s="1714"/>
      <c r="AY641" s="1714"/>
      <c r="AZ641" s="1714"/>
      <c r="BA641" s="1714"/>
      <c r="BB641" s="1714"/>
      <c r="BC641" s="1714"/>
      <c r="BD641" s="1714"/>
      <c r="BE641" s="1714"/>
      <c r="BF641" s="1714"/>
    </row>
    <row r="642" spans="1:58" ht="11.25" customHeight="1">
      <c r="A642" s="1088" t="s">
        <v>1361</v>
      </c>
      <c r="D642" s="1082"/>
      <c r="E642" s="1092"/>
      <c r="F642" s="3895"/>
      <c r="G642" s="3875"/>
      <c r="H642" s="3885" t="s">
        <v>421</v>
      </c>
      <c r="I642" s="3886"/>
      <c r="J642" s="3883"/>
      <c r="K642" s="3887"/>
      <c r="L642" s="3599"/>
      <c r="M642" s="3600"/>
      <c r="N642" s="1097"/>
      <c r="O642" s="1098"/>
      <c r="P642" s="1090" t="s">
        <v>1445</v>
      </c>
      <c r="Q642" s="1098"/>
      <c r="R642" s="1098"/>
      <c r="S642" s="1098"/>
      <c r="T642" s="1098"/>
      <c r="U642" s="1098"/>
      <c r="V642" s="1098"/>
      <c r="W642" s="1098"/>
      <c r="X642" s="1098"/>
      <c r="Y642" s="1098"/>
      <c r="Z642" s="1098"/>
      <c r="AA642" s="1098"/>
      <c r="AB642" s="1098"/>
      <c r="AC642" s="1098"/>
      <c r="AD642" s="1098"/>
      <c r="AE642" s="1105"/>
      <c r="AF642" s="3876"/>
      <c r="AG642" s="3877"/>
      <c r="AH642" s="3877"/>
      <c r="AI642" s="3876"/>
      <c r="AJ642" s="3877"/>
      <c r="AK642" s="3877"/>
      <c r="AL642" s="1874"/>
      <c r="AM642" s="1714"/>
      <c r="AN642" s="1714"/>
      <c r="AO642" s="1714"/>
      <c r="AP642" s="1714"/>
      <c r="AQ642" s="1714"/>
      <c r="AR642" s="1714"/>
      <c r="AS642" s="1714"/>
      <c r="AT642" s="1714"/>
      <c r="AU642" s="1714"/>
      <c r="AV642" s="1714"/>
      <c r="AW642" s="1714"/>
      <c r="AX642" s="1714"/>
      <c r="AY642" s="1714"/>
      <c r="AZ642" s="1714"/>
      <c r="BA642" s="1714"/>
      <c r="BB642" s="1714"/>
      <c r="BC642" s="1714"/>
      <c r="BD642" s="1714"/>
      <c r="BE642" s="1714"/>
      <c r="BF642" s="1714"/>
    </row>
    <row r="643" spans="1:58" ht="12" customHeight="1">
      <c r="A643" s="1088" t="s">
        <v>1361</v>
      </c>
      <c r="D643" s="1082"/>
      <c r="E643" s="1092"/>
      <c r="F643" s="3896"/>
      <c r="G643" s="1112"/>
      <c r="H643" s="1112"/>
      <c r="I643" s="3893" t="s">
        <v>1451</v>
      </c>
      <c r="J643" s="3893"/>
      <c r="K643" s="3893"/>
      <c r="L643" s="1095"/>
      <c r="M643" s="1095"/>
      <c r="N643" s="1096"/>
      <c r="O643" s="1096"/>
      <c r="P643" s="1096"/>
      <c r="Q643" s="1096"/>
      <c r="R643" s="1096"/>
      <c r="S643" s="1096"/>
      <c r="T643" s="1096"/>
      <c r="U643" s="1096"/>
      <c r="V643" s="1096"/>
      <c r="W643" s="1096"/>
      <c r="X643" s="1096"/>
      <c r="Y643" s="1096"/>
      <c r="Z643" s="1096"/>
      <c r="AA643" s="1096"/>
      <c r="AB643" s="1096"/>
      <c r="AC643" s="1096"/>
      <c r="AD643" s="1096"/>
      <c r="AE643" s="1096"/>
      <c r="AF643" s="1096"/>
      <c r="AG643" s="1095"/>
      <c r="AH643" s="1095"/>
      <c r="AI643" s="1096"/>
      <c r="AJ643" s="1095"/>
      <c r="AK643" s="1096"/>
      <c r="AL643" s="1874"/>
      <c r="AM643" s="1714"/>
      <c r="AN643" s="1714"/>
      <c r="AO643" s="1714"/>
      <c r="AP643" s="1714"/>
      <c r="AQ643" s="1714"/>
      <c r="AR643" s="1714"/>
      <c r="AS643" s="1714"/>
      <c r="AT643" s="1714"/>
      <c r="AU643" s="1714"/>
      <c r="AV643" s="1714"/>
      <c r="AW643" s="1714"/>
      <c r="AX643" s="1714"/>
      <c r="AY643" s="1714"/>
      <c r="AZ643" s="1714"/>
      <c r="BA643" s="1714"/>
      <c r="BB643" s="1714"/>
      <c r="BC643" s="1714"/>
      <c r="BD643" s="1714"/>
      <c r="BE643" s="1714"/>
      <c r="BF643" s="1714"/>
    </row>
    <row r="644" spans="1:58" ht="21" customHeight="1">
      <c r="A644" s="1089" t="s">
        <v>1369</v>
      </c>
      <c r="D644" s="1082"/>
      <c r="E644" s="1092" t="s">
        <v>9</v>
      </c>
      <c r="F644" s="1045" t="str">
        <f>INDEX(IP_MAIN_LIST_NAME_IP,MATCH(A644,IP_MAIN_LIST_IP_ID,0))&amp;" ("&amp;INDEX(IP_MAIN_START_DATE,MATCH(A644,IP_MAIN_LIST_IP_ID,0))&amp;"-"&amp;INDEX(IP_MAIN_END_DATE,MATCH(A644,IP_MAIN_LIST_IP_ID,0))&amp;")"</f>
        <v>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 (01.01.2025-31.12.2027)</v>
      </c>
      <c r="G644" s="1046"/>
      <c r="H644" s="1046"/>
      <c r="I644" s="1107"/>
      <c r="J644" s="1107"/>
      <c r="K644" s="1108"/>
      <c r="L644" s="1108"/>
      <c r="M644" s="1108"/>
      <c r="N644" s="1109"/>
      <c r="O644" s="1109"/>
      <c r="P644" s="1109"/>
      <c r="Q644" s="1109"/>
      <c r="R644" s="1109"/>
      <c r="S644" s="1109"/>
      <c r="T644" s="1109"/>
      <c r="U644" s="1109"/>
      <c r="V644" s="1109"/>
      <c r="W644" s="1109"/>
      <c r="X644" s="1109"/>
      <c r="Y644" s="1109"/>
      <c r="Z644" s="1109"/>
      <c r="AA644" s="1109"/>
      <c r="AB644" s="1109"/>
      <c r="AC644" s="1109"/>
      <c r="AD644" s="1109"/>
      <c r="AE644" s="1110"/>
      <c r="AF644" s="1108"/>
      <c r="AG644" s="1108"/>
      <c r="AH644" s="1108"/>
      <c r="AI644" s="1108"/>
      <c r="AJ644" s="1108"/>
      <c r="AK644" s="1108"/>
      <c r="AL644" s="1874"/>
      <c r="AM644" s="1714"/>
      <c r="AN644" s="1714"/>
      <c r="AO644" s="1714"/>
      <c r="AP644" s="1714"/>
      <c r="AQ644" s="1714"/>
      <c r="AR644" s="1714"/>
      <c r="AS644" s="1714"/>
      <c r="AT644" s="1714"/>
      <c r="AU644" s="1714"/>
      <c r="AV644" s="1714"/>
      <c r="AW644" s="1714"/>
      <c r="AX644" s="1714"/>
      <c r="AY644" s="1714"/>
      <c r="AZ644" s="1714"/>
      <c r="BA644" s="1714"/>
      <c r="BB644" s="1714"/>
      <c r="BC644" s="1714"/>
      <c r="BD644" s="1714"/>
      <c r="BE644" s="1714"/>
      <c r="BF644" s="1714"/>
    </row>
    <row r="645" spans="1:58" ht="0.75" customHeight="1">
      <c r="A645" s="1088" t="s">
        <v>1369</v>
      </c>
      <c r="D645" s="1082"/>
      <c r="E645" s="1092"/>
      <c r="F645" s="3894">
        <v>2025</v>
      </c>
      <c r="G645" s="3885"/>
      <c r="H645" s="3898" t="s">
        <v>421</v>
      </c>
      <c r="I645" s="3899"/>
      <c r="J645" s="3891"/>
      <c r="K645" s="3891"/>
      <c r="L645" s="3892"/>
      <c r="M645" s="3743"/>
      <c r="N645" s="1922"/>
      <c r="O645" s="1921"/>
      <c r="P645" s="1922"/>
      <c r="Q645" s="1922"/>
      <c r="R645" s="1922"/>
      <c r="S645" s="1922"/>
      <c r="T645" s="1922"/>
      <c r="U645" s="1922"/>
      <c r="V645" s="1922"/>
      <c r="W645" s="1922"/>
      <c r="X645" s="1922"/>
      <c r="Y645" s="1922"/>
      <c r="Z645" s="1922"/>
      <c r="AA645" s="1922"/>
      <c r="AB645" s="1922"/>
      <c r="AC645" s="1922"/>
      <c r="AD645" s="1922"/>
      <c r="AE645" s="1922"/>
      <c r="AF645" s="3897"/>
      <c r="AG645" s="3892"/>
      <c r="AH645" s="3892"/>
      <c r="AI645" s="3897"/>
      <c r="AJ645" s="3892"/>
      <c r="AK645" s="3892"/>
      <c r="AL645" s="1874"/>
      <c r="AM645" s="1714"/>
      <c r="AN645" s="1714"/>
      <c r="AO645" s="1714"/>
      <c r="AP645" s="1714"/>
      <c r="AQ645" s="1714"/>
      <c r="AR645" s="1714"/>
      <c r="AS645" s="1714"/>
      <c r="AT645" s="1714"/>
      <c r="AU645" s="1714"/>
      <c r="AV645" s="1714"/>
      <c r="AW645" s="1714"/>
      <c r="AX645" s="1714"/>
      <c r="AY645" s="1714"/>
      <c r="AZ645" s="1714"/>
      <c r="BA645" s="1714"/>
      <c r="BB645" s="1714"/>
      <c r="BC645" s="1714"/>
      <c r="BD645" s="1714"/>
      <c r="BE645" s="1714"/>
      <c r="BF645" s="1714"/>
    </row>
    <row r="646" spans="1:58" ht="0.75" customHeight="1">
      <c r="A646" s="1088" t="s">
        <v>1369</v>
      </c>
      <c r="D646" s="1082"/>
      <c r="E646" s="1092"/>
      <c r="F646" s="3894"/>
      <c r="G646" s="3885"/>
      <c r="H646" s="3898"/>
      <c r="I646" s="3899"/>
      <c r="J646" s="3891"/>
      <c r="K646" s="3891"/>
      <c r="L646" s="3892"/>
      <c r="M646" s="3743"/>
      <c r="N646" s="3900"/>
      <c r="O646" s="3901"/>
      <c r="P646" s="3888"/>
      <c r="Q646" s="3891"/>
      <c r="R646" s="3891"/>
      <c r="S646" s="3891"/>
      <c r="T646" s="3891"/>
      <c r="U646" s="3891"/>
      <c r="V646" s="3891"/>
      <c r="W646" s="3891"/>
      <c r="X646" s="3891"/>
      <c r="Y646" s="3891"/>
      <c r="Z646" s="1923"/>
      <c r="AA646" s="1924"/>
      <c r="AB646" s="1924"/>
      <c r="AC646" s="1925"/>
      <c r="AD646" s="1925"/>
      <c r="AE646" s="1926"/>
      <c r="AF646" s="3897"/>
      <c r="AG646" s="3892"/>
      <c r="AH646" s="3892"/>
      <c r="AI646" s="3897"/>
      <c r="AJ646" s="3892"/>
      <c r="AK646" s="3892"/>
      <c r="AL646" s="1874"/>
      <c r="AM646" s="1714"/>
      <c r="AN646" s="1714"/>
      <c r="AO646" s="1714"/>
      <c r="AP646" s="1714"/>
      <c r="AQ646" s="1714"/>
      <c r="AR646" s="1714"/>
      <c r="AS646" s="1714"/>
      <c r="AT646" s="1714"/>
      <c r="AU646" s="1714"/>
      <c r="AV646" s="1714"/>
      <c r="AW646" s="1714"/>
      <c r="AX646" s="1714"/>
      <c r="AY646" s="1714"/>
      <c r="AZ646" s="1714"/>
      <c r="BA646" s="1714"/>
      <c r="BB646" s="1714"/>
      <c r="BC646" s="1714"/>
      <c r="BD646" s="1714"/>
      <c r="BE646" s="1714"/>
      <c r="BF646" s="1714"/>
    </row>
    <row r="647" spans="1:58" ht="0.75" customHeight="1">
      <c r="A647" s="1088" t="s">
        <v>1369</v>
      </c>
      <c r="D647" s="1082"/>
      <c r="E647" s="1092"/>
      <c r="F647" s="3894"/>
      <c r="G647" s="3885"/>
      <c r="H647" s="3898"/>
      <c r="I647" s="3899"/>
      <c r="J647" s="3891"/>
      <c r="K647" s="3891"/>
      <c r="L647" s="3892"/>
      <c r="M647" s="3743"/>
      <c r="N647" s="3900"/>
      <c r="O647" s="3901"/>
      <c r="P647" s="3889"/>
      <c r="Q647" s="3891"/>
      <c r="R647" s="3891"/>
      <c r="S647" s="3891"/>
      <c r="T647" s="3891"/>
      <c r="U647" s="3891"/>
      <c r="V647" s="3891"/>
      <c r="W647" s="3891"/>
      <c r="X647" s="3891"/>
      <c r="Y647" s="3891"/>
      <c r="Z647" s="1927"/>
      <c r="AA647" s="1928"/>
      <c r="AB647" s="1929"/>
      <c r="AC647" s="1930"/>
      <c r="AD647" s="1929"/>
      <c r="AE647" s="1930"/>
      <c r="AF647" s="3897"/>
      <c r="AG647" s="3892"/>
      <c r="AH647" s="3892"/>
      <c r="AI647" s="3897"/>
      <c r="AJ647" s="3892"/>
      <c r="AK647" s="3892"/>
      <c r="AL647" s="1874"/>
      <c r="AM647" s="1714"/>
      <c r="AN647" s="1714"/>
      <c r="AO647" s="1714"/>
      <c r="AP647" s="1714"/>
      <c r="AQ647" s="1714"/>
      <c r="AR647" s="1714"/>
      <c r="AS647" s="1714"/>
      <c r="AT647" s="1714"/>
      <c r="AU647" s="1714"/>
      <c r="AV647" s="1714"/>
      <c r="AW647" s="1714"/>
      <c r="AX647" s="1714"/>
      <c r="AY647" s="1714"/>
      <c r="AZ647" s="1714"/>
      <c r="BA647" s="1714"/>
      <c r="BB647" s="1714"/>
      <c r="BC647" s="1714"/>
      <c r="BD647" s="1714"/>
      <c r="BE647" s="1714"/>
      <c r="BF647" s="1714"/>
    </row>
    <row r="648" spans="1:58" ht="0.75" customHeight="1">
      <c r="A648" s="1088" t="s">
        <v>1369</v>
      </c>
      <c r="D648" s="1082"/>
      <c r="E648" s="1092"/>
      <c r="F648" s="3894"/>
      <c r="G648" s="3885"/>
      <c r="H648" s="3898"/>
      <c r="I648" s="3899"/>
      <c r="J648" s="3891"/>
      <c r="K648" s="3891"/>
      <c r="L648" s="3892"/>
      <c r="M648" s="3743"/>
      <c r="N648" s="3900"/>
      <c r="O648" s="3901"/>
      <c r="P648" s="3890"/>
      <c r="Q648" s="3891"/>
      <c r="R648" s="3891"/>
      <c r="S648" s="3891"/>
      <c r="T648" s="3891"/>
      <c r="U648" s="3891"/>
      <c r="V648" s="3891"/>
      <c r="W648" s="3891"/>
      <c r="X648" s="3891"/>
      <c r="Y648" s="3891"/>
      <c r="Z648" s="1923"/>
      <c r="AA648" s="1924"/>
      <c r="AB648" s="1931"/>
      <c r="AC648" s="1925"/>
      <c r="AD648" s="1925"/>
      <c r="AE648" s="1932"/>
      <c r="AF648" s="3897"/>
      <c r="AG648" s="3892"/>
      <c r="AH648" s="3892"/>
      <c r="AI648" s="3897"/>
      <c r="AJ648" s="3892"/>
      <c r="AK648" s="3892"/>
      <c r="AL648" s="1874"/>
      <c r="AM648" s="1714"/>
      <c r="AN648" s="1714"/>
      <c r="AO648" s="1714"/>
      <c r="AP648" s="1714"/>
      <c r="AQ648" s="1714"/>
      <c r="AR648" s="1714"/>
      <c r="AS648" s="1714"/>
      <c r="AT648" s="1714"/>
      <c r="AU648" s="1714"/>
      <c r="AV648" s="1714"/>
      <c r="AW648" s="1714"/>
      <c r="AX648" s="1714"/>
      <c r="AY648" s="1714"/>
      <c r="AZ648" s="1714"/>
      <c r="BA648" s="1714"/>
      <c r="BB648" s="1714"/>
      <c r="BC648" s="1714"/>
      <c r="BD648" s="1714"/>
      <c r="BE648" s="1714"/>
      <c r="BF648" s="1714"/>
    </row>
    <row r="649" spans="1:58" ht="0.75" customHeight="1">
      <c r="A649" s="1088" t="s">
        <v>1369</v>
      </c>
      <c r="D649" s="1082"/>
      <c r="E649" s="1092"/>
      <c r="F649" s="3894"/>
      <c r="G649" s="3885"/>
      <c r="H649" s="3898"/>
      <c r="I649" s="3899"/>
      <c r="J649" s="3891"/>
      <c r="K649" s="3891"/>
      <c r="L649" s="3892"/>
      <c r="M649" s="3743"/>
      <c r="N649" s="1924"/>
      <c r="O649" s="1924"/>
      <c r="P649" s="1931"/>
      <c r="Q649" s="1924"/>
      <c r="R649" s="1924"/>
      <c r="S649" s="1924"/>
      <c r="T649" s="1924"/>
      <c r="U649" s="1924"/>
      <c r="V649" s="1924"/>
      <c r="W649" s="1924"/>
      <c r="X649" s="1924"/>
      <c r="Y649" s="1924"/>
      <c r="Z649" s="1924"/>
      <c r="AA649" s="1924"/>
      <c r="AB649" s="1924"/>
      <c r="AC649" s="1924"/>
      <c r="AD649" s="1924"/>
      <c r="AE649" s="1933"/>
      <c r="AF649" s="3897"/>
      <c r="AG649" s="3892"/>
      <c r="AH649" s="3892"/>
      <c r="AI649" s="3897"/>
      <c r="AJ649" s="3892"/>
      <c r="AK649" s="3892"/>
      <c r="AL649" s="1874"/>
      <c r="AM649" s="1714"/>
      <c r="AN649" s="1714"/>
      <c r="AO649" s="1714"/>
      <c r="AP649" s="1714"/>
      <c r="AQ649" s="1714"/>
      <c r="AR649" s="1714"/>
      <c r="AS649" s="1714"/>
      <c r="AT649" s="1714"/>
      <c r="AU649" s="1714"/>
      <c r="AV649" s="1714"/>
      <c r="AW649" s="1714"/>
      <c r="AX649" s="1714"/>
      <c r="AY649" s="1714"/>
      <c r="AZ649" s="1714"/>
      <c r="BA649" s="1714"/>
      <c r="BB649" s="1714"/>
      <c r="BC649" s="1714"/>
      <c r="BD649" s="1714"/>
      <c r="BE649" s="1714"/>
      <c r="BF649" s="1714"/>
    </row>
    <row r="650" spans="1:58" ht="11.25" customHeight="1">
      <c r="A650" s="1088" t="s">
        <v>1369</v>
      </c>
      <c r="D650" s="1082"/>
      <c r="E650" s="1092"/>
      <c r="F650" s="3895"/>
      <c r="G650" s="3853" t="s">
        <v>90</v>
      </c>
      <c r="H650" s="3885" t="s">
        <v>164</v>
      </c>
      <c r="I650" s="3886"/>
      <c r="J650" s="3883"/>
      <c r="K650" s="3887" t="s">
        <v>1499</v>
      </c>
      <c r="L650" s="3599" t="s">
        <v>6</v>
      </c>
      <c r="M650" s="3600"/>
      <c r="N650" s="1872"/>
      <c r="O650" s="1099" t="s">
        <v>421</v>
      </c>
      <c r="P650" s="1100"/>
      <c r="Q650" s="1100"/>
      <c r="R650" s="1100"/>
      <c r="S650" s="1100"/>
      <c r="T650" s="1100"/>
      <c r="U650" s="1100"/>
      <c r="V650" s="1100"/>
      <c r="W650" s="1100"/>
      <c r="X650" s="1100"/>
      <c r="Y650" s="1100"/>
      <c r="Z650" s="1100"/>
      <c r="AA650" s="1100"/>
      <c r="AB650" s="1100"/>
      <c r="AC650" s="1100"/>
      <c r="AD650" s="1100"/>
      <c r="AE650" s="1100"/>
      <c r="AF650" s="3876">
        <v>2026</v>
      </c>
      <c r="AG650" s="3877" t="s">
        <v>1447</v>
      </c>
      <c r="AH650" s="3877" t="s">
        <v>1455</v>
      </c>
      <c r="AI650" s="3876">
        <v>2026</v>
      </c>
      <c r="AJ650" s="3877" t="s">
        <v>1447</v>
      </c>
      <c r="AK650" s="3877" t="s">
        <v>1455</v>
      </c>
      <c r="AL650" s="1874"/>
      <c r="AM650" s="1714"/>
      <c r="AN650" s="1714"/>
      <c r="AO650" s="1714"/>
      <c r="AP650" s="1714"/>
      <c r="AQ650" s="1714"/>
      <c r="AR650" s="1714"/>
      <c r="AS650" s="1714"/>
      <c r="AT650" s="1714"/>
      <c r="AU650" s="1714"/>
      <c r="AV650" s="1714"/>
      <c r="AW650" s="1714"/>
      <c r="AX650" s="1714"/>
      <c r="AY650" s="1714"/>
      <c r="AZ650" s="1714"/>
      <c r="BA650" s="1714"/>
      <c r="BB650" s="1714"/>
      <c r="BC650" s="1714"/>
      <c r="BD650" s="1714"/>
      <c r="BE650" s="1714"/>
      <c r="BF650" s="1714"/>
    </row>
    <row r="651" spans="1:58" ht="11.25" customHeight="1">
      <c r="A651" s="1088" t="s">
        <v>1369</v>
      </c>
      <c r="D651" s="1082"/>
      <c r="E651" s="1092"/>
      <c r="F651" s="3895"/>
      <c r="G651" s="3875"/>
      <c r="H651" s="3885" t="s">
        <v>421</v>
      </c>
      <c r="I651" s="3886"/>
      <c r="J651" s="3883"/>
      <c r="K651" s="3887"/>
      <c r="L651" s="3599"/>
      <c r="M651" s="3600"/>
      <c r="N651" s="3878"/>
      <c r="O651" s="3879">
        <v>1</v>
      </c>
      <c r="P651" s="3880" t="s">
        <v>50</v>
      </c>
      <c r="Q651" s="3883" t="s">
        <v>1500</v>
      </c>
      <c r="R651" s="3884" t="s">
        <v>1438</v>
      </c>
      <c r="S651" s="3884" t="s">
        <v>155</v>
      </c>
      <c r="T651" s="3884" t="s">
        <v>155</v>
      </c>
      <c r="U651" s="3884" t="s">
        <v>156</v>
      </c>
      <c r="V651" s="3884" t="s">
        <v>1501</v>
      </c>
      <c r="W651" s="3884" t="s">
        <v>1502</v>
      </c>
      <c r="X651" s="3884" t="s">
        <v>1503</v>
      </c>
      <c r="Y651" s="3884" t="s">
        <v>1504</v>
      </c>
      <c r="Z651" s="1097"/>
      <c r="AA651" s="1098"/>
      <c r="AB651" s="1098"/>
      <c r="AC651" s="1102"/>
      <c r="AD651" s="1102"/>
      <c r="AE651" s="1103"/>
      <c r="AF651" s="3876"/>
      <c r="AG651" s="3877"/>
      <c r="AH651" s="3877"/>
      <c r="AI651" s="3876"/>
      <c r="AJ651" s="3877"/>
      <c r="AK651" s="3877"/>
      <c r="AL651" s="1874"/>
      <c r="AM651" s="1714"/>
      <c r="AN651" s="1714"/>
      <c r="AO651" s="1714"/>
      <c r="AP651" s="1714"/>
      <c r="AQ651" s="1714"/>
      <c r="AR651" s="1714"/>
      <c r="AS651" s="1714"/>
      <c r="AT651" s="1714"/>
      <c r="AU651" s="1714"/>
      <c r="AV651" s="1714"/>
      <c r="AW651" s="1714"/>
      <c r="AX651" s="1714"/>
      <c r="AY651" s="1714"/>
      <c r="AZ651" s="1714"/>
      <c r="BA651" s="1714"/>
      <c r="BB651" s="1714"/>
      <c r="BC651" s="1714"/>
      <c r="BD651" s="1714"/>
      <c r="BE651" s="1714"/>
      <c r="BF651" s="1714"/>
    </row>
    <row r="652" spans="1:58" ht="11.25" customHeight="1">
      <c r="A652" s="1088" t="s">
        <v>1369</v>
      </c>
      <c r="D652" s="1082"/>
      <c r="E652" s="1092"/>
      <c r="F652" s="3895"/>
      <c r="G652" s="3875"/>
      <c r="H652" s="3885" t="s">
        <v>421</v>
      </c>
      <c r="I652" s="3886"/>
      <c r="J652" s="3883"/>
      <c r="K652" s="3887"/>
      <c r="L652" s="3599"/>
      <c r="M652" s="3600"/>
      <c r="N652" s="3878"/>
      <c r="O652" s="3879"/>
      <c r="P652" s="3881"/>
      <c r="Q652" s="3883"/>
      <c r="R652" s="3874"/>
      <c r="S652" s="3884"/>
      <c r="T652" s="3874"/>
      <c r="U652" s="3874"/>
      <c r="V652" s="3874"/>
      <c r="W652" s="3874"/>
      <c r="X652" s="3874"/>
      <c r="Y652" s="3874"/>
      <c r="Z652" s="1719"/>
      <c r="AA652" s="1686">
        <v>1</v>
      </c>
      <c r="AB652" s="1101" t="s">
        <v>1443</v>
      </c>
      <c r="AC652" s="1091">
        <v>4855.88</v>
      </c>
      <c r="AD652" s="1101" t="str">
        <f>AB652</f>
        <v xml:space="preserve">  Прибыль направляемая на инвестиции</v>
      </c>
      <c r="AE652" s="1091">
        <v>14</v>
      </c>
      <c r="AF652" s="3876"/>
      <c r="AG652" s="3877"/>
      <c r="AH652" s="3877"/>
      <c r="AI652" s="3876"/>
      <c r="AJ652" s="3877"/>
      <c r="AK652" s="3877"/>
      <c r="AL652" s="1874"/>
      <c r="AM652" s="1714"/>
      <c r="AN652" s="1714"/>
      <c r="AO652" s="1714"/>
      <c r="AP652" s="1714"/>
      <c r="AQ652" s="1714"/>
      <c r="AR652" s="1714"/>
      <c r="AS652" s="1714"/>
      <c r="AT652" s="1714"/>
      <c r="AU652" s="1714"/>
      <c r="AV652" s="1714"/>
      <c r="AW652" s="1714"/>
      <c r="AX652" s="1714"/>
      <c r="AY652" s="1714"/>
      <c r="AZ652" s="1714"/>
      <c r="BA652" s="1714"/>
      <c r="BB652" s="1714"/>
      <c r="BC652" s="1714"/>
      <c r="BD652" s="1714"/>
      <c r="BE652" s="1714"/>
      <c r="BF652" s="1714"/>
    </row>
    <row r="653" spans="1:58" ht="11.25" customHeight="1">
      <c r="A653" s="1088" t="s">
        <v>1369</v>
      </c>
      <c r="D653" s="1082"/>
      <c r="E653" s="1092"/>
      <c r="F653" s="3895"/>
      <c r="G653" s="3875"/>
      <c r="H653" s="3885" t="s">
        <v>421</v>
      </c>
      <c r="I653" s="3886"/>
      <c r="J653" s="3883"/>
      <c r="K653" s="3887"/>
      <c r="L653" s="3599"/>
      <c r="M653" s="3600"/>
      <c r="N653" s="3878"/>
      <c r="O653" s="3879"/>
      <c r="P653" s="3882"/>
      <c r="Q653" s="3883"/>
      <c r="R653" s="3874"/>
      <c r="S653" s="3884"/>
      <c r="T653" s="3874"/>
      <c r="U653" s="3874"/>
      <c r="V653" s="3874"/>
      <c r="W653" s="3874"/>
      <c r="X653" s="3874"/>
      <c r="Y653" s="3874"/>
      <c r="Z653" s="1097"/>
      <c r="AA653" s="1098"/>
      <c r="AB653" s="1163" t="s">
        <v>1444</v>
      </c>
      <c r="AC653" s="1102"/>
      <c r="AD653" s="1102"/>
      <c r="AE653" s="1104"/>
      <c r="AF653" s="3876"/>
      <c r="AG653" s="3877"/>
      <c r="AH653" s="3877"/>
      <c r="AI653" s="3876"/>
      <c r="AJ653" s="3877"/>
      <c r="AK653" s="3877"/>
      <c r="AL653" s="1874"/>
      <c r="AM653" s="1714"/>
      <c r="AN653" s="1714"/>
      <c r="AO653" s="1714"/>
      <c r="AP653" s="1714"/>
      <c r="AQ653" s="1714"/>
      <c r="AR653" s="1714"/>
      <c r="AS653" s="1714"/>
      <c r="AT653" s="1714"/>
      <c r="AU653" s="1714"/>
      <c r="AV653" s="1714"/>
      <c r="AW653" s="1714"/>
      <c r="AX653" s="1714"/>
      <c r="AY653" s="1714"/>
      <c r="AZ653" s="1714"/>
      <c r="BA653" s="1714"/>
      <c r="BB653" s="1714"/>
      <c r="BC653" s="1714"/>
      <c r="BD653" s="1714"/>
      <c r="BE653" s="1714"/>
      <c r="BF653" s="1714"/>
    </row>
    <row r="654" spans="1:58" ht="11.25" customHeight="1">
      <c r="A654" s="1088" t="s">
        <v>1369</v>
      </c>
      <c r="D654" s="1082"/>
      <c r="E654" s="1092"/>
      <c r="F654" s="3895"/>
      <c r="G654" s="3875"/>
      <c r="H654" s="3885" t="s">
        <v>421</v>
      </c>
      <c r="I654" s="3886"/>
      <c r="J654" s="3883"/>
      <c r="K654" s="3887"/>
      <c r="L654" s="3599"/>
      <c r="M654" s="3600"/>
      <c r="N654" s="1097"/>
      <c r="O654" s="1098"/>
      <c r="P654" s="1090" t="s">
        <v>1445</v>
      </c>
      <c r="Q654" s="1098"/>
      <c r="R654" s="1098"/>
      <c r="S654" s="1098"/>
      <c r="T654" s="1098"/>
      <c r="U654" s="1098"/>
      <c r="V654" s="1098"/>
      <c r="W654" s="1098"/>
      <c r="X654" s="1098"/>
      <c r="Y654" s="1098"/>
      <c r="Z654" s="1098"/>
      <c r="AA654" s="1098"/>
      <c r="AB654" s="1098"/>
      <c r="AC654" s="1098"/>
      <c r="AD654" s="1098"/>
      <c r="AE654" s="1105"/>
      <c r="AF654" s="3876"/>
      <c r="AG654" s="3877"/>
      <c r="AH654" s="3877"/>
      <c r="AI654" s="3876"/>
      <c r="AJ654" s="3877"/>
      <c r="AK654" s="3877"/>
      <c r="AL654" s="1874"/>
      <c r="AM654" s="1714"/>
      <c r="AN654" s="1714"/>
      <c r="AO654" s="1714"/>
      <c r="AP654" s="1714"/>
      <c r="AQ654" s="1714"/>
      <c r="AR654" s="1714"/>
      <c r="AS654" s="1714"/>
      <c r="AT654" s="1714"/>
      <c r="AU654" s="1714"/>
      <c r="AV654" s="1714"/>
      <c r="AW654" s="1714"/>
      <c r="AX654" s="1714"/>
      <c r="AY654" s="1714"/>
      <c r="AZ654" s="1714"/>
      <c r="BA654" s="1714"/>
      <c r="BB654" s="1714"/>
      <c r="BC654" s="1714"/>
      <c r="BD654" s="1714"/>
      <c r="BE654" s="1714"/>
      <c r="BF654" s="1714"/>
    </row>
    <row r="655" spans="1:58" ht="12" customHeight="1">
      <c r="A655" s="1088" t="s">
        <v>1369</v>
      </c>
      <c r="D655" s="1082"/>
      <c r="E655" s="1092"/>
      <c r="F655" s="3896"/>
      <c r="G655" s="1112"/>
      <c r="H655" s="1112"/>
      <c r="I655" s="3893" t="s">
        <v>1451</v>
      </c>
      <c r="J655" s="3893"/>
      <c r="K655" s="3893"/>
      <c r="L655" s="1095"/>
      <c r="M655" s="1095"/>
      <c r="N655" s="1096"/>
      <c r="O655" s="1096"/>
      <c r="P655" s="1096"/>
      <c r="Q655" s="1096"/>
      <c r="R655" s="1096"/>
      <c r="S655" s="1096"/>
      <c r="T655" s="1096"/>
      <c r="U655" s="1096"/>
      <c r="V655" s="1096"/>
      <c r="W655" s="1096"/>
      <c r="X655" s="1096"/>
      <c r="Y655" s="1096"/>
      <c r="Z655" s="1096"/>
      <c r="AA655" s="1096"/>
      <c r="AB655" s="1096"/>
      <c r="AC655" s="1096"/>
      <c r="AD655" s="1096"/>
      <c r="AE655" s="1096"/>
      <c r="AF655" s="1096"/>
      <c r="AG655" s="1095"/>
      <c r="AH655" s="1095"/>
      <c r="AI655" s="1096"/>
      <c r="AJ655" s="1095"/>
      <c r="AK655" s="1096"/>
      <c r="AL655" s="1874"/>
      <c r="AM655" s="1714"/>
      <c r="AN655" s="1714"/>
      <c r="AO655" s="1714"/>
      <c r="AP655" s="1714"/>
      <c r="AQ655" s="1714"/>
      <c r="AR655" s="1714"/>
      <c r="AS655" s="1714"/>
      <c r="AT655" s="1714"/>
      <c r="AU655" s="1714"/>
      <c r="AV655" s="1714"/>
      <c r="AW655" s="1714"/>
      <c r="AX655" s="1714"/>
      <c r="AY655" s="1714"/>
      <c r="AZ655" s="1714"/>
      <c r="BA655" s="1714"/>
      <c r="BB655" s="1714"/>
      <c r="BC655" s="1714"/>
      <c r="BD655" s="1714"/>
      <c r="BE655" s="1714"/>
      <c r="BF655" s="1714"/>
    </row>
    <row r="656" spans="1:58" ht="0.75" customHeight="1">
      <c r="A656" s="1088" t="s">
        <v>1369</v>
      </c>
      <c r="D656" s="1082"/>
      <c r="E656" s="1092"/>
      <c r="F656" s="3894">
        <v>2026</v>
      </c>
      <c r="G656" s="3885"/>
      <c r="H656" s="3898" t="s">
        <v>421</v>
      </c>
      <c r="I656" s="3899"/>
      <c r="J656" s="3891"/>
      <c r="K656" s="3891"/>
      <c r="L656" s="3892"/>
      <c r="M656" s="3743"/>
      <c r="N656" s="1922"/>
      <c r="O656" s="1921"/>
      <c r="P656" s="1922"/>
      <c r="Q656" s="1922"/>
      <c r="R656" s="1922"/>
      <c r="S656" s="1922"/>
      <c r="T656" s="1922"/>
      <c r="U656" s="1922"/>
      <c r="V656" s="1922"/>
      <c r="W656" s="1922"/>
      <c r="X656" s="1922"/>
      <c r="Y656" s="1922"/>
      <c r="Z656" s="1922"/>
      <c r="AA656" s="1922"/>
      <c r="AB656" s="1922"/>
      <c r="AC656" s="1922"/>
      <c r="AD656" s="1922"/>
      <c r="AE656" s="1922"/>
      <c r="AF656" s="3897"/>
      <c r="AG656" s="3892"/>
      <c r="AH656" s="3892"/>
      <c r="AI656" s="3897"/>
      <c r="AJ656" s="3892"/>
      <c r="AK656" s="3892"/>
      <c r="AL656" s="1874"/>
      <c r="AM656" s="1714"/>
      <c r="AN656" s="1714"/>
      <c r="AO656" s="1714"/>
      <c r="AP656" s="1714"/>
      <c r="AQ656" s="1714"/>
      <c r="AR656" s="1714"/>
      <c r="AS656" s="1714"/>
      <c r="AT656" s="1714"/>
      <c r="AU656" s="1714"/>
      <c r="AV656" s="1714"/>
      <c r="AW656" s="1714"/>
      <c r="AX656" s="1714"/>
      <c r="AY656" s="1714"/>
      <c r="AZ656" s="1714"/>
      <c r="BA656" s="1714"/>
      <c r="BB656" s="1714"/>
      <c r="BC656" s="1714"/>
      <c r="BD656" s="1714"/>
      <c r="BE656" s="1714"/>
      <c r="BF656" s="1714"/>
    </row>
    <row r="657" spans="1:58" ht="0.75" customHeight="1">
      <c r="A657" s="1088" t="s">
        <v>1369</v>
      </c>
      <c r="D657" s="1082"/>
      <c r="E657" s="1092"/>
      <c r="F657" s="3894"/>
      <c r="G657" s="3885"/>
      <c r="H657" s="3898"/>
      <c r="I657" s="3899"/>
      <c r="J657" s="3891"/>
      <c r="K657" s="3891"/>
      <c r="L657" s="3892"/>
      <c r="M657" s="3743"/>
      <c r="N657" s="3900"/>
      <c r="O657" s="3901"/>
      <c r="P657" s="3888"/>
      <c r="Q657" s="3891"/>
      <c r="R657" s="3891"/>
      <c r="S657" s="3891"/>
      <c r="T657" s="3891"/>
      <c r="U657" s="3891"/>
      <c r="V657" s="3891"/>
      <c r="W657" s="3891"/>
      <c r="X657" s="3891"/>
      <c r="Y657" s="3891"/>
      <c r="Z657" s="1923"/>
      <c r="AA657" s="1924"/>
      <c r="AB657" s="1924"/>
      <c r="AC657" s="1925"/>
      <c r="AD657" s="1925"/>
      <c r="AE657" s="1926"/>
      <c r="AF657" s="3897"/>
      <c r="AG657" s="3892"/>
      <c r="AH657" s="3892"/>
      <c r="AI657" s="3897"/>
      <c r="AJ657" s="3892"/>
      <c r="AK657" s="3892"/>
      <c r="AL657" s="1874"/>
      <c r="AM657" s="1714"/>
      <c r="AN657" s="1714"/>
      <c r="AO657" s="1714"/>
      <c r="AP657" s="1714"/>
      <c r="AQ657" s="1714"/>
      <c r="AR657" s="1714"/>
      <c r="AS657" s="1714"/>
      <c r="AT657" s="1714"/>
      <c r="AU657" s="1714"/>
      <c r="AV657" s="1714"/>
      <c r="AW657" s="1714"/>
      <c r="AX657" s="1714"/>
      <c r="AY657" s="1714"/>
      <c r="AZ657" s="1714"/>
      <c r="BA657" s="1714"/>
      <c r="BB657" s="1714"/>
      <c r="BC657" s="1714"/>
      <c r="BD657" s="1714"/>
      <c r="BE657" s="1714"/>
      <c r="BF657" s="1714"/>
    </row>
    <row r="658" spans="1:58" ht="0.75" customHeight="1">
      <c r="A658" s="1088" t="s">
        <v>1369</v>
      </c>
      <c r="D658" s="1082"/>
      <c r="E658" s="1092"/>
      <c r="F658" s="3894"/>
      <c r="G658" s="3885"/>
      <c r="H658" s="3898"/>
      <c r="I658" s="3899"/>
      <c r="J658" s="3891"/>
      <c r="K658" s="3891"/>
      <c r="L658" s="3892"/>
      <c r="M658" s="3743"/>
      <c r="N658" s="3900"/>
      <c r="O658" s="3901"/>
      <c r="P658" s="3889"/>
      <c r="Q658" s="3891"/>
      <c r="R658" s="3891"/>
      <c r="S658" s="3891"/>
      <c r="T658" s="3891"/>
      <c r="U658" s="3891"/>
      <c r="V658" s="3891"/>
      <c r="W658" s="3891"/>
      <c r="X658" s="3891"/>
      <c r="Y658" s="3891"/>
      <c r="Z658" s="1927"/>
      <c r="AA658" s="1928"/>
      <c r="AB658" s="1929"/>
      <c r="AC658" s="1930"/>
      <c r="AD658" s="1929"/>
      <c r="AE658" s="1930"/>
      <c r="AF658" s="3897"/>
      <c r="AG658" s="3892"/>
      <c r="AH658" s="3892"/>
      <c r="AI658" s="3897"/>
      <c r="AJ658" s="3892"/>
      <c r="AK658" s="3892"/>
      <c r="AL658" s="1874"/>
      <c r="AM658" s="1714"/>
      <c r="AN658" s="1714"/>
      <c r="AO658" s="1714"/>
      <c r="AP658" s="1714"/>
      <c r="AQ658" s="1714"/>
      <c r="AR658" s="1714"/>
      <c r="AS658" s="1714"/>
      <c r="AT658" s="1714"/>
      <c r="AU658" s="1714"/>
      <c r="AV658" s="1714"/>
      <c r="AW658" s="1714"/>
      <c r="AX658" s="1714"/>
      <c r="AY658" s="1714"/>
      <c r="AZ658" s="1714"/>
      <c r="BA658" s="1714"/>
      <c r="BB658" s="1714"/>
      <c r="BC658" s="1714"/>
      <c r="BD658" s="1714"/>
      <c r="BE658" s="1714"/>
      <c r="BF658" s="1714"/>
    </row>
    <row r="659" spans="1:58" ht="0.75" customHeight="1">
      <c r="A659" s="1088" t="s">
        <v>1369</v>
      </c>
      <c r="D659" s="1082"/>
      <c r="E659" s="1092"/>
      <c r="F659" s="3894"/>
      <c r="G659" s="3885"/>
      <c r="H659" s="3898"/>
      <c r="I659" s="3899"/>
      <c r="J659" s="3891"/>
      <c r="K659" s="3891"/>
      <c r="L659" s="3892"/>
      <c r="M659" s="3743"/>
      <c r="N659" s="3900"/>
      <c r="O659" s="3901"/>
      <c r="P659" s="3890"/>
      <c r="Q659" s="3891"/>
      <c r="R659" s="3891"/>
      <c r="S659" s="3891"/>
      <c r="T659" s="3891"/>
      <c r="U659" s="3891"/>
      <c r="V659" s="3891"/>
      <c r="W659" s="3891"/>
      <c r="X659" s="3891"/>
      <c r="Y659" s="3891"/>
      <c r="Z659" s="1923"/>
      <c r="AA659" s="1924"/>
      <c r="AB659" s="1931"/>
      <c r="AC659" s="1925"/>
      <c r="AD659" s="1925"/>
      <c r="AE659" s="1932"/>
      <c r="AF659" s="3897"/>
      <c r="AG659" s="3892"/>
      <c r="AH659" s="3892"/>
      <c r="AI659" s="3897"/>
      <c r="AJ659" s="3892"/>
      <c r="AK659" s="3892"/>
      <c r="AL659" s="1874"/>
      <c r="AM659" s="1714"/>
      <c r="AN659" s="1714"/>
      <c r="AO659" s="1714"/>
      <c r="AP659" s="1714"/>
      <c r="AQ659" s="1714"/>
      <c r="AR659" s="1714"/>
      <c r="AS659" s="1714"/>
      <c r="AT659" s="1714"/>
      <c r="AU659" s="1714"/>
      <c r="AV659" s="1714"/>
      <c r="AW659" s="1714"/>
      <c r="AX659" s="1714"/>
      <c r="AY659" s="1714"/>
      <c r="AZ659" s="1714"/>
      <c r="BA659" s="1714"/>
      <c r="BB659" s="1714"/>
      <c r="BC659" s="1714"/>
      <c r="BD659" s="1714"/>
      <c r="BE659" s="1714"/>
      <c r="BF659" s="1714"/>
    </row>
    <row r="660" spans="1:58" ht="0.75" customHeight="1">
      <c r="A660" s="1088" t="s">
        <v>1369</v>
      </c>
      <c r="D660" s="1082"/>
      <c r="E660" s="1092"/>
      <c r="F660" s="3894"/>
      <c r="G660" s="3885"/>
      <c r="H660" s="3898"/>
      <c r="I660" s="3899"/>
      <c r="J660" s="3891"/>
      <c r="K660" s="3891"/>
      <c r="L660" s="3892"/>
      <c r="M660" s="3743"/>
      <c r="N660" s="1924"/>
      <c r="O660" s="1924"/>
      <c r="P660" s="1931"/>
      <c r="Q660" s="1924"/>
      <c r="R660" s="1924"/>
      <c r="S660" s="1924"/>
      <c r="T660" s="1924"/>
      <c r="U660" s="1924"/>
      <c r="V660" s="1924"/>
      <c r="W660" s="1924"/>
      <c r="X660" s="1924"/>
      <c r="Y660" s="1924"/>
      <c r="Z660" s="1924"/>
      <c r="AA660" s="1924"/>
      <c r="AB660" s="1924"/>
      <c r="AC660" s="1924"/>
      <c r="AD660" s="1924"/>
      <c r="AE660" s="1933"/>
      <c r="AF660" s="3897"/>
      <c r="AG660" s="3892"/>
      <c r="AH660" s="3892"/>
      <c r="AI660" s="3897"/>
      <c r="AJ660" s="3892"/>
      <c r="AK660" s="3892"/>
      <c r="AL660" s="1874"/>
      <c r="AM660" s="1714"/>
      <c r="AN660" s="1714"/>
      <c r="AO660" s="1714"/>
      <c r="AP660" s="1714"/>
      <c r="AQ660" s="1714"/>
      <c r="AR660" s="1714"/>
      <c r="AS660" s="1714"/>
      <c r="AT660" s="1714"/>
      <c r="AU660" s="1714"/>
      <c r="AV660" s="1714"/>
      <c r="AW660" s="1714"/>
      <c r="AX660" s="1714"/>
      <c r="AY660" s="1714"/>
      <c r="AZ660" s="1714"/>
      <c r="BA660" s="1714"/>
      <c r="BB660" s="1714"/>
      <c r="BC660" s="1714"/>
      <c r="BD660" s="1714"/>
      <c r="BE660" s="1714"/>
      <c r="BF660" s="1714"/>
    </row>
    <row r="661" spans="1:58" ht="11.25" customHeight="1">
      <c r="A661" s="1088" t="s">
        <v>1369</v>
      </c>
      <c r="D661" s="1082"/>
      <c r="E661" s="1092"/>
      <c r="F661" s="3895"/>
      <c r="G661" s="3853" t="s">
        <v>90</v>
      </c>
      <c r="H661" s="3885" t="s">
        <v>164</v>
      </c>
      <c r="I661" s="3886"/>
      <c r="J661" s="3883"/>
      <c r="K661" s="3887" t="s">
        <v>1499</v>
      </c>
      <c r="L661" s="3599" t="s">
        <v>6</v>
      </c>
      <c r="M661" s="3600"/>
      <c r="N661" s="1872"/>
      <c r="O661" s="1099" t="s">
        <v>421</v>
      </c>
      <c r="P661" s="1100"/>
      <c r="Q661" s="1100"/>
      <c r="R661" s="1100"/>
      <c r="S661" s="1100"/>
      <c r="T661" s="1100"/>
      <c r="U661" s="1100"/>
      <c r="V661" s="1100"/>
      <c r="W661" s="1100"/>
      <c r="X661" s="1100"/>
      <c r="Y661" s="1100"/>
      <c r="Z661" s="1100"/>
      <c r="AA661" s="1100"/>
      <c r="AB661" s="1100"/>
      <c r="AC661" s="1100"/>
      <c r="AD661" s="1100"/>
      <c r="AE661" s="1100"/>
      <c r="AF661" s="3876">
        <v>2026</v>
      </c>
      <c r="AG661" s="3877" t="s">
        <v>1447</v>
      </c>
      <c r="AH661" s="3877" t="s">
        <v>1455</v>
      </c>
      <c r="AI661" s="3876">
        <v>2026</v>
      </c>
      <c r="AJ661" s="3877" t="s">
        <v>1447</v>
      </c>
      <c r="AK661" s="3877" t="s">
        <v>1455</v>
      </c>
      <c r="AL661" s="1874"/>
      <c r="AM661" s="1714"/>
      <c r="AN661" s="1714"/>
      <c r="AO661" s="1714"/>
      <c r="AP661" s="1714"/>
      <c r="AQ661" s="1714"/>
      <c r="AR661" s="1714"/>
      <c r="AS661" s="1714"/>
      <c r="AT661" s="1714"/>
      <c r="AU661" s="1714"/>
      <c r="AV661" s="1714"/>
      <c r="AW661" s="1714"/>
      <c r="AX661" s="1714"/>
      <c r="AY661" s="1714"/>
      <c r="AZ661" s="1714"/>
      <c r="BA661" s="1714"/>
      <c r="BB661" s="1714"/>
      <c r="BC661" s="1714"/>
      <c r="BD661" s="1714"/>
      <c r="BE661" s="1714"/>
      <c r="BF661" s="1714"/>
    </row>
    <row r="662" spans="1:58" ht="11.25" customHeight="1">
      <c r="A662" s="1088" t="s">
        <v>1369</v>
      </c>
      <c r="D662" s="1082"/>
      <c r="E662" s="1092"/>
      <c r="F662" s="3895"/>
      <c r="G662" s="3875"/>
      <c r="H662" s="3885" t="s">
        <v>421</v>
      </c>
      <c r="I662" s="3886"/>
      <c r="J662" s="3883"/>
      <c r="K662" s="3887"/>
      <c r="L662" s="3599"/>
      <c r="M662" s="3600"/>
      <c r="N662" s="3878"/>
      <c r="O662" s="3879">
        <v>1</v>
      </c>
      <c r="P662" s="3880" t="s">
        <v>50</v>
      </c>
      <c r="Q662" s="3883" t="s">
        <v>1500</v>
      </c>
      <c r="R662" s="3884" t="s">
        <v>1438</v>
      </c>
      <c r="S662" s="3884" t="s">
        <v>155</v>
      </c>
      <c r="T662" s="3884" t="s">
        <v>155</v>
      </c>
      <c r="U662" s="3884" t="s">
        <v>156</v>
      </c>
      <c r="V662" s="3884" t="s">
        <v>1501</v>
      </c>
      <c r="W662" s="3884" t="s">
        <v>1502</v>
      </c>
      <c r="X662" s="3884" t="s">
        <v>1503</v>
      </c>
      <c r="Y662" s="3884" t="s">
        <v>1504</v>
      </c>
      <c r="Z662" s="1097"/>
      <c r="AA662" s="1098"/>
      <c r="AB662" s="1098"/>
      <c r="AC662" s="1102"/>
      <c r="AD662" s="1102"/>
      <c r="AE662" s="1103"/>
      <c r="AF662" s="3876"/>
      <c r="AG662" s="3877"/>
      <c r="AH662" s="3877"/>
      <c r="AI662" s="3876"/>
      <c r="AJ662" s="3877"/>
      <c r="AK662" s="3877"/>
      <c r="AL662" s="1874"/>
      <c r="AM662" s="1714"/>
      <c r="AN662" s="1714"/>
      <c r="AO662" s="1714"/>
      <c r="AP662" s="1714"/>
      <c r="AQ662" s="1714"/>
      <c r="AR662" s="1714"/>
      <c r="AS662" s="1714"/>
      <c r="AT662" s="1714"/>
      <c r="AU662" s="1714"/>
      <c r="AV662" s="1714"/>
      <c r="AW662" s="1714"/>
      <c r="AX662" s="1714"/>
      <c r="AY662" s="1714"/>
      <c r="AZ662" s="1714"/>
      <c r="BA662" s="1714"/>
      <c r="BB662" s="1714"/>
      <c r="BC662" s="1714"/>
      <c r="BD662" s="1714"/>
      <c r="BE662" s="1714"/>
      <c r="BF662" s="1714"/>
    </row>
    <row r="663" spans="1:58" ht="11.25" customHeight="1">
      <c r="A663" s="1088" t="s">
        <v>1369</v>
      </c>
      <c r="D663" s="1082"/>
      <c r="E663" s="1092"/>
      <c r="F663" s="3895"/>
      <c r="G663" s="3875"/>
      <c r="H663" s="3885" t="s">
        <v>421</v>
      </c>
      <c r="I663" s="3886"/>
      <c r="J663" s="3883"/>
      <c r="K663" s="3887"/>
      <c r="L663" s="3599"/>
      <c r="M663" s="3600"/>
      <c r="N663" s="3878"/>
      <c r="O663" s="3879"/>
      <c r="P663" s="3881"/>
      <c r="Q663" s="3883"/>
      <c r="R663" s="3874"/>
      <c r="S663" s="3884"/>
      <c r="T663" s="3874"/>
      <c r="U663" s="3874"/>
      <c r="V663" s="3874"/>
      <c r="W663" s="3874"/>
      <c r="X663" s="3874"/>
      <c r="Y663" s="3874"/>
      <c r="Z663" s="1719"/>
      <c r="AA663" s="1686">
        <v>1</v>
      </c>
      <c r="AB663" s="1101" t="s">
        <v>1443</v>
      </c>
      <c r="AC663" s="1091">
        <v>4855.88</v>
      </c>
      <c r="AD663" s="1101" t="str">
        <f>AB663</f>
        <v xml:space="preserve">  Прибыль направляемая на инвестиции</v>
      </c>
      <c r="AE663" s="1091">
        <v>0</v>
      </c>
      <c r="AF663" s="3876"/>
      <c r="AG663" s="3877"/>
      <c r="AH663" s="3877"/>
      <c r="AI663" s="3876"/>
      <c r="AJ663" s="3877"/>
      <c r="AK663" s="3877"/>
      <c r="AL663" s="1874"/>
      <c r="AM663" s="1714"/>
      <c r="AN663" s="1714"/>
      <c r="AO663" s="1714"/>
      <c r="AP663" s="1714"/>
      <c r="AQ663" s="1714"/>
      <c r="AR663" s="1714"/>
      <c r="AS663" s="1714"/>
      <c r="AT663" s="1714"/>
      <c r="AU663" s="1714"/>
      <c r="AV663" s="1714"/>
      <c r="AW663" s="1714"/>
      <c r="AX663" s="1714"/>
      <c r="AY663" s="1714"/>
      <c r="AZ663" s="1714"/>
      <c r="BA663" s="1714"/>
      <c r="BB663" s="1714"/>
      <c r="BC663" s="1714"/>
      <c r="BD663" s="1714"/>
      <c r="BE663" s="1714"/>
      <c r="BF663" s="1714"/>
    </row>
    <row r="664" spans="1:58" ht="11.25" customHeight="1">
      <c r="A664" s="1088" t="s">
        <v>1369</v>
      </c>
      <c r="D664" s="1082"/>
      <c r="E664" s="1092"/>
      <c r="F664" s="3895"/>
      <c r="G664" s="3875"/>
      <c r="H664" s="3885" t="s">
        <v>421</v>
      </c>
      <c r="I664" s="3886"/>
      <c r="J664" s="3883"/>
      <c r="K664" s="3887"/>
      <c r="L664" s="3599"/>
      <c r="M664" s="3600"/>
      <c r="N664" s="3878"/>
      <c r="O664" s="3879"/>
      <c r="P664" s="3882"/>
      <c r="Q664" s="3883"/>
      <c r="R664" s="3874"/>
      <c r="S664" s="3884"/>
      <c r="T664" s="3874"/>
      <c r="U664" s="3874"/>
      <c r="V664" s="3874"/>
      <c r="W664" s="3874"/>
      <c r="X664" s="3874"/>
      <c r="Y664" s="3874"/>
      <c r="Z664" s="1097"/>
      <c r="AA664" s="1098"/>
      <c r="AB664" s="1163" t="s">
        <v>1444</v>
      </c>
      <c r="AC664" s="1102"/>
      <c r="AD664" s="1102"/>
      <c r="AE664" s="1104"/>
      <c r="AF664" s="3876"/>
      <c r="AG664" s="3877"/>
      <c r="AH664" s="3877"/>
      <c r="AI664" s="3876"/>
      <c r="AJ664" s="3877"/>
      <c r="AK664" s="3877"/>
      <c r="AL664" s="1874"/>
      <c r="AM664" s="1714"/>
      <c r="AN664" s="1714"/>
      <c r="AO664" s="1714"/>
      <c r="AP664" s="1714"/>
      <c r="AQ664" s="1714"/>
      <c r="AR664" s="1714"/>
      <c r="AS664" s="1714"/>
      <c r="AT664" s="1714"/>
      <c r="AU664" s="1714"/>
      <c r="AV664" s="1714"/>
      <c r="AW664" s="1714"/>
      <c r="AX664" s="1714"/>
      <c r="AY664" s="1714"/>
      <c r="AZ664" s="1714"/>
      <c r="BA664" s="1714"/>
      <c r="BB664" s="1714"/>
      <c r="BC664" s="1714"/>
      <c r="BD664" s="1714"/>
      <c r="BE664" s="1714"/>
      <c r="BF664" s="1714"/>
    </row>
    <row r="665" spans="1:58" ht="11.25" customHeight="1">
      <c r="A665" s="1088" t="s">
        <v>1369</v>
      </c>
      <c r="D665" s="1082"/>
      <c r="E665" s="1092"/>
      <c r="F665" s="3895"/>
      <c r="G665" s="3875"/>
      <c r="H665" s="3885" t="s">
        <v>421</v>
      </c>
      <c r="I665" s="3886"/>
      <c r="J665" s="3883"/>
      <c r="K665" s="3887"/>
      <c r="L665" s="3599"/>
      <c r="M665" s="3600"/>
      <c r="N665" s="1097"/>
      <c r="O665" s="1098"/>
      <c r="P665" s="1090" t="s">
        <v>1445</v>
      </c>
      <c r="Q665" s="1098"/>
      <c r="R665" s="1098"/>
      <c r="S665" s="1098"/>
      <c r="T665" s="1098"/>
      <c r="U665" s="1098"/>
      <c r="V665" s="1098"/>
      <c r="W665" s="1098"/>
      <c r="X665" s="1098"/>
      <c r="Y665" s="1098"/>
      <c r="Z665" s="1098"/>
      <c r="AA665" s="1098"/>
      <c r="AB665" s="1098"/>
      <c r="AC665" s="1098"/>
      <c r="AD665" s="1098"/>
      <c r="AE665" s="1105"/>
      <c r="AF665" s="3876"/>
      <c r="AG665" s="3877"/>
      <c r="AH665" s="3877"/>
      <c r="AI665" s="3876"/>
      <c r="AJ665" s="3877"/>
      <c r="AK665" s="3877"/>
      <c r="AL665" s="1874"/>
      <c r="AM665" s="1714"/>
      <c r="AN665" s="1714"/>
      <c r="AO665" s="1714"/>
      <c r="AP665" s="1714"/>
      <c r="AQ665" s="1714"/>
      <c r="AR665" s="1714"/>
      <c r="AS665" s="1714"/>
      <c r="AT665" s="1714"/>
      <c r="AU665" s="1714"/>
      <c r="AV665" s="1714"/>
      <c r="AW665" s="1714"/>
      <c r="AX665" s="1714"/>
      <c r="AY665" s="1714"/>
      <c r="AZ665" s="1714"/>
      <c r="BA665" s="1714"/>
      <c r="BB665" s="1714"/>
      <c r="BC665" s="1714"/>
      <c r="BD665" s="1714"/>
      <c r="BE665" s="1714"/>
      <c r="BF665" s="1714"/>
    </row>
    <row r="666" spans="1:58" ht="12" customHeight="1">
      <c r="A666" s="1088" t="s">
        <v>1369</v>
      </c>
      <c r="D666" s="1082"/>
      <c r="E666" s="1092"/>
      <c r="F666" s="3896"/>
      <c r="G666" s="1112"/>
      <c r="H666" s="1112"/>
      <c r="I666" s="3893" t="s">
        <v>1451</v>
      </c>
      <c r="J666" s="3893"/>
      <c r="K666" s="3893"/>
      <c r="L666" s="1095"/>
      <c r="M666" s="1095"/>
      <c r="N666" s="1096"/>
      <c r="O666" s="1096"/>
      <c r="P666" s="1096"/>
      <c r="Q666" s="1096"/>
      <c r="R666" s="1096"/>
      <c r="S666" s="1096"/>
      <c r="T666" s="1096"/>
      <c r="U666" s="1096"/>
      <c r="V666" s="1096"/>
      <c r="W666" s="1096"/>
      <c r="X666" s="1096"/>
      <c r="Y666" s="1096"/>
      <c r="Z666" s="1096"/>
      <c r="AA666" s="1096"/>
      <c r="AB666" s="1096"/>
      <c r="AC666" s="1096"/>
      <c r="AD666" s="1096"/>
      <c r="AE666" s="1096"/>
      <c r="AF666" s="1096"/>
      <c r="AG666" s="1095"/>
      <c r="AH666" s="1095"/>
      <c r="AI666" s="1096"/>
      <c r="AJ666" s="1095"/>
      <c r="AK666" s="1096"/>
      <c r="AL666" s="1874"/>
      <c r="AM666" s="1714"/>
      <c r="AN666" s="1714"/>
      <c r="AO666" s="1714"/>
      <c r="AP666" s="1714"/>
      <c r="AQ666" s="1714"/>
      <c r="AR666" s="1714"/>
      <c r="AS666" s="1714"/>
      <c r="AT666" s="1714"/>
      <c r="AU666" s="1714"/>
      <c r="AV666" s="1714"/>
      <c r="AW666" s="1714"/>
      <c r="AX666" s="1714"/>
      <c r="AY666" s="1714"/>
      <c r="AZ666" s="1714"/>
      <c r="BA666" s="1714"/>
      <c r="BB666" s="1714"/>
      <c r="BC666" s="1714"/>
      <c r="BD666" s="1714"/>
      <c r="BE666" s="1714"/>
      <c r="BF666" s="1714"/>
    </row>
    <row r="667" spans="1:58" ht="0.75" customHeight="1">
      <c r="A667" s="1088" t="s">
        <v>1369</v>
      </c>
      <c r="D667" s="1082"/>
      <c r="E667" s="1092"/>
      <c r="F667" s="3894">
        <v>2027</v>
      </c>
      <c r="G667" s="3885"/>
      <c r="H667" s="3898" t="s">
        <v>421</v>
      </c>
      <c r="I667" s="3899"/>
      <c r="J667" s="3891"/>
      <c r="K667" s="3891"/>
      <c r="L667" s="3892"/>
      <c r="M667" s="3743"/>
      <c r="N667" s="1922"/>
      <c r="O667" s="1921"/>
      <c r="P667" s="1922"/>
      <c r="Q667" s="1922"/>
      <c r="R667" s="1922"/>
      <c r="S667" s="1922"/>
      <c r="T667" s="1922"/>
      <c r="U667" s="1922"/>
      <c r="V667" s="1922"/>
      <c r="W667" s="1922"/>
      <c r="X667" s="1922"/>
      <c r="Y667" s="1922"/>
      <c r="Z667" s="1922"/>
      <c r="AA667" s="1922"/>
      <c r="AB667" s="1922"/>
      <c r="AC667" s="1922"/>
      <c r="AD667" s="1922"/>
      <c r="AE667" s="1922"/>
      <c r="AF667" s="3897"/>
      <c r="AG667" s="3892"/>
      <c r="AH667" s="3892"/>
      <c r="AI667" s="3897"/>
      <c r="AJ667" s="3892"/>
      <c r="AK667" s="3892"/>
      <c r="AL667" s="1874"/>
      <c r="AM667" s="1714"/>
      <c r="AN667" s="1714"/>
      <c r="AO667" s="1714"/>
      <c r="AP667" s="1714"/>
      <c r="AQ667" s="1714"/>
      <c r="AR667" s="1714"/>
      <c r="AS667" s="1714"/>
      <c r="AT667" s="1714"/>
      <c r="AU667" s="1714"/>
      <c r="AV667" s="1714"/>
      <c r="AW667" s="1714"/>
      <c r="AX667" s="1714"/>
      <c r="AY667" s="1714"/>
      <c r="AZ667" s="1714"/>
      <c r="BA667" s="1714"/>
      <c r="BB667" s="1714"/>
      <c r="BC667" s="1714"/>
      <c r="BD667" s="1714"/>
      <c r="BE667" s="1714"/>
      <c r="BF667" s="1714"/>
    </row>
    <row r="668" spans="1:58" ht="0.75" customHeight="1">
      <c r="A668" s="1088" t="s">
        <v>1369</v>
      </c>
      <c r="D668" s="1082"/>
      <c r="E668" s="1092"/>
      <c r="F668" s="3894"/>
      <c r="G668" s="3885"/>
      <c r="H668" s="3898"/>
      <c r="I668" s="3899"/>
      <c r="J668" s="3891"/>
      <c r="K668" s="3891"/>
      <c r="L668" s="3892"/>
      <c r="M668" s="3743"/>
      <c r="N668" s="3900"/>
      <c r="O668" s="3901"/>
      <c r="P668" s="3888"/>
      <c r="Q668" s="3891"/>
      <c r="R668" s="3891"/>
      <c r="S668" s="3891"/>
      <c r="T668" s="3891"/>
      <c r="U668" s="3891"/>
      <c r="V668" s="3891"/>
      <c r="W668" s="3891"/>
      <c r="X668" s="3891"/>
      <c r="Y668" s="3891"/>
      <c r="Z668" s="1923"/>
      <c r="AA668" s="1924"/>
      <c r="AB668" s="1924"/>
      <c r="AC668" s="1925"/>
      <c r="AD668" s="1925"/>
      <c r="AE668" s="1926"/>
      <c r="AF668" s="3897"/>
      <c r="AG668" s="3892"/>
      <c r="AH668" s="3892"/>
      <c r="AI668" s="3897"/>
      <c r="AJ668" s="3892"/>
      <c r="AK668" s="3892"/>
      <c r="AL668" s="1874"/>
      <c r="AM668" s="1714"/>
      <c r="AN668" s="1714"/>
      <c r="AO668" s="1714"/>
      <c r="AP668" s="1714"/>
      <c r="AQ668" s="1714"/>
      <c r="AR668" s="1714"/>
      <c r="AS668" s="1714"/>
      <c r="AT668" s="1714"/>
      <c r="AU668" s="1714"/>
      <c r="AV668" s="1714"/>
      <c r="AW668" s="1714"/>
      <c r="AX668" s="1714"/>
      <c r="AY668" s="1714"/>
      <c r="AZ668" s="1714"/>
      <c r="BA668" s="1714"/>
      <c r="BB668" s="1714"/>
      <c r="BC668" s="1714"/>
      <c r="BD668" s="1714"/>
      <c r="BE668" s="1714"/>
      <c r="BF668" s="1714"/>
    </row>
    <row r="669" spans="1:58" ht="0.75" customHeight="1">
      <c r="A669" s="1088" t="s">
        <v>1369</v>
      </c>
      <c r="D669" s="1082"/>
      <c r="E669" s="1092"/>
      <c r="F669" s="3894"/>
      <c r="G669" s="3885"/>
      <c r="H669" s="3898"/>
      <c r="I669" s="3899"/>
      <c r="J669" s="3891"/>
      <c r="K669" s="3891"/>
      <c r="L669" s="3892"/>
      <c r="M669" s="3743"/>
      <c r="N669" s="3900"/>
      <c r="O669" s="3901"/>
      <c r="P669" s="3889"/>
      <c r="Q669" s="3891"/>
      <c r="R669" s="3891"/>
      <c r="S669" s="3891"/>
      <c r="T669" s="3891"/>
      <c r="U669" s="3891"/>
      <c r="V669" s="3891"/>
      <c r="W669" s="3891"/>
      <c r="X669" s="3891"/>
      <c r="Y669" s="3891"/>
      <c r="Z669" s="1927"/>
      <c r="AA669" s="1928"/>
      <c r="AB669" s="1929"/>
      <c r="AC669" s="1930"/>
      <c r="AD669" s="1929"/>
      <c r="AE669" s="1930"/>
      <c r="AF669" s="3897"/>
      <c r="AG669" s="3892"/>
      <c r="AH669" s="3892"/>
      <c r="AI669" s="3897"/>
      <c r="AJ669" s="3892"/>
      <c r="AK669" s="3892"/>
      <c r="AL669" s="1874"/>
      <c r="AM669" s="1714"/>
      <c r="AN669" s="1714"/>
      <c r="AO669" s="1714"/>
      <c r="AP669" s="1714"/>
      <c r="AQ669" s="1714"/>
      <c r="AR669" s="1714"/>
      <c r="AS669" s="1714"/>
      <c r="AT669" s="1714"/>
      <c r="AU669" s="1714"/>
      <c r="AV669" s="1714"/>
      <c r="AW669" s="1714"/>
      <c r="AX669" s="1714"/>
      <c r="AY669" s="1714"/>
      <c r="AZ669" s="1714"/>
      <c r="BA669" s="1714"/>
      <c r="BB669" s="1714"/>
      <c r="BC669" s="1714"/>
      <c r="BD669" s="1714"/>
      <c r="BE669" s="1714"/>
      <c r="BF669" s="1714"/>
    </row>
    <row r="670" spans="1:58" ht="0.75" customHeight="1">
      <c r="A670" s="1088" t="s">
        <v>1369</v>
      </c>
      <c r="D670" s="1082"/>
      <c r="E670" s="1092"/>
      <c r="F670" s="3894"/>
      <c r="G670" s="3885"/>
      <c r="H670" s="3898"/>
      <c r="I670" s="3899"/>
      <c r="J670" s="3891"/>
      <c r="K670" s="3891"/>
      <c r="L670" s="3892"/>
      <c r="M670" s="3743"/>
      <c r="N670" s="3900"/>
      <c r="O670" s="3901"/>
      <c r="P670" s="3890"/>
      <c r="Q670" s="3891"/>
      <c r="R670" s="3891"/>
      <c r="S670" s="3891"/>
      <c r="T670" s="3891"/>
      <c r="U670" s="3891"/>
      <c r="V670" s="3891"/>
      <c r="W670" s="3891"/>
      <c r="X670" s="3891"/>
      <c r="Y670" s="3891"/>
      <c r="Z670" s="1923"/>
      <c r="AA670" s="1924"/>
      <c r="AB670" s="1931"/>
      <c r="AC670" s="1925"/>
      <c r="AD670" s="1925"/>
      <c r="AE670" s="1932"/>
      <c r="AF670" s="3897"/>
      <c r="AG670" s="3892"/>
      <c r="AH670" s="3892"/>
      <c r="AI670" s="3897"/>
      <c r="AJ670" s="3892"/>
      <c r="AK670" s="3892"/>
      <c r="AL670" s="1874"/>
      <c r="AM670" s="1714"/>
      <c r="AN670" s="1714"/>
      <c r="AO670" s="1714"/>
      <c r="AP670" s="1714"/>
      <c r="AQ670" s="1714"/>
      <c r="AR670" s="1714"/>
      <c r="AS670" s="1714"/>
      <c r="AT670" s="1714"/>
      <c r="AU670" s="1714"/>
      <c r="AV670" s="1714"/>
      <c r="AW670" s="1714"/>
      <c r="AX670" s="1714"/>
      <c r="AY670" s="1714"/>
      <c r="AZ670" s="1714"/>
      <c r="BA670" s="1714"/>
      <c r="BB670" s="1714"/>
      <c r="BC670" s="1714"/>
      <c r="BD670" s="1714"/>
      <c r="BE670" s="1714"/>
      <c r="BF670" s="1714"/>
    </row>
    <row r="671" spans="1:58" ht="0.75" customHeight="1">
      <c r="A671" s="1088" t="s">
        <v>1369</v>
      </c>
      <c r="D671" s="1082"/>
      <c r="E671" s="1092"/>
      <c r="F671" s="3894"/>
      <c r="G671" s="3885"/>
      <c r="H671" s="3898"/>
      <c r="I671" s="3899"/>
      <c r="J671" s="3891"/>
      <c r="K671" s="3891"/>
      <c r="L671" s="3892"/>
      <c r="M671" s="3743"/>
      <c r="N671" s="1924"/>
      <c r="O671" s="1924"/>
      <c r="P671" s="1931"/>
      <c r="Q671" s="1924"/>
      <c r="R671" s="1924"/>
      <c r="S671" s="1924"/>
      <c r="T671" s="1924"/>
      <c r="U671" s="1924"/>
      <c r="V671" s="1924"/>
      <c r="W671" s="1924"/>
      <c r="X671" s="1924"/>
      <c r="Y671" s="1924"/>
      <c r="Z671" s="1924"/>
      <c r="AA671" s="1924"/>
      <c r="AB671" s="1924"/>
      <c r="AC671" s="1924"/>
      <c r="AD671" s="1924"/>
      <c r="AE671" s="1933"/>
      <c r="AF671" s="3897"/>
      <c r="AG671" s="3892"/>
      <c r="AH671" s="3892"/>
      <c r="AI671" s="3897"/>
      <c r="AJ671" s="3892"/>
      <c r="AK671" s="3892"/>
      <c r="AL671" s="1874"/>
      <c r="AM671" s="1714"/>
      <c r="AN671" s="1714"/>
      <c r="AO671" s="1714"/>
      <c r="AP671" s="1714"/>
      <c r="AQ671" s="1714"/>
      <c r="AR671" s="1714"/>
      <c r="AS671" s="1714"/>
      <c r="AT671" s="1714"/>
      <c r="AU671" s="1714"/>
      <c r="AV671" s="1714"/>
      <c r="AW671" s="1714"/>
      <c r="AX671" s="1714"/>
      <c r="AY671" s="1714"/>
      <c r="AZ671" s="1714"/>
      <c r="BA671" s="1714"/>
      <c r="BB671" s="1714"/>
      <c r="BC671" s="1714"/>
      <c r="BD671" s="1714"/>
      <c r="BE671" s="1714"/>
      <c r="BF671" s="1714"/>
    </row>
    <row r="672" spans="1:58" ht="11.25" customHeight="1">
      <c r="A672" s="1088" t="s">
        <v>1369</v>
      </c>
      <c r="D672" s="1082"/>
      <c r="E672" s="1092"/>
      <c r="F672" s="3895"/>
      <c r="G672" s="3853" t="s">
        <v>90</v>
      </c>
      <c r="H672" s="3885" t="s">
        <v>164</v>
      </c>
      <c r="I672" s="3886"/>
      <c r="J672" s="3883"/>
      <c r="K672" s="3887" t="s">
        <v>1499</v>
      </c>
      <c r="L672" s="3599" t="s">
        <v>6</v>
      </c>
      <c r="M672" s="3600"/>
      <c r="N672" s="1872"/>
      <c r="O672" s="1099" t="s">
        <v>421</v>
      </c>
      <c r="P672" s="1100"/>
      <c r="Q672" s="1100"/>
      <c r="R672" s="1100"/>
      <c r="S672" s="1100"/>
      <c r="T672" s="1100"/>
      <c r="U672" s="1100"/>
      <c r="V672" s="1100"/>
      <c r="W672" s="1100"/>
      <c r="X672" s="1100"/>
      <c r="Y672" s="1100"/>
      <c r="Z672" s="1100"/>
      <c r="AA672" s="1100"/>
      <c r="AB672" s="1100"/>
      <c r="AC672" s="1100"/>
      <c r="AD672" s="1100"/>
      <c r="AE672" s="1100"/>
      <c r="AF672" s="3876">
        <v>2026</v>
      </c>
      <c r="AG672" s="3877" t="s">
        <v>1447</v>
      </c>
      <c r="AH672" s="3877" t="s">
        <v>1455</v>
      </c>
      <c r="AI672" s="3876">
        <v>2026</v>
      </c>
      <c r="AJ672" s="3877" t="s">
        <v>1447</v>
      </c>
      <c r="AK672" s="3877" t="s">
        <v>1455</v>
      </c>
      <c r="AL672" s="1874"/>
      <c r="AM672" s="1714"/>
      <c r="AN672" s="1714"/>
      <c r="AO672" s="1714"/>
      <c r="AP672" s="1714"/>
      <c r="AQ672" s="1714"/>
      <c r="AR672" s="1714"/>
      <c r="AS672" s="1714"/>
      <c r="AT672" s="1714"/>
      <c r="AU672" s="1714"/>
      <c r="AV672" s="1714"/>
      <c r="AW672" s="1714"/>
      <c r="AX672" s="1714"/>
      <c r="AY672" s="1714"/>
      <c r="AZ672" s="1714"/>
      <c r="BA672" s="1714"/>
      <c r="BB672" s="1714"/>
      <c r="BC672" s="1714"/>
      <c r="BD672" s="1714"/>
      <c r="BE672" s="1714"/>
      <c r="BF672" s="1714"/>
    </row>
    <row r="673" spans="1:58" ht="11.25" customHeight="1">
      <c r="A673" s="1088" t="s">
        <v>1369</v>
      </c>
      <c r="D673" s="1082"/>
      <c r="E673" s="1092"/>
      <c r="F673" s="3895"/>
      <c r="G673" s="3875"/>
      <c r="H673" s="3885" t="s">
        <v>421</v>
      </c>
      <c r="I673" s="3886"/>
      <c r="J673" s="3883"/>
      <c r="K673" s="3887"/>
      <c r="L673" s="3599"/>
      <c r="M673" s="3600"/>
      <c r="N673" s="3878"/>
      <c r="O673" s="3879">
        <v>1</v>
      </c>
      <c r="P673" s="3880" t="s">
        <v>50</v>
      </c>
      <c r="Q673" s="3883" t="s">
        <v>1500</v>
      </c>
      <c r="R673" s="3884" t="s">
        <v>1438</v>
      </c>
      <c r="S673" s="3884" t="s">
        <v>155</v>
      </c>
      <c r="T673" s="3884" t="s">
        <v>155</v>
      </c>
      <c r="U673" s="3884" t="s">
        <v>156</v>
      </c>
      <c r="V673" s="3884" t="s">
        <v>1501</v>
      </c>
      <c r="W673" s="3884" t="s">
        <v>1502</v>
      </c>
      <c r="X673" s="3884" t="s">
        <v>1503</v>
      </c>
      <c r="Y673" s="3884" t="s">
        <v>1504</v>
      </c>
      <c r="Z673" s="1097"/>
      <c r="AA673" s="1098"/>
      <c r="AB673" s="1098"/>
      <c r="AC673" s="1102"/>
      <c r="AD673" s="1102"/>
      <c r="AE673" s="1103"/>
      <c r="AF673" s="3876"/>
      <c r="AG673" s="3877"/>
      <c r="AH673" s="3877"/>
      <c r="AI673" s="3876"/>
      <c r="AJ673" s="3877"/>
      <c r="AK673" s="3877"/>
      <c r="AL673" s="1874"/>
      <c r="AM673" s="1714"/>
      <c r="AN673" s="1714"/>
      <c r="AO673" s="1714"/>
      <c r="AP673" s="1714"/>
      <c r="AQ673" s="1714"/>
      <c r="AR673" s="1714"/>
      <c r="AS673" s="1714"/>
      <c r="AT673" s="1714"/>
      <c r="AU673" s="1714"/>
      <c r="AV673" s="1714"/>
      <c r="AW673" s="1714"/>
      <c r="AX673" s="1714"/>
      <c r="AY673" s="1714"/>
      <c r="AZ673" s="1714"/>
      <c r="BA673" s="1714"/>
      <c r="BB673" s="1714"/>
      <c r="BC673" s="1714"/>
      <c r="BD673" s="1714"/>
      <c r="BE673" s="1714"/>
      <c r="BF673" s="1714"/>
    </row>
    <row r="674" spans="1:58" ht="11.25" customHeight="1">
      <c r="A674" s="1088" t="s">
        <v>1369</v>
      </c>
      <c r="D674" s="1082"/>
      <c r="E674" s="1092"/>
      <c r="F674" s="3895"/>
      <c r="G674" s="3875"/>
      <c r="H674" s="3885" t="s">
        <v>421</v>
      </c>
      <c r="I674" s="3886"/>
      <c r="J674" s="3883"/>
      <c r="K674" s="3887"/>
      <c r="L674" s="3599"/>
      <c r="M674" s="3600"/>
      <c r="N674" s="3878"/>
      <c r="O674" s="3879"/>
      <c r="P674" s="3881"/>
      <c r="Q674" s="3883"/>
      <c r="R674" s="3874"/>
      <c r="S674" s="3884"/>
      <c r="T674" s="3874"/>
      <c r="U674" s="3874"/>
      <c r="V674" s="3874"/>
      <c r="W674" s="3874"/>
      <c r="X674" s="3874"/>
      <c r="Y674" s="3874"/>
      <c r="Z674" s="1719"/>
      <c r="AA674" s="1686">
        <v>1</v>
      </c>
      <c r="AB674" s="1101" t="s">
        <v>1453</v>
      </c>
      <c r="AC674" s="1091">
        <v>1456.76</v>
      </c>
      <c r="AD674" s="1101" t="str">
        <f>AB674</f>
        <v xml:space="preserve">      Амортизационные отчисления с выделением результатов переоценки основных средств и нематериальных активов</v>
      </c>
      <c r="AE674" s="1091">
        <v>0</v>
      </c>
      <c r="AF674" s="3876"/>
      <c r="AG674" s="3877"/>
      <c r="AH674" s="3877"/>
      <c r="AI674" s="3876"/>
      <c r="AJ674" s="3877"/>
      <c r="AK674" s="3877"/>
      <c r="AL674" s="1874"/>
      <c r="AM674" s="1714"/>
      <c r="AN674" s="1714"/>
      <c r="AO674" s="1714"/>
      <c r="AP674" s="1714"/>
      <c r="AQ674" s="1714"/>
      <c r="AR674" s="1714"/>
      <c r="AS674" s="1714"/>
      <c r="AT674" s="1714"/>
      <c r="AU674" s="1714"/>
      <c r="AV674" s="1714"/>
      <c r="AW674" s="1714"/>
      <c r="AX674" s="1714"/>
      <c r="AY674" s="1714"/>
      <c r="AZ674" s="1714"/>
      <c r="BA674" s="1714"/>
      <c r="BB674" s="1714"/>
      <c r="BC674" s="1714"/>
      <c r="BD674" s="1714"/>
      <c r="BE674" s="1714"/>
      <c r="BF674" s="1714"/>
    </row>
    <row r="675" spans="1:58" ht="11.25" customHeight="1">
      <c r="A675" s="1088" t="s">
        <v>1369</v>
      </c>
      <c r="D675" s="1082"/>
      <c r="E675" s="1092"/>
      <c r="F675" s="3875"/>
      <c r="G675" s="3875"/>
      <c r="H675" s="3875"/>
      <c r="I675" s="3875"/>
      <c r="J675" s="3875"/>
      <c r="K675" s="3875"/>
      <c r="L675" s="3875"/>
      <c r="M675" s="3875"/>
      <c r="N675" s="3875"/>
      <c r="O675" s="3875"/>
      <c r="P675" s="3875"/>
      <c r="Q675" s="3875"/>
      <c r="R675" s="3875"/>
      <c r="S675" s="3875"/>
      <c r="T675" s="3875"/>
      <c r="U675" s="3875"/>
      <c r="V675" s="3875"/>
      <c r="W675" s="3875"/>
      <c r="X675" s="3875"/>
      <c r="Y675" s="3875"/>
      <c r="Z675" s="617" t="s">
        <v>90</v>
      </c>
      <c r="AA675" s="1706" t="s">
        <v>89</v>
      </c>
      <c r="AB675" s="1101" t="s">
        <v>1443</v>
      </c>
      <c r="AC675" s="1091">
        <v>3399.11</v>
      </c>
      <c r="AD675" s="1101" t="str">
        <f>AB675</f>
        <v xml:space="preserve">  Прибыль направляемая на инвестиции</v>
      </c>
      <c r="AE675" s="1091">
        <v>0</v>
      </c>
      <c r="AF675" s="3902"/>
      <c r="AG675" s="3903"/>
      <c r="AH675" s="3903"/>
      <c r="AI675" s="3902"/>
      <c r="AJ675" s="3903"/>
      <c r="AK675" s="3904"/>
      <c r="AL675" s="1874"/>
      <c r="AM675" s="1714"/>
      <c r="AN675" s="1714"/>
      <c r="AO675" s="1714"/>
      <c r="AP675" s="1714"/>
      <c r="AQ675" s="1714"/>
      <c r="AR675" s="1714"/>
      <c r="AS675" s="1714"/>
      <c r="AT675" s="1714"/>
      <c r="AU675" s="1714"/>
      <c r="AV675" s="1714"/>
      <c r="AW675" s="1714"/>
      <c r="AX675" s="1714"/>
      <c r="AY675" s="1714"/>
      <c r="AZ675" s="1714"/>
      <c r="BA675" s="1714"/>
      <c r="BB675" s="1714"/>
      <c r="BC675" s="1714"/>
      <c r="BD675" s="1714"/>
      <c r="BE675" s="1714"/>
      <c r="BF675" s="1714"/>
    </row>
    <row r="676" spans="1:58" ht="11.25" customHeight="1">
      <c r="A676" s="1088" t="s">
        <v>1369</v>
      </c>
      <c r="D676" s="1082"/>
      <c r="E676" s="1092"/>
      <c r="F676" s="3895"/>
      <c r="G676" s="3875"/>
      <c r="H676" s="3885" t="s">
        <v>421</v>
      </c>
      <c r="I676" s="3886"/>
      <c r="J676" s="3883"/>
      <c r="K676" s="3887"/>
      <c r="L676" s="3599"/>
      <c r="M676" s="3600"/>
      <c r="N676" s="3878"/>
      <c r="O676" s="3879"/>
      <c r="P676" s="3882"/>
      <c r="Q676" s="3883"/>
      <c r="R676" s="3874"/>
      <c r="S676" s="3884"/>
      <c r="T676" s="3874"/>
      <c r="U676" s="3874"/>
      <c r="V676" s="3874"/>
      <c r="W676" s="3874"/>
      <c r="X676" s="3874"/>
      <c r="Y676" s="3874"/>
      <c r="Z676" s="1097"/>
      <c r="AA676" s="1098"/>
      <c r="AB676" s="1163" t="s">
        <v>1444</v>
      </c>
      <c r="AC676" s="1102"/>
      <c r="AD676" s="1102"/>
      <c r="AE676" s="1104"/>
      <c r="AF676" s="3876"/>
      <c r="AG676" s="3877"/>
      <c r="AH676" s="3877"/>
      <c r="AI676" s="3876"/>
      <c r="AJ676" s="3877"/>
      <c r="AK676" s="3877"/>
      <c r="AL676" s="1874"/>
      <c r="AM676" s="1714"/>
      <c r="AN676" s="1714"/>
      <c r="AO676" s="1714"/>
      <c r="AP676" s="1714"/>
      <c r="AQ676" s="1714"/>
      <c r="AR676" s="1714"/>
      <c r="AS676" s="1714"/>
      <c r="AT676" s="1714"/>
      <c r="AU676" s="1714"/>
      <c r="AV676" s="1714"/>
      <c r="AW676" s="1714"/>
      <c r="AX676" s="1714"/>
      <c r="AY676" s="1714"/>
      <c r="AZ676" s="1714"/>
      <c r="BA676" s="1714"/>
      <c r="BB676" s="1714"/>
      <c r="BC676" s="1714"/>
      <c r="BD676" s="1714"/>
      <c r="BE676" s="1714"/>
      <c r="BF676" s="1714"/>
    </row>
    <row r="677" spans="1:58" ht="11.25" customHeight="1">
      <c r="A677" s="1088" t="s">
        <v>1369</v>
      </c>
      <c r="D677" s="1082"/>
      <c r="E677" s="1092"/>
      <c r="F677" s="3895"/>
      <c r="G677" s="3875"/>
      <c r="H677" s="3885" t="s">
        <v>421</v>
      </c>
      <c r="I677" s="3886"/>
      <c r="J677" s="3883"/>
      <c r="K677" s="3887"/>
      <c r="L677" s="3599"/>
      <c r="M677" s="3600"/>
      <c r="N677" s="1097"/>
      <c r="O677" s="1098"/>
      <c r="P677" s="1090" t="s">
        <v>1445</v>
      </c>
      <c r="Q677" s="1098"/>
      <c r="R677" s="1098"/>
      <c r="S677" s="1098"/>
      <c r="T677" s="1098"/>
      <c r="U677" s="1098"/>
      <c r="V677" s="1098"/>
      <c r="W677" s="1098"/>
      <c r="X677" s="1098"/>
      <c r="Y677" s="1098"/>
      <c r="Z677" s="1098"/>
      <c r="AA677" s="1098"/>
      <c r="AB677" s="1098"/>
      <c r="AC677" s="1098"/>
      <c r="AD677" s="1098"/>
      <c r="AE677" s="1105"/>
      <c r="AF677" s="3876"/>
      <c r="AG677" s="3877"/>
      <c r="AH677" s="3877"/>
      <c r="AI677" s="3876"/>
      <c r="AJ677" s="3877"/>
      <c r="AK677" s="3877"/>
      <c r="AL677" s="1874"/>
      <c r="AM677" s="1714"/>
      <c r="AN677" s="1714"/>
      <c r="AO677" s="1714"/>
      <c r="AP677" s="1714"/>
      <c r="AQ677" s="1714"/>
      <c r="AR677" s="1714"/>
      <c r="AS677" s="1714"/>
      <c r="AT677" s="1714"/>
      <c r="AU677" s="1714"/>
      <c r="AV677" s="1714"/>
      <c r="AW677" s="1714"/>
      <c r="AX677" s="1714"/>
      <c r="AY677" s="1714"/>
      <c r="AZ677" s="1714"/>
      <c r="BA677" s="1714"/>
      <c r="BB677" s="1714"/>
      <c r="BC677" s="1714"/>
      <c r="BD677" s="1714"/>
      <c r="BE677" s="1714"/>
      <c r="BF677" s="1714"/>
    </row>
    <row r="678" spans="1:58" ht="12" customHeight="1">
      <c r="A678" s="1088" t="s">
        <v>1369</v>
      </c>
      <c r="D678" s="1082"/>
      <c r="E678" s="1092"/>
      <c r="F678" s="3896"/>
      <c r="G678" s="1112"/>
      <c r="H678" s="1112"/>
      <c r="I678" s="3893" t="s">
        <v>1451</v>
      </c>
      <c r="J678" s="3893"/>
      <c r="K678" s="3893"/>
      <c r="L678" s="1095"/>
      <c r="M678" s="1095"/>
      <c r="N678" s="1096"/>
      <c r="O678" s="1096"/>
      <c r="P678" s="1096"/>
      <c r="Q678" s="1096"/>
      <c r="R678" s="1096"/>
      <c r="S678" s="1096"/>
      <c r="T678" s="1096"/>
      <c r="U678" s="1096"/>
      <c r="V678" s="1096"/>
      <c r="W678" s="1096"/>
      <c r="X678" s="1096"/>
      <c r="Y678" s="1096"/>
      <c r="Z678" s="1096"/>
      <c r="AA678" s="1096"/>
      <c r="AB678" s="1096"/>
      <c r="AC678" s="1096"/>
      <c r="AD678" s="1096"/>
      <c r="AE678" s="1096"/>
      <c r="AF678" s="1096"/>
      <c r="AG678" s="1095"/>
      <c r="AH678" s="1095"/>
      <c r="AI678" s="1096"/>
      <c r="AJ678" s="1095"/>
      <c r="AK678" s="1096"/>
      <c r="AL678" s="1874"/>
      <c r="AM678" s="1714"/>
      <c r="AN678" s="1714"/>
      <c r="AO678" s="1714"/>
      <c r="AP678" s="1714"/>
      <c r="AQ678" s="1714"/>
      <c r="AR678" s="1714"/>
      <c r="AS678" s="1714"/>
      <c r="AT678" s="1714"/>
      <c r="AU678" s="1714"/>
      <c r="AV678" s="1714"/>
      <c r="AW678" s="1714"/>
      <c r="AX678" s="1714"/>
      <c r="AY678" s="1714"/>
      <c r="AZ678" s="1714"/>
      <c r="BA678" s="1714"/>
      <c r="BB678" s="1714"/>
      <c r="BC678" s="1714"/>
      <c r="BD678" s="1714"/>
      <c r="BE678" s="1714"/>
      <c r="BF678" s="1714"/>
    </row>
    <row r="679" spans="1:58" ht="21" customHeight="1">
      <c r="A679" s="1089" t="s">
        <v>1378</v>
      </c>
      <c r="D679" s="1082"/>
      <c r="E679" s="1092" t="s">
        <v>9</v>
      </c>
      <c r="F679" s="1045" t="str">
        <f>INDEX(IP_MAIN_LIST_NAME_IP,MATCH(A679,IP_MAIN_LIST_IP_ID,0))&amp;" ("&amp;INDEX(IP_MAIN_START_DATE,MATCH(A679,IP_MAIN_LIST_IP_ID,0))&amp;"-"&amp;INDEX(IP_MAIN_END_DATE,MATCH(A679,IP_MAIN_LIST_IP_ID,0))&amp;")"</f>
        <v>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 (01.01.2022-31.12.2025)</v>
      </c>
      <c r="G679" s="1046"/>
      <c r="H679" s="1046"/>
      <c r="I679" s="1107"/>
      <c r="J679" s="1107"/>
      <c r="K679" s="1108"/>
      <c r="L679" s="1108"/>
      <c r="M679" s="1108"/>
      <c r="N679" s="1109"/>
      <c r="O679" s="1109"/>
      <c r="P679" s="1109"/>
      <c r="Q679" s="1109"/>
      <c r="R679" s="1109"/>
      <c r="S679" s="1109"/>
      <c r="T679" s="1109"/>
      <c r="U679" s="1109"/>
      <c r="V679" s="1109"/>
      <c r="W679" s="1109"/>
      <c r="X679" s="1109"/>
      <c r="Y679" s="1109"/>
      <c r="Z679" s="1109"/>
      <c r="AA679" s="1109"/>
      <c r="AB679" s="1109"/>
      <c r="AC679" s="1109"/>
      <c r="AD679" s="1109"/>
      <c r="AE679" s="1110"/>
      <c r="AF679" s="1108"/>
      <c r="AG679" s="1108"/>
      <c r="AH679" s="1108"/>
      <c r="AI679" s="1108"/>
      <c r="AJ679" s="1108"/>
      <c r="AK679" s="1108"/>
      <c r="AL679" s="1874"/>
      <c r="AM679" s="1714"/>
      <c r="AN679" s="1714"/>
      <c r="AO679" s="1714"/>
      <c r="AP679" s="1714"/>
      <c r="AQ679" s="1714"/>
      <c r="AR679" s="1714"/>
      <c r="AS679" s="1714"/>
      <c r="AT679" s="1714"/>
      <c r="AU679" s="1714"/>
      <c r="AV679" s="1714"/>
      <c r="AW679" s="1714"/>
      <c r="AX679" s="1714"/>
      <c r="AY679" s="1714"/>
      <c r="AZ679" s="1714"/>
      <c r="BA679" s="1714"/>
      <c r="BB679" s="1714"/>
      <c r="BC679" s="1714"/>
      <c r="BD679" s="1714"/>
      <c r="BE679" s="1714"/>
      <c r="BF679" s="1714"/>
    </row>
    <row r="680" spans="1:58" ht="0.75" customHeight="1">
      <c r="A680" s="1088" t="s">
        <v>1378</v>
      </c>
      <c r="D680" s="1082"/>
      <c r="E680" s="1092"/>
      <c r="F680" s="3894">
        <v>2022</v>
      </c>
      <c r="G680" s="3885"/>
      <c r="H680" s="3898" t="s">
        <v>421</v>
      </c>
      <c r="I680" s="3899"/>
      <c r="J680" s="3891"/>
      <c r="K680" s="3891"/>
      <c r="L680" s="3892"/>
      <c r="M680" s="3743"/>
      <c r="N680" s="1922"/>
      <c r="O680" s="1921"/>
      <c r="P680" s="1922"/>
      <c r="Q680" s="1922"/>
      <c r="R680" s="1922"/>
      <c r="S680" s="1922"/>
      <c r="T680" s="1922"/>
      <c r="U680" s="1922"/>
      <c r="V680" s="1922"/>
      <c r="W680" s="1922"/>
      <c r="X680" s="1922"/>
      <c r="Y680" s="1922"/>
      <c r="Z680" s="1922"/>
      <c r="AA680" s="1922"/>
      <c r="AB680" s="1922"/>
      <c r="AC680" s="1922"/>
      <c r="AD680" s="1922"/>
      <c r="AE680" s="1922"/>
      <c r="AF680" s="3897"/>
      <c r="AG680" s="3892"/>
      <c r="AH680" s="3892"/>
      <c r="AI680" s="3897"/>
      <c r="AJ680" s="3892"/>
      <c r="AK680" s="3892"/>
      <c r="AL680" s="1874"/>
      <c r="AM680" s="1714"/>
      <c r="AN680" s="1714"/>
      <c r="AO680" s="1714"/>
      <c r="AP680" s="1714"/>
      <c r="AQ680" s="1714"/>
      <c r="AR680" s="1714"/>
      <c r="AS680" s="1714"/>
      <c r="AT680" s="1714"/>
      <c r="AU680" s="1714"/>
      <c r="AV680" s="1714"/>
      <c r="AW680" s="1714"/>
      <c r="AX680" s="1714"/>
      <c r="AY680" s="1714"/>
      <c r="AZ680" s="1714"/>
      <c r="BA680" s="1714"/>
      <c r="BB680" s="1714"/>
      <c r="BC680" s="1714"/>
      <c r="BD680" s="1714"/>
      <c r="BE680" s="1714"/>
      <c r="BF680" s="1714"/>
    </row>
    <row r="681" spans="1:58" ht="0.75" customHeight="1">
      <c r="A681" s="1088" t="s">
        <v>1378</v>
      </c>
      <c r="D681" s="1082"/>
      <c r="E681" s="1092"/>
      <c r="F681" s="3894"/>
      <c r="G681" s="3885"/>
      <c r="H681" s="3898"/>
      <c r="I681" s="3899"/>
      <c r="J681" s="3891"/>
      <c r="K681" s="3891"/>
      <c r="L681" s="3892"/>
      <c r="M681" s="3743"/>
      <c r="N681" s="3900"/>
      <c r="O681" s="3901"/>
      <c r="P681" s="3888"/>
      <c r="Q681" s="3891"/>
      <c r="R681" s="3891"/>
      <c r="S681" s="3891"/>
      <c r="T681" s="3891"/>
      <c r="U681" s="3891"/>
      <c r="V681" s="3891"/>
      <c r="W681" s="3891"/>
      <c r="X681" s="3891"/>
      <c r="Y681" s="3891"/>
      <c r="Z681" s="1923"/>
      <c r="AA681" s="1924"/>
      <c r="AB681" s="1924"/>
      <c r="AC681" s="1925"/>
      <c r="AD681" s="1925"/>
      <c r="AE681" s="1926"/>
      <c r="AF681" s="3897"/>
      <c r="AG681" s="3892"/>
      <c r="AH681" s="3892"/>
      <c r="AI681" s="3897"/>
      <c r="AJ681" s="3892"/>
      <c r="AK681" s="3892"/>
      <c r="AL681" s="1874"/>
      <c r="AM681" s="1714"/>
      <c r="AN681" s="1714"/>
      <c r="AO681" s="1714"/>
      <c r="AP681" s="1714"/>
      <c r="AQ681" s="1714"/>
      <c r="AR681" s="1714"/>
      <c r="AS681" s="1714"/>
      <c r="AT681" s="1714"/>
      <c r="AU681" s="1714"/>
      <c r="AV681" s="1714"/>
      <c r="AW681" s="1714"/>
      <c r="AX681" s="1714"/>
      <c r="AY681" s="1714"/>
      <c r="AZ681" s="1714"/>
      <c r="BA681" s="1714"/>
      <c r="BB681" s="1714"/>
      <c r="BC681" s="1714"/>
      <c r="BD681" s="1714"/>
      <c r="BE681" s="1714"/>
      <c r="BF681" s="1714"/>
    </row>
    <row r="682" spans="1:58" ht="0.75" customHeight="1">
      <c r="A682" s="1088" t="s">
        <v>1378</v>
      </c>
      <c r="D682" s="1082"/>
      <c r="E682" s="1092"/>
      <c r="F682" s="3894"/>
      <c r="G682" s="3885"/>
      <c r="H682" s="3898"/>
      <c r="I682" s="3899"/>
      <c r="J682" s="3891"/>
      <c r="K682" s="3891"/>
      <c r="L682" s="3892"/>
      <c r="M682" s="3743"/>
      <c r="N682" s="3900"/>
      <c r="O682" s="3901"/>
      <c r="P682" s="3889"/>
      <c r="Q682" s="3891"/>
      <c r="R682" s="3891"/>
      <c r="S682" s="3891"/>
      <c r="T682" s="3891"/>
      <c r="U682" s="3891"/>
      <c r="V682" s="3891"/>
      <c r="W682" s="3891"/>
      <c r="X682" s="3891"/>
      <c r="Y682" s="3891"/>
      <c r="Z682" s="1927"/>
      <c r="AA682" s="1928"/>
      <c r="AB682" s="1929"/>
      <c r="AC682" s="1930"/>
      <c r="AD682" s="1929"/>
      <c r="AE682" s="1930"/>
      <c r="AF682" s="3897"/>
      <c r="AG682" s="3892"/>
      <c r="AH682" s="3892"/>
      <c r="AI682" s="3897"/>
      <c r="AJ682" s="3892"/>
      <c r="AK682" s="3892"/>
      <c r="AL682" s="1874"/>
      <c r="AM682" s="1714"/>
      <c r="AN682" s="1714"/>
      <c r="AO682" s="1714"/>
      <c r="AP682" s="1714"/>
      <c r="AQ682" s="1714"/>
      <c r="AR682" s="1714"/>
      <c r="AS682" s="1714"/>
      <c r="AT682" s="1714"/>
      <c r="AU682" s="1714"/>
      <c r="AV682" s="1714"/>
      <c r="AW682" s="1714"/>
      <c r="AX682" s="1714"/>
      <c r="AY682" s="1714"/>
      <c r="AZ682" s="1714"/>
      <c r="BA682" s="1714"/>
      <c r="BB682" s="1714"/>
      <c r="BC682" s="1714"/>
      <c r="BD682" s="1714"/>
      <c r="BE682" s="1714"/>
      <c r="BF682" s="1714"/>
    </row>
    <row r="683" spans="1:58" ht="0.75" customHeight="1">
      <c r="A683" s="1088" t="s">
        <v>1378</v>
      </c>
      <c r="D683" s="1082"/>
      <c r="E683" s="1092"/>
      <c r="F683" s="3894"/>
      <c r="G683" s="3885"/>
      <c r="H683" s="3898"/>
      <c r="I683" s="3899"/>
      <c r="J683" s="3891"/>
      <c r="K683" s="3891"/>
      <c r="L683" s="3892"/>
      <c r="M683" s="3743"/>
      <c r="N683" s="3900"/>
      <c r="O683" s="3901"/>
      <c r="P683" s="3890"/>
      <c r="Q683" s="3891"/>
      <c r="R683" s="3891"/>
      <c r="S683" s="3891"/>
      <c r="T683" s="3891"/>
      <c r="U683" s="3891"/>
      <c r="V683" s="3891"/>
      <c r="W683" s="3891"/>
      <c r="X683" s="3891"/>
      <c r="Y683" s="3891"/>
      <c r="Z683" s="1923"/>
      <c r="AA683" s="1924"/>
      <c r="AB683" s="1931"/>
      <c r="AC683" s="1925"/>
      <c r="AD683" s="1925"/>
      <c r="AE683" s="1932"/>
      <c r="AF683" s="3897"/>
      <c r="AG683" s="3892"/>
      <c r="AH683" s="3892"/>
      <c r="AI683" s="3897"/>
      <c r="AJ683" s="3892"/>
      <c r="AK683" s="3892"/>
      <c r="AL683" s="1874"/>
      <c r="AM683" s="1714"/>
      <c r="AN683" s="1714"/>
      <c r="AO683" s="1714"/>
      <c r="AP683" s="1714"/>
      <c r="AQ683" s="1714"/>
      <c r="AR683" s="1714"/>
      <c r="AS683" s="1714"/>
      <c r="AT683" s="1714"/>
      <c r="AU683" s="1714"/>
      <c r="AV683" s="1714"/>
      <c r="AW683" s="1714"/>
      <c r="AX683" s="1714"/>
      <c r="AY683" s="1714"/>
      <c r="AZ683" s="1714"/>
      <c r="BA683" s="1714"/>
      <c r="BB683" s="1714"/>
      <c r="BC683" s="1714"/>
      <c r="BD683" s="1714"/>
      <c r="BE683" s="1714"/>
      <c r="BF683" s="1714"/>
    </row>
    <row r="684" spans="1:58" ht="0.75" customHeight="1">
      <c r="A684" s="1088" t="s">
        <v>1378</v>
      </c>
      <c r="D684" s="1082"/>
      <c r="E684" s="1092"/>
      <c r="F684" s="3894"/>
      <c r="G684" s="3885"/>
      <c r="H684" s="3898"/>
      <c r="I684" s="3899"/>
      <c r="J684" s="3891"/>
      <c r="K684" s="3891"/>
      <c r="L684" s="3892"/>
      <c r="M684" s="3743"/>
      <c r="N684" s="1924"/>
      <c r="O684" s="1924"/>
      <c r="P684" s="1931"/>
      <c r="Q684" s="1924"/>
      <c r="R684" s="1924"/>
      <c r="S684" s="1924"/>
      <c r="T684" s="1924"/>
      <c r="U684" s="1924"/>
      <c r="V684" s="1924"/>
      <c r="W684" s="1924"/>
      <c r="X684" s="1924"/>
      <c r="Y684" s="1924"/>
      <c r="Z684" s="1924"/>
      <c r="AA684" s="1924"/>
      <c r="AB684" s="1924"/>
      <c r="AC684" s="1924"/>
      <c r="AD684" s="1924"/>
      <c r="AE684" s="1933"/>
      <c r="AF684" s="3897"/>
      <c r="AG684" s="3892"/>
      <c r="AH684" s="3892"/>
      <c r="AI684" s="3897"/>
      <c r="AJ684" s="3892"/>
      <c r="AK684" s="3892"/>
      <c r="AL684" s="1874"/>
      <c r="AM684" s="1714"/>
      <c r="AN684" s="1714"/>
      <c r="AO684" s="1714"/>
      <c r="AP684" s="1714"/>
      <c r="AQ684" s="1714"/>
      <c r="AR684" s="1714"/>
      <c r="AS684" s="1714"/>
      <c r="AT684" s="1714"/>
      <c r="AU684" s="1714"/>
      <c r="AV684" s="1714"/>
      <c r="AW684" s="1714"/>
      <c r="AX684" s="1714"/>
      <c r="AY684" s="1714"/>
      <c r="AZ684" s="1714"/>
      <c r="BA684" s="1714"/>
      <c r="BB684" s="1714"/>
      <c r="BC684" s="1714"/>
      <c r="BD684" s="1714"/>
      <c r="BE684" s="1714"/>
      <c r="BF684" s="1714"/>
    </row>
    <row r="685" spans="1:58" ht="11.25" customHeight="1">
      <c r="A685" s="1088" t="s">
        <v>1378</v>
      </c>
      <c r="D685" s="1082"/>
      <c r="E685" s="1092"/>
      <c r="F685" s="3895"/>
      <c r="G685" s="3853" t="s">
        <v>90</v>
      </c>
      <c r="H685" s="3885" t="s">
        <v>164</v>
      </c>
      <c r="I685" s="3886"/>
      <c r="J685" s="3883"/>
      <c r="K685" s="3887" t="s">
        <v>1505</v>
      </c>
      <c r="L685" s="3599" t="s">
        <v>6</v>
      </c>
      <c r="M685" s="3600"/>
      <c r="N685" s="1872"/>
      <c r="O685" s="1099" t="s">
        <v>421</v>
      </c>
      <c r="P685" s="1100"/>
      <c r="Q685" s="1100"/>
      <c r="R685" s="1100"/>
      <c r="S685" s="1100"/>
      <c r="T685" s="1100"/>
      <c r="U685" s="1100"/>
      <c r="V685" s="1100"/>
      <c r="W685" s="1100"/>
      <c r="X685" s="1100"/>
      <c r="Y685" s="1100"/>
      <c r="Z685" s="1100"/>
      <c r="AA685" s="1100"/>
      <c r="AB685" s="1100"/>
      <c r="AC685" s="1100"/>
      <c r="AD685" s="1100"/>
      <c r="AE685" s="1100"/>
      <c r="AF685" s="3876">
        <v>2024</v>
      </c>
      <c r="AG685" s="3877" t="s">
        <v>1506</v>
      </c>
      <c r="AH685" s="3877" t="s">
        <v>1484</v>
      </c>
      <c r="AI685" s="3876">
        <v>2024</v>
      </c>
      <c r="AJ685" s="3877" t="s">
        <v>1447</v>
      </c>
      <c r="AK685" s="3877" t="s">
        <v>1484</v>
      </c>
      <c r="AL685" s="1874"/>
      <c r="AM685" s="1714"/>
      <c r="AN685" s="1714"/>
      <c r="AO685" s="1714"/>
      <c r="AP685" s="1714"/>
      <c r="AQ685" s="1714"/>
      <c r="AR685" s="1714"/>
      <c r="AS685" s="1714"/>
      <c r="AT685" s="1714"/>
      <c r="AU685" s="1714"/>
      <c r="AV685" s="1714"/>
      <c r="AW685" s="1714"/>
      <c r="AX685" s="1714"/>
      <c r="AY685" s="1714"/>
      <c r="AZ685" s="1714"/>
      <c r="BA685" s="1714"/>
      <c r="BB685" s="1714"/>
      <c r="BC685" s="1714"/>
      <c r="BD685" s="1714"/>
      <c r="BE685" s="1714"/>
      <c r="BF685" s="1714"/>
    </row>
    <row r="686" spans="1:58" ht="11.25" customHeight="1">
      <c r="A686" s="1088" t="s">
        <v>1378</v>
      </c>
      <c r="D686" s="1082"/>
      <c r="E686" s="1092"/>
      <c r="F686" s="3895"/>
      <c r="G686" s="3875"/>
      <c r="H686" s="3885" t="s">
        <v>421</v>
      </c>
      <c r="I686" s="3886"/>
      <c r="J686" s="3883"/>
      <c r="K686" s="3887"/>
      <c r="L686" s="3599"/>
      <c r="M686" s="3600"/>
      <c r="N686" s="3878"/>
      <c r="O686" s="3879">
        <v>1</v>
      </c>
      <c r="P686" s="3880" t="s">
        <v>50</v>
      </c>
      <c r="Q686" s="3883" t="s">
        <v>1507</v>
      </c>
      <c r="R686" s="3884" t="s">
        <v>1438</v>
      </c>
      <c r="S686" s="3884" t="s">
        <v>1508</v>
      </c>
      <c r="T686" s="3884" t="s">
        <v>1509</v>
      </c>
      <c r="U686" s="3884" t="s">
        <v>1510</v>
      </c>
      <c r="V686" s="3884" t="s">
        <v>1511</v>
      </c>
      <c r="W686" s="3884" t="s">
        <v>1512</v>
      </c>
      <c r="X686" s="3884" t="s">
        <v>1513</v>
      </c>
      <c r="Y686" s="3884" t="s">
        <v>1514</v>
      </c>
      <c r="Z686" s="1097"/>
      <c r="AA686" s="1098"/>
      <c r="AB686" s="1098"/>
      <c r="AC686" s="1102"/>
      <c r="AD686" s="1102"/>
      <c r="AE686" s="1103"/>
      <c r="AF686" s="3876"/>
      <c r="AG686" s="3877"/>
      <c r="AH686" s="3877"/>
      <c r="AI686" s="3876"/>
      <c r="AJ686" s="3877"/>
      <c r="AK686" s="3877"/>
      <c r="AL686" s="1874"/>
      <c r="AM686" s="1714"/>
      <c r="AN686" s="1714"/>
      <c r="AO686" s="1714"/>
      <c r="AP686" s="1714"/>
      <c r="AQ686" s="1714"/>
      <c r="AR686" s="1714"/>
      <c r="AS686" s="1714"/>
      <c r="AT686" s="1714"/>
      <c r="AU686" s="1714"/>
      <c r="AV686" s="1714"/>
      <c r="AW686" s="1714"/>
      <c r="AX686" s="1714"/>
      <c r="AY686" s="1714"/>
      <c r="AZ686" s="1714"/>
      <c r="BA686" s="1714"/>
      <c r="BB686" s="1714"/>
      <c r="BC686" s="1714"/>
      <c r="BD686" s="1714"/>
      <c r="BE686" s="1714"/>
      <c r="BF686" s="1714"/>
    </row>
    <row r="687" spans="1:58" ht="11.25" customHeight="1">
      <c r="A687" s="1088" t="s">
        <v>1378</v>
      </c>
      <c r="D687" s="1082"/>
      <c r="E687" s="1092"/>
      <c r="F687" s="3895"/>
      <c r="G687" s="3875"/>
      <c r="H687" s="3885" t="s">
        <v>421</v>
      </c>
      <c r="I687" s="3886"/>
      <c r="J687" s="3883"/>
      <c r="K687" s="3887"/>
      <c r="L687" s="3599"/>
      <c r="M687" s="3600"/>
      <c r="N687" s="3878"/>
      <c r="O687" s="3879"/>
      <c r="P687" s="3881"/>
      <c r="Q687" s="3883"/>
      <c r="R687" s="3874"/>
      <c r="S687" s="3884"/>
      <c r="T687" s="3874"/>
      <c r="U687" s="3874"/>
      <c r="V687" s="3874"/>
      <c r="W687" s="3874"/>
      <c r="X687" s="3874"/>
      <c r="Y687" s="3874"/>
      <c r="Z687" s="1719"/>
      <c r="AA687" s="1686">
        <v>1</v>
      </c>
      <c r="AB687" s="1101" t="s">
        <v>1443</v>
      </c>
      <c r="AC687" s="1091">
        <v>4444.4399999999996</v>
      </c>
      <c r="AD687" s="1101" t="str">
        <f>AB687</f>
        <v xml:space="preserve">  Прибыль направляемая на инвестиции</v>
      </c>
      <c r="AE687" s="1091">
        <v>53.62</v>
      </c>
      <c r="AF687" s="3876"/>
      <c r="AG687" s="3877"/>
      <c r="AH687" s="3877"/>
      <c r="AI687" s="3876"/>
      <c r="AJ687" s="3877"/>
      <c r="AK687" s="3877"/>
      <c r="AL687" s="1874"/>
      <c r="AM687" s="1714"/>
      <c r="AN687" s="1714"/>
      <c r="AO687" s="1714"/>
      <c r="AP687" s="1714"/>
      <c r="AQ687" s="1714"/>
      <c r="AR687" s="1714"/>
      <c r="AS687" s="1714"/>
      <c r="AT687" s="1714"/>
      <c r="AU687" s="1714"/>
      <c r="AV687" s="1714"/>
      <c r="AW687" s="1714"/>
      <c r="AX687" s="1714"/>
      <c r="AY687" s="1714"/>
      <c r="AZ687" s="1714"/>
      <c r="BA687" s="1714"/>
      <c r="BB687" s="1714"/>
      <c r="BC687" s="1714"/>
      <c r="BD687" s="1714"/>
      <c r="BE687" s="1714"/>
      <c r="BF687" s="1714"/>
    </row>
    <row r="688" spans="1:58" ht="11.25" customHeight="1">
      <c r="A688" s="1088" t="s">
        <v>1378</v>
      </c>
      <c r="D688" s="1082"/>
      <c r="E688" s="1092"/>
      <c r="F688" s="3895"/>
      <c r="G688" s="3875"/>
      <c r="H688" s="3885" t="s">
        <v>421</v>
      </c>
      <c r="I688" s="3886"/>
      <c r="J688" s="3883"/>
      <c r="K688" s="3887"/>
      <c r="L688" s="3599"/>
      <c r="M688" s="3600"/>
      <c r="N688" s="3878"/>
      <c r="O688" s="3879"/>
      <c r="P688" s="3882"/>
      <c r="Q688" s="3883"/>
      <c r="R688" s="3874"/>
      <c r="S688" s="3884"/>
      <c r="T688" s="3874"/>
      <c r="U688" s="3874"/>
      <c r="V688" s="3874"/>
      <c r="W688" s="3874"/>
      <c r="X688" s="3874"/>
      <c r="Y688" s="3874"/>
      <c r="Z688" s="1097"/>
      <c r="AA688" s="1098"/>
      <c r="AB688" s="1163" t="s">
        <v>1444</v>
      </c>
      <c r="AC688" s="1102"/>
      <c r="AD688" s="1102"/>
      <c r="AE688" s="1104"/>
      <c r="AF688" s="3876"/>
      <c r="AG688" s="3877"/>
      <c r="AH688" s="3877"/>
      <c r="AI688" s="3876"/>
      <c r="AJ688" s="3877"/>
      <c r="AK688" s="3877"/>
      <c r="AL688" s="1874"/>
      <c r="AM688" s="1714"/>
      <c r="AN688" s="1714"/>
      <c r="AO688" s="1714"/>
      <c r="AP688" s="1714"/>
      <c r="AQ688" s="1714"/>
      <c r="AR688" s="1714"/>
      <c r="AS688" s="1714"/>
      <c r="AT688" s="1714"/>
      <c r="AU688" s="1714"/>
      <c r="AV688" s="1714"/>
      <c r="AW688" s="1714"/>
      <c r="AX688" s="1714"/>
      <c r="AY688" s="1714"/>
      <c r="AZ688" s="1714"/>
      <c r="BA688" s="1714"/>
      <c r="BB688" s="1714"/>
      <c r="BC688" s="1714"/>
      <c r="BD688" s="1714"/>
      <c r="BE688" s="1714"/>
      <c r="BF688" s="1714"/>
    </row>
    <row r="689" spans="1:58" ht="11.25" customHeight="1">
      <c r="A689" s="1088" t="s">
        <v>1378</v>
      </c>
      <c r="D689" s="1082"/>
      <c r="E689" s="1092"/>
      <c r="F689" s="3895"/>
      <c r="G689" s="3875"/>
      <c r="H689" s="3885" t="s">
        <v>421</v>
      </c>
      <c r="I689" s="3886"/>
      <c r="J689" s="3883"/>
      <c r="K689" s="3887"/>
      <c r="L689" s="3599"/>
      <c r="M689" s="3600"/>
      <c r="N689" s="1097"/>
      <c r="O689" s="1098"/>
      <c r="P689" s="1090" t="s">
        <v>1445</v>
      </c>
      <c r="Q689" s="1098"/>
      <c r="R689" s="1098"/>
      <c r="S689" s="1098"/>
      <c r="T689" s="1098"/>
      <c r="U689" s="1098"/>
      <c r="V689" s="1098"/>
      <c r="W689" s="1098"/>
      <c r="X689" s="1098"/>
      <c r="Y689" s="1098"/>
      <c r="Z689" s="1098"/>
      <c r="AA689" s="1098"/>
      <c r="AB689" s="1098"/>
      <c r="AC689" s="1098"/>
      <c r="AD689" s="1098"/>
      <c r="AE689" s="1105"/>
      <c r="AF689" s="3876"/>
      <c r="AG689" s="3877"/>
      <c r="AH689" s="3877"/>
      <c r="AI689" s="3876"/>
      <c r="AJ689" s="3877"/>
      <c r="AK689" s="3877"/>
      <c r="AL689" s="1874"/>
      <c r="AM689" s="1714"/>
      <c r="AN689" s="1714"/>
      <c r="AO689" s="1714"/>
      <c r="AP689" s="1714"/>
      <c r="AQ689" s="1714"/>
      <c r="AR689" s="1714"/>
      <c r="AS689" s="1714"/>
      <c r="AT689" s="1714"/>
      <c r="AU689" s="1714"/>
      <c r="AV689" s="1714"/>
      <c r="AW689" s="1714"/>
      <c r="AX689" s="1714"/>
      <c r="AY689" s="1714"/>
      <c r="AZ689" s="1714"/>
      <c r="BA689" s="1714"/>
      <c r="BB689" s="1714"/>
      <c r="BC689" s="1714"/>
      <c r="BD689" s="1714"/>
      <c r="BE689" s="1714"/>
      <c r="BF689" s="1714"/>
    </row>
    <row r="690" spans="1:58" ht="12" customHeight="1">
      <c r="A690" s="1088" t="s">
        <v>1378</v>
      </c>
      <c r="D690" s="1082"/>
      <c r="E690" s="1092"/>
      <c r="F690" s="3896"/>
      <c r="G690" s="1112"/>
      <c r="H690" s="1112"/>
      <c r="I690" s="3893" t="s">
        <v>1451</v>
      </c>
      <c r="J690" s="3893"/>
      <c r="K690" s="3893"/>
      <c r="L690" s="1095"/>
      <c r="M690" s="1095"/>
      <c r="N690" s="1096"/>
      <c r="O690" s="1096"/>
      <c r="P690" s="1096"/>
      <c r="Q690" s="1096"/>
      <c r="R690" s="1096"/>
      <c r="S690" s="1096"/>
      <c r="T690" s="1096"/>
      <c r="U690" s="1096"/>
      <c r="V690" s="1096"/>
      <c r="W690" s="1096"/>
      <c r="X690" s="1096"/>
      <c r="Y690" s="1096"/>
      <c r="Z690" s="1096"/>
      <c r="AA690" s="1096"/>
      <c r="AB690" s="1096"/>
      <c r="AC690" s="1096"/>
      <c r="AD690" s="1096"/>
      <c r="AE690" s="1096"/>
      <c r="AF690" s="1096"/>
      <c r="AG690" s="1095"/>
      <c r="AH690" s="1095"/>
      <c r="AI690" s="1096"/>
      <c r="AJ690" s="1095"/>
      <c r="AK690" s="1096"/>
      <c r="AL690" s="1874"/>
      <c r="AM690" s="1714"/>
      <c r="AN690" s="1714"/>
      <c r="AO690" s="1714"/>
      <c r="AP690" s="1714"/>
      <c r="AQ690" s="1714"/>
      <c r="AR690" s="1714"/>
      <c r="AS690" s="1714"/>
      <c r="AT690" s="1714"/>
      <c r="AU690" s="1714"/>
      <c r="AV690" s="1714"/>
      <c r="AW690" s="1714"/>
      <c r="AX690" s="1714"/>
      <c r="AY690" s="1714"/>
      <c r="AZ690" s="1714"/>
      <c r="BA690" s="1714"/>
      <c r="BB690" s="1714"/>
      <c r="BC690" s="1714"/>
      <c r="BD690" s="1714"/>
      <c r="BE690" s="1714"/>
      <c r="BF690" s="1714"/>
    </row>
    <row r="691" spans="1:58" ht="0.75" customHeight="1">
      <c r="A691" s="1088" t="s">
        <v>1378</v>
      </c>
      <c r="D691" s="1082"/>
      <c r="E691" s="1092"/>
      <c r="F691" s="3894">
        <v>2023</v>
      </c>
      <c r="G691" s="3885"/>
      <c r="H691" s="3898" t="s">
        <v>421</v>
      </c>
      <c r="I691" s="3899"/>
      <c r="J691" s="3891"/>
      <c r="K691" s="3891"/>
      <c r="L691" s="3892"/>
      <c r="M691" s="3743"/>
      <c r="N691" s="1922"/>
      <c r="O691" s="1921"/>
      <c r="P691" s="1922"/>
      <c r="Q691" s="1922"/>
      <c r="R691" s="1922"/>
      <c r="S691" s="1922"/>
      <c r="T691" s="1922"/>
      <c r="U691" s="1922"/>
      <c r="V691" s="1922"/>
      <c r="W691" s="1922"/>
      <c r="X691" s="1922"/>
      <c r="Y691" s="1922"/>
      <c r="Z691" s="1922"/>
      <c r="AA691" s="1922"/>
      <c r="AB691" s="1922"/>
      <c r="AC691" s="1922"/>
      <c r="AD691" s="1922"/>
      <c r="AE691" s="1922"/>
      <c r="AF691" s="3897"/>
      <c r="AG691" s="3892"/>
      <c r="AH691" s="3892"/>
      <c r="AI691" s="3897"/>
      <c r="AJ691" s="3892"/>
      <c r="AK691" s="3892"/>
      <c r="AL691" s="1874"/>
      <c r="AM691" s="1714"/>
      <c r="AN691" s="1714"/>
      <c r="AO691" s="1714"/>
      <c r="AP691" s="1714"/>
      <c r="AQ691" s="1714"/>
      <c r="AR691" s="1714"/>
      <c r="AS691" s="1714"/>
      <c r="AT691" s="1714"/>
      <c r="AU691" s="1714"/>
      <c r="AV691" s="1714"/>
      <c r="AW691" s="1714"/>
      <c r="AX691" s="1714"/>
      <c r="AY691" s="1714"/>
      <c r="AZ691" s="1714"/>
      <c r="BA691" s="1714"/>
      <c r="BB691" s="1714"/>
      <c r="BC691" s="1714"/>
      <c r="BD691" s="1714"/>
      <c r="BE691" s="1714"/>
      <c r="BF691" s="1714"/>
    </row>
    <row r="692" spans="1:58" ht="0.75" customHeight="1">
      <c r="A692" s="1088" t="s">
        <v>1378</v>
      </c>
      <c r="D692" s="1082"/>
      <c r="E692" s="1092"/>
      <c r="F692" s="3894"/>
      <c r="G692" s="3885"/>
      <c r="H692" s="3898"/>
      <c r="I692" s="3899"/>
      <c r="J692" s="3891"/>
      <c r="K692" s="3891"/>
      <c r="L692" s="3892"/>
      <c r="M692" s="3743"/>
      <c r="N692" s="3900"/>
      <c r="O692" s="3901"/>
      <c r="P692" s="3888"/>
      <c r="Q692" s="3891"/>
      <c r="R692" s="3891"/>
      <c r="S692" s="3891"/>
      <c r="T692" s="3891"/>
      <c r="U692" s="3891"/>
      <c r="V692" s="3891"/>
      <c r="W692" s="3891"/>
      <c r="X692" s="3891"/>
      <c r="Y692" s="3891"/>
      <c r="Z692" s="1923"/>
      <c r="AA692" s="1924"/>
      <c r="AB692" s="1924"/>
      <c r="AC692" s="1925"/>
      <c r="AD692" s="1925"/>
      <c r="AE692" s="1926"/>
      <c r="AF692" s="3897"/>
      <c r="AG692" s="3892"/>
      <c r="AH692" s="3892"/>
      <c r="AI692" s="3897"/>
      <c r="AJ692" s="3892"/>
      <c r="AK692" s="3892"/>
      <c r="AL692" s="1874"/>
      <c r="AM692" s="1714"/>
      <c r="AN692" s="1714"/>
      <c r="AO692" s="1714"/>
      <c r="AP692" s="1714"/>
      <c r="AQ692" s="1714"/>
      <c r="AR692" s="1714"/>
      <c r="AS692" s="1714"/>
      <c r="AT692" s="1714"/>
      <c r="AU692" s="1714"/>
      <c r="AV692" s="1714"/>
      <c r="AW692" s="1714"/>
      <c r="AX692" s="1714"/>
      <c r="AY692" s="1714"/>
      <c r="AZ692" s="1714"/>
      <c r="BA692" s="1714"/>
      <c r="BB692" s="1714"/>
      <c r="BC692" s="1714"/>
      <c r="BD692" s="1714"/>
      <c r="BE692" s="1714"/>
      <c r="BF692" s="1714"/>
    </row>
    <row r="693" spans="1:58" ht="0.75" customHeight="1">
      <c r="A693" s="1088" t="s">
        <v>1378</v>
      </c>
      <c r="D693" s="1082"/>
      <c r="E693" s="1092"/>
      <c r="F693" s="3894"/>
      <c r="G693" s="3885"/>
      <c r="H693" s="3898"/>
      <c r="I693" s="3899"/>
      <c r="J693" s="3891"/>
      <c r="K693" s="3891"/>
      <c r="L693" s="3892"/>
      <c r="M693" s="3743"/>
      <c r="N693" s="3900"/>
      <c r="O693" s="3901"/>
      <c r="P693" s="3889"/>
      <c r="Q693" s="3891"/>
      <c r="R693" s="3891"/>
      <c r="S693" s="3891"/>
      <c r="T693" s="3891"/>
      <c r="U693" s="3891"/>
      <c r="V693" s="3891"/>
      <c r="W693" s="3891"/>
      <c r="X693" s="3891"/>
      <c r="Y693" s="3891"/>
      <c r="Z693" s="1927"/>
      <c r="AA693" s="1928"/>
      <c r="AB693" s="1929"/>
      <c r="AC693" s="1930"/>
      <c r="AD693" s="1929"/>
      <c r="AE693" s="1930"/>
      <c r="AF693" s="3897"/>
      <c r="AG693" s="3892"/>
      <c r="AH693" s="3892"/>
      <c r="AI693" s="3897"/>
      <c r="AJ693" s="3892"/>
      <c r="AK693" s="3892"/>
      <c r="AL693" s="1874"/>
      <c r="AM693" s="1714"/>
      <c r="AN693" s="1714"/>
      <c r="AO693" s="1714"/>
      <c r="AP693" s="1714"/>
      <c r="AQ693" s="1714"/>
      <c r="AR693" s="1714"/>
      <c r="AS693" s="1714"/>
      <c r="AT693" s="1714"/>
      <c r="AU693" s="1714"/>
      <c r="AV693" s="1714"/>
      <c r="AW693" s="1714"/>
      <c r="AX693" s="1714"/>
      <c r="AY693" s="1714"/>
      <c r="AZ693" s="1714"/>
      <c r="BA693" s="1714"/>
      <c r="BB693" s="1714"/>
      <c r="BC693" s="1714"/>
      <c r="BD693" s="1714"/>
      <c r="BE693" s="1714"/>
      <c r="BF693" s="1714"/>
    </row>
    <row r="694" spans="1:58" ht="0.75" customHeight="1">
      <c r="A694" s="1088" t="s">
        <v>1378</v>
      </c>
      <c r="D694" s="1082"/>
      <c r="E694" s="1092"/>
      <c r="F694" s="3894"/>
      <c r="G694" s="3885"/>
      <c r="H694" s="3898"/>
      <c r="I694" s="3899"/>
      <c r="J694" s="3891"/>
      <c r="K694" s="3891"/>
      <c r="L694" s="3892"/>
      <c r="M694" s="3743"/>
      <c r="N694" s="3900"/>
      <c r="O694" s="3901"/>
      <c r="P694" s="3890"/>
      <c r="Q694" s="3891"/>
      <c r="R694" s="3891"/>
      <c r="S694" s="3891"/>
      <c r="T694" s="3891"/>
      <c r="U694" s="3891"/>
      <c r="V694" s="3891"/>
      <c r="W694" s="3891"/>
      <c r="X694" s="3891"/>
      <c r="Y694" s="3891"/>
      <c r="Z694" s="1923"/>
      <c r="AA694" s="1924"/>
      <c r="AB694" s="1931"/>
      <c r="AC694" s="1925"/>
      <c r="AD694" s="1925"/>
      <c r="AE694" s="1932"/>
      <c r="AF694" s="3897"/>
      <c r="AG694" s="3892"/>
      <c r="AH694" s="3892"/>
      <c r="AI694" s="3897"/>
      <c r="AJ694" s="3892"/>
      <c r="AK694" s="3892"/>
      <c r="AL694" s="1874"/>
      <c r="AM694" s="1714"/>
      <c r="AN694" s="1714"/>
      <c r="AO694" s="1714"/>
      <c r="AP694" s="1714"/>
      <c r="AQ694" s="1714"/>
      <c r="AR694" s="1714"/>
      <c r="AS694" s="1714"/>
      <c r="AT694" s="1714"/>
      <c r="AU694" s="1714"/>
      <c r="AV694" s="1714"/>
      <c r="AW694" s="1714"/>
      <c r="AX694" s="1714"/>
      <c r="AY694" s="1714"/>
      <c r="AZ694" s="1714"/>
      <c r="BA694" s="1714"/>
      <c r="BB694" s="1714"/>
      <c r="BC694" s="1714"/>
      <c r="BD694" s="1714"/>
      <c r="BE694" s="1714"/>
      <c r="BF694" s="1714"/>
    </row>
    <row r="695" spans="1:58" ht="0.75" customHeight="1">
      <c r="A695" s="1088" t="s">
        <v>1378</v>
      </c>
      <c r="D695" s="1082"/>
      <c r="E695" s="1092"/>
      <c r="F695" s="3894"/>
      <c r="G695" s="3885"/>
      <c r="H695" s="3898"/>
      <c r="I695" s="3899"/>
      <c r="J695" s="3891"/>
      <c r="K695" s="3891"/>
      <c r="L695" s="3892"/>
      <c r="M695" s="3743"/>
      <c r="N695" s="1924"/>
      <c r="O695" s="1924"/>
      <c r="P695" s="1931"/>
      <c r="Q695" s="1924"/>
      <c r="R695" s="1924"/>
      <c r="S695" s="1924"/>
      <c r="T695" s="1924"/>
      <c r="U695" s="1924"/>
      <c r="V695" s="1924"/>
      <c r="W695" s="1924"/>
      <c r="X695" s="1924"/>
      <c r="Y695" s="1924"/>
      <c r="Z695" s="1924"/>
      <c r="AA695" s="1924"/>
      <c r="AB695" s="1924"/>
      <c r="AC695" s="1924"/>
      <c r="AD695" s="1924"/>
      <c r="AE695" s="1933"/>
      <c r="AF695" s="3897"/>
      <c r="AG695" s="3892"/>
      <c r="AH695" s="3892"/>
      <c r="AI695" s="3897"/>
      <c r="AJ695" s="3892"/>
      <c r="AK695" s="3892"/>
      <c r="AL695" s="1874"/>
      <c r="AM695" s="1714"/>
      <c r="AN695" s="1714"/>
      <c r="AO695" s="1714"/>
      <c r="AP695" s="1714"/>
      <c r="AQ695" s="1714"/>
      <c r="AR695" s="1714"/>
      <c r="AS695" s="1714"/>
      <c r="AT695" s="1714"/>
      <c r="AU695" s="1714"/>
      <c r="AV695" s="1714"/>
      <c r="AW695" s="1714"/>
      <c r="AX695" s="1714"/>
      <c r="AY695" s="1714"/>
      <c r="AZ695" s="1714"/>
      <c r="BA695" s="1714"/>
      <c r="BB695" s="1714"/>
      <c r="BC695" s="1714"/>
      <c r="BD695" s="1714"/>
      <c r="BE695" s="1714"/>
      <c r="BF695" s="1714"/>
    </row>
    <row r="696" spans="1:58" ht="11.25" customHeight="1">
      <c r="A696" s="1088" t="s">
        <v>1378</v>
      </c>
      <c r="D696" s="1082"/>
      <c r="E696" s="1092"/>
      <c r="F696" s="3895"/>
      <c r="G696" s="3853" t="s">
        <v>90</v>
      </c>
      <c r="H696" s="3885" t="s">
        <v>164</v>
      </c>
      <c r="I696" s="3886"/>
      <c r="J696" s="3883"/>
      <c r="K696" s="3887" t="s">
        <v>1505</v>
      </c>
      <c r="L696" s="3599" t="s">
        <v>6</v>
      </c>
      <c r="M696" s="3600"/>
      <c r="N696" s="1872"/>
      <c r="O696" s="1099" t="s">
        <v>421</v>
      </c>
      <c r="P696" s="1100"/>
      <c r="Q696" s="1100"/>
      <c r="R696" s="1100"/>
      <c r="S696" s="1100"/>
      <c r="T696" s="1100"/>
      <c r="U696" s="1100"/>
      <c r="V696" s="1100"/>
      <c r="W696" s="1100"/>
      <c r="X696" s="1100"/>
      <c r="Y696" s="1100"/>
      <c r="Z696" s="1100"/>
      <c r="AA696" s="1100"/>
      <c r="AB696" s="1100"/>
      <c r="AC696" s="1100"/>
      <c r="AD696" s="1100"/>
      <c r="AE696" s="1100"/>
      <c r="AF696" s="3876">
        <v>2024</v>
      </c>
      <c r="AG696" s="3877" t="s">
        <v>1506</v>
      </c>
      <c r="AH696" s="3877" t="s">
        <v>1484</v>
      </c>
      <c r="AI696" s="3876">
        <v>2024</v>
      </c>
      <c r="AJ696" s="3877" t="s">
        <v>1447</v>
      </c>
      <c r="AK696" s="3877" t="s">
        <v>1484</v>
      </c>
      <c r="AL696" s="1874"/>
      <c r="AM696" s="1714"/>
      <c r="AN696" s="1714"/>
      <c r="AO696" s="1714"/>
      <c r="AP696" s="1714"/>
      <c r="AQ696" s="1714"/>
      <c r="AR696" s="1714"/>
      <c r="AS696" s="1714"/>
      <c r="AT696" s="1714"/>
      <c r="AU696" s="1714"/>
      <c r="AV696" s="1714"/>
      <c r="AW696" s="1714"/>
      <c r="AX696" s="1714"/>
      <c r="AY696" s="1714"/>
      <c r="AZ696" s="1714"/>
      <c r="BA696" s="1714"/>
      <c r="BB696" s="1714"/>
      <c r="BC696" s="1714"/>
      <c r="BD696" s="1714"/>
      <c r="BE696" s="1714"/>
      <c r="BF696" s="1714"/>
    </row>
    <row r="697" spans="1:58" ht="11.25" customHeight="1">
      <c r="A697" s="1088" t="s">
        <v>1378</v>
      </c>
      <c r="D697" s="1082"/>
      <c r="E697" s="1092"/>
      <c r="F697" s="3895"/>
      <c r="G697" s="3875"/>
      <c r="H697" s="3885" t="s">
        <v>421</v>
      </c>
      <c r="I697" s="3886"/>
      <c r="J697" s="3883"/>
      <c r="K697" s="3887"/>
      <c r="L697" s="3599"/>
      <c r="M697" s="3600"/>
      <c r="N697" s="3878"/>
      <c r="O697" s="3879">
        <v>1</v>
      </c>
      <c r="P697" s="3880" t="s">
        <v>50</v>
      </c>
      <c r="Q697" s="3883" t="s">
        <v>1507</v>
      </c>
      <c r="R697" s="3884" t="s">
        <v>1438</v>
      </c>
      <c r="S697" s="3884" t="s">
        <v>1508</v>
      </c>
      <c r="T697" s="3884" t="s">
        <v>1509</v>
      </c>
      <c r="U697" s="3884" t="s">
        <v>1510</v>
      </c>
      <c r="V697" s="3884" t="s">
        <v>1511</v>
      </c>
      <c r="W697" s="3884" t="s">
        <v>1512</v>
      </c>
      <c r="X697" s="3884" t="s">
        <v>1513</v>
      </c>
      <c r="Y697" s="3884" t="s">
        <v>1514</v>
      </c>
      <c r="Z697" s="1097"/>
      <c r="AA697" s="1098"/>
      <c r="AB697" s="1098"/>
      <c r="AC697" s="1102"/>
      <c r="AD697" s="1102"/>
      <c r="AE697" s="1103"/>
      <c r="AF697" s="3876"/>
      <c r="AG697" s="3877"/>
      <c r="AH697" s="3877"/>
      <c r="AI697" s="3876"/>
      <c r="AJ697" s="3877"/>
      <c r="AK697" s="3877"/>
      <c r="AL697" s="1874"/>
      <c r="AM697" s="1714"/>
      <c r="AN697" s="1714"/>
      <c r="AO697" s="1714"/>
      <c r="AP697" s="1714"/>
      <c r="AQ697" s="1714"/>
      <c r="AR697" s="1714"/>
      <c r="AS697" s="1714"/>
      <c r="AT697" s="1714"/>
      <c r="AU697" s="1714"/>
      <c r="AV697" s="1714"/>
      <c r="AW697" s="1714"/>
      <c r="AX697" s="1714"/>
      <c r="AY697" s="1714"/>
      <c r="AZ697" s="1714"/>
      <c r="BA697" s="1714"/>
      <c r="BB697" s="1714"/>
      <c r="BC697" s="1714"/>
      <c r="BD697" s="1714"/>
      <c r="BE697" s="1714"/>
      <c r="BF697" s="1714"/>
    </row>
    <row r="698" spans="1:58" ht="11.25" customHeight="1">
      <c r="A698" s="1088" t="s">
        <v>1378</v>
      </c>
      <c r="D698" s="1082"/>
      <c r="E698" s="1092"/>
      <c r="F698" s="3895"/>
      <c r="G698" s="3875"/>
      <c r="H698" s="3885" t="s">
        <v>421</v>
      </c>
      <c r="I698" s="3886"/>
      <c r="J698" s="3883"/>
      <c r="K698" s="3887"/>
      <c r="L698" s="3599"/>
      <c r="M698" s="3600"/>
      <c r="N698" s="3878"/>
      <c r="O698" s="3879"/>
      <c r="P698" s="3881"/>
      <c r="Q698" s="3883"/>
      <c r="R698" s="3874"/>
      <c r="S698" s="3884"/>
      <c r="T698" s="3874"/>
      <c r="U698" s="3874"/>
      <c r="V698" s="3874"/>
      <c r="W698" s="3874"/>
      <c r="X698" s="3874"/>
      <c r="Y698" s="3874"/>
      <c r="Z698" s="1719"/>
      <c r="AA698" s="1686">
        <v>1</v>
      </c>
      <c r="AB698" s="1101" t="s">
        <v>1443</v>
      </c>
      <c r="AC698" s="1091">
        <v>4444.4399999999996</v>
      </c>
      <c r="AD698" s="1101" t="str">
        <f>AB698</f>
        <v xml:space="preserve">  Прибыль направляемая на инвестиции</v>
      </c>
      <c r="AE698" s="1091">
        <v>1752.83</v>
      </c>
      <c r="AF698" s="3876"/>
      <c r="AG698" s="3877"/>
      <c r="AH698" s="3877"/>
      <c r="AI698" s="3876"/>
      <c r="AJ698" s="3877"/>
      <c r="AK698" s="3877"/>
      <c r="AL698" s="1874"/>
      <c r="AM698" s="1714"/>
      <c r="AN698" s="1714"/>
      <c r="AO698" s="1714"/>
      <c r="AP698" s="1714"/>
      <c r="AQ698" s="1714"/>
      <c r="AR698" s="1714"/>
      <c r="AS698" s="1714"/>
      <c r="AT698" s="1714"/>
      <c r="AU698" s="1714"/>
      <c r="AV698" s="1714"/>
      <c r="AW698" s="1714"/>
      <c r="AX698" s="1714"/>
      <c r="AY698" s="1714"/>
      <c r="AZ698" s="1714"/>
      <c r="BA698" s="1714"/>
      <c r="BB698" s="1714"/>
      <c r="BC698" s="1714"/>
      <c r="BD698" s="1714"/>
      <c r="BE698" s="1714"/>
      <c r="BF698" s="1714"/>
    </row>
    <row r="699" spans="1:58" ht="11.25" customHeight="1">
      <c r="A699" s="1088" t="s">
        <v>1378</v>
      </c>
      <c r="D699" s="1082"/>
      <c r="E699" s="1092"/>
      <c r="F699" s="3895"/>
      <c r="G699" s="3875"/>
      <c r="H699" s="3885" t="s">
        <v>421</v>
      </c>
      <c r="I699" s="3886"/>
      <c r="J699" s="3883"/>
      <c r="K699" s="3887"/>
      <c r="L699" s="3599"/>
      <c r="M699" s="3600"/>
      <c r="N699" s="3878"/>
      <c r="O699" s="3879"/>
      <c r="P699" s="3882"/>
      <c r="Q699" s="3883"/>
      <c r="R699" s="3874"/>
      <c r="S699" s="3884"/>
      <c r="T699" s="3874"/>
      <c r="U699" s="3874"/>
      <c r="V699" s="3874"/>
      <c r="W699" s="3874"/>
      <c r="X699" s="3874"/>
      <c r="Y699" s="3874"/>
      <c r="Z699" s="1097"/>
      <c r="AA699" s="1098"/>
      <c r="AB699" s="1163" t="s">
        <v>1444</v>
      </c>
      <c r="AC699" s="1102"/>
      <c r="AD699" s="1102"/>
      <c r="AE699" s="1104"/>
      <c r="AF699" s="3876"/>
      <c r="AG699" s="3877"/>
      <c r="AH699" s="3877"/>
      <c r="AI699" s="3876"/>
      <c r="AJ699" s="3877"/>
      <c r="AK699" s="3877"/>
      <c r="AL699" s="1874"/>
      <c r="AM699" s="1714"/>
      <c r="AN699" s="1714"/>
      <c r="AO699" s="1714"/>
      <c r="AP699" s="1714"/>
      <c r="AQ699" s="1714"/>
      <c r="AR699" s="1714"/>
      <c r="AS699" s="1714"/>
      <c r="AT699" s="1714"/>
      <c r="AU699" s="1714"/>
      <c r="AV699" s="1714"/>
      <c r="AW699" s="1714"/>
      <c r="AX699" s="1714"/>
      <c r="AY699" s="1714"/>
      <c r="AZ699" s="1714"/>
      <c r="BA699" s="1714"/>
      <c r="BB699" s="1714"/>
      <c r="BC699" s="1714"/>
      <c r="BD699" s="1714"/>
      <c r="BE699" s="1714"/>
      <c r="BF699" s="1714"/>
    </row>
    <row r="700" spans="1:58" ht="11.25" customHeight="1">
      <c r="A700" s="1088" t="s">
        <v>1378</v>
      </c>
      <c r="D700" s="1082"/>
      <c r="E700" s="1092"/>
      <c r="F700" s="3895"/>
      <c r="G700" s="3875"/>
      <c r="H700" s="3885" t="s">
        <v>421</v>
      </c>
      <c r="I700" s="3886"/>
      <c r="J700" s="3883"/>
      <c r="K700" s="3887"/>
      <c r="L700" s="3599"/>
      <c r="M700" s="3600"/>
      <c r="N700" s="1097"/>
      <c r="O700" s="1098"/>
      <c r="P700" s="1090" t="s">
        <v>1445</v>
      </c>
      <c r="Q700" s="1098"/>
      <c r="R700" s="1098"/>
      <c r="S700" s="1098"/>
      <c r="T700" s="1098"/>
      <c r="U700" s="1098"/>
      <c r="V700" s="1098"/>
      <c r="W700" s="1098"/>
      <c r="X700" s="1098"/>
      <c r="Y700" s="1098"/>
      <c r="Z700" s="1098"/>
      <c r="AA700" s="1098"/>
      <c r="AB700" s="1098"/>
      <c r="AC700" s="1098"/>
      <c r="AD700" s="1098"/>
      <c r="AE700" s="1105"/>
      <c r="AF700" s="3876"/>
      <c r="AG700" s="3877"/>
      <c r="AH700" s="3877"/>
      <c r="AI700" s="3876"/>
      <c r="AJ700" s="3877"/>
      <c r="AK700" s="3877"/>
      <c r="AL700" s="1874"/>
      <c r="AM700" s="1714"/>
      <c r="AN700" s="1714"/>
      <c r="AO700" s="1714"/>
      <c r="AP700" s="1714"/>
      <c r="AQ700" s="1714"/>
      <c r="AR700" s="1714"/>
      <c r="AS700" s="1714"/>
      <c r="AT700" s="1714"/>
      <c r="AU700" s="1714"/>
      <c r="AV700" s="1714"/>
      <c r="AW700" s="1714"/>
      <c r="AX700" s="1714"/>
      <c r="AY700" s="1714"/>
      <c r="AZ700" s="1714"/>
      <c r="BA700" s="1714"/>
      <c r="BB700" s="1714"/>
      <c r="BC700" s="1714"/>
      <c r="BD700" s="1714"/>
      <c r="BE700" s="1714"/>
      <c r="BF700" s="1714"/>
    </row>
    <row r="701" spans="1:58" ht="12" customHeight="1">
      <c r="A701" s="1088" t="s">
        <v>1378</v>
      </c>
      <c r="D701" s="1082"/>
      <c r="E701" s="1092"/>
      <c r="F701" s="3896"/>
      <c r="G701" s="1112"/>
      <c r="H701" s="1112"/>
      <c r="I701" s="3893" t="s">
        <v>1451</v>
      </c>
      <c r="J701" s="3893"/>
      <c r="K701" s="3893"/>
      <c r="L701" s="1095"/>
      <c r="M701" s="1095"/>
      <c r="N701" s="1096"/>
      <c r="O701" s="1096"/>
      <c r="P701" s="1096"/>
      <c r="Q701" s="1096"/>
      <c r="R701" s="1096"/>
      <c r="S701" s="1096"/>
      <c r="T701" s="1096"/>
      <c r="U701" s="1096"/>
      <c r="V701" s="1096"/>
      <c r="W701" s="1096"/>
      <c r="X701" s="1096"/>
      <c r="Y701" s="1096"/>
      <c r="Z701" s="1096"/>
      <c r="AA701" s="1096"/>
      <c r="AB701" s="1096"/>
      <c r="AC701" s="1096"/>
      <c r="AD701" s="1096"/>
      <c r="AE701" s="1096"/>
      <c r="AF701" s="1096"/>
      <c r="AG701" s="1095"/>
      <c r="AH701" s="1095"/>
      <c r="AI701" s="1096"/>
      <c r="AJ701" s="1095"/>
      <c r="AK701" s="1096"/>
      <c r="AL701" s="1874"/>
      <c r="AM701" s="1714"/>
      <c r="AN701" s="1714"/>
      <c r="AO701" s="1714"/>
      <c r="AP701" s="1714"/>
      <c r="AQ701" s="1714"/>
      <c r="AR701" s="1714"/>
      <c r="AS701" s="1714"/>
      <c r="AT701" s="1714"/>
      <c r="AU701" s="1714"/>
      <c r="AV701" s="1714"/>
      <c r="AW701" s="1714"/>
      <c r="AX701" s="1714"/>
      <c r="AY701" s="1714"/>
      <c r="AZ701" s="1714"/>
      <c r="BA701" s="1714"/>
      <c r="BB701" s="1714"/>
      <c r="BC701" s="1714"/>
      <c r="BD701" s="1714"/>
      <c r="BE701" s="1714"/>
      <c r="BF701" s="1714"/>
    </row>
    <row r="702" spans="1:58" ht="0.75" customHeight="1">
      <c r="A702" s="1088" t="s">
        <v>1378</v>
      </c>
      <c r="D702" s="1082"/>
      <c r="E702" s="1092"/>
      <c r="F702" s="3894">
        <v>2024</v>
      </c>
      <c r="G702" s="3885"/>
      <c r="H702" s="3898" t="s">
        <v>421</v>
      </c>
      <c r="I702" s="3899"/>
      <c r="J702" s="3891"/>
      <c r="K702" s="3891"/>
      <c r="L702" s="3892"/>
      <c r="M702" s="3743"/>
      <c r="N702" s="1922"/>
      <c r="O702" s="1921"/>
      <c r="P702" s="1922"/>
      <c r="Q702" s="1922"/>
      <c r="R702" s="1922"/>
      <c r="S702" s="1922"/>
      <c r="T702" s="1922"/>
      <c r="U702" s="1922"/>
      <c r="V702" s="1922"/>
      <c r="W702" s="1922"/>
      <c r="X702" s="1922"/>
      <c r="Y702" s="1922"/>
      <c r="Z702" s="1922"/>
      <c r="AA702" s="1922"/>
      <c r="AB702" s="1922"/>
      <c r="AC702" s="1922"/>
      <c r="AD702" s="1922"/>
      <c r="AE702" s="1922"/>
      <c r="AF702" s="3897"/>
      <c r="AG702" s="3892"/>
      <c r="AH702" s="3892"/>
      <c r="AI702" s="3897"/>
      <c r="AJ702" s="3892"/>
      <c r="AK702" s="3892"/>
      <c r="AL702" s="1874"/>
      <c r="AM702" s="1714"/>
      <c r="AN702" s="1714"/>
      <c r="AO702" s="1714"/>
      <c r="AP702" s="1714"/>
      <c r="AQ702" s="1714"/>
      <c r="AR702" s="1714"/>
      <c r="AS702" s="1714"/>
      <c r="AT702" s="1714"/>
      <c r="AU702" s="1714"/>
      <c r="AV702" s="1714"/>
      <c r="AW702" s="1714"/>
      <c r="AX702" s="1714"/>
      <c r="AY702" s="1714"/>
      <c r="AZ702" s="1714"/>
      <c r="BA702" s="1714"/>
      <c r="BB702" s="1714"/>
      <c r="BC702" s="1714"/>
      <c r="BD702" s="1714"/>
      <c r="BE702" s="1714"/>
      <c r="BF702" s="1714"/>
    </row>
    <row r="703" spans="1:58" ht="0.75" customHeight="1">
      <c r="A703" s="1088" t="s">
        <v>1378</v>
      </c>
      <c r="D703" s="1082"/>
      <c r="E703" s="1092"/>
      <c r="F703" s="3894"/>
      <c r="G703" s="3885"/>
      <c r="H703" s="3898"/>
      <c r="I703" s="3899"/>
      <c r="J703" s="3891"/>
      <c r="K703" s="3891"/>
      <c r="L703" s="3892"/>
      <c r="M703" s="3743"/>
      <c r="N703" s="3900"/>
      <c r="O703" s="3901"/>
      <c r="P703" s="3888"/>
      <c r="Q703" s="3891"/>
      <c r="R703" s="3891"/>
      <c r="S703" s="3891"/>
      <c r="T703" s="3891"/>
      <c r="U703" s="3891"/>
      <c r="V703" s="3891"/>
      <c r="W703" s="3891"/>
      <c r="X703" s="3891"/>
      <c r="Y703" s="3891"/>
      <c r="Z703" s="1923"/>
      <c r="AA703" s="1924"/>
      <c r="AB703" s="1924"/>
      <c r="AC703" s="1925"/>
      <c r="AD703" s="1925"/>
      <c r="AE703" s="1926"/>
      <c r="AF703" s="3897"/>
      <c r="AG703" s="3892"/>
      <c r="AH703" s="3892"/>
      <c r="AI703" s="3897"/>
      <c r="AJ703" s="3892"/>
      <c r="AK703" s="3892"/>
      <c r="AL703" s="1874"/>
      <c r="AM703" s="1714"/>
      <c r="AN703" s="1714"/>
      <c r="AO703" s="1714"/>
      <c r="AP703" s="1714"/>
      <c r="AQ703" s="1714"/>
      <c r="AR703" s="1714"/>
      <c r="AS703" s="1714"/>
      <c r="AT703" s="1714"/>
      <c r="AU703" s="1714"/>
      <c r="AV703" s="1714"/>
      <c r="AW703" s="1714"/>
      <c r="AX703" s="1714"/>
      <c r="AY703" s="1714"/>
      <c r="AZ703" s="1714"/>
      <c r="BA703" s="1714"/>
      <c r="BB703" s="1714"/>
      <c r="BC703" s="1714"/>
      <c r="BD703" s="1714"/>
      <c r="BE703" s="1714"/>
      <c r="BF703" s="1714"/>
    </row>
    <row r="704" spans="1:58" ht="0.75" customHeight="1">
      <c r="A704" s="1088" t="s">
        <v>1378</v>
      </c>
      <c r="D704" s="1082"/>
      <c r="E704" s="1092"/>
      <c r="F704" s="3894"/>
      <c r="G704" s="3885"/>
      <c r="H704" s="3898"/>
      <c r="I704" s="3899"/>
      <c r="J704" s="3891"/>
      <c r="K704" s="3891"/>
      <c r="L704" s="3892"/>
      <c r="M704" s="3743"/>
      <c r="N704" s="3900"/>
      <c r="O704" s="3901"/>
      <c r="P704" s="3889"/>
      <c r="Q704" s="3891"/>
      <c r="R704" s="3891"/>
      <c r="S704" s="3891"/>
      <c r="T704" s="3891"/>
      <c r="U704" s="3891"/>
      <c r="V704" s="3891"/>
      <c r="W704" s="3891"/>
      <c r="X704" s="3891"/>
      <c r="Y704" s="3891"/>
      <c r="Z704" s="1927"/>
      <c r="AA704" s="1928"/>
      <c r="AB704" s="1929"/>
      <c r="AC704" s="1930"/>
      <c r="AD704" s="1929"/>
      <c r="AE704" s="1930"/>
      <c r="AF704" s="3897"/>
      <c r="AG704" s="3892"/>
      <c r="AH704" s="3892"/>
      <c r="AI704" s="3897"/>
      <c r="AJ704" s="3892"/>
      <c r="AK704" s="3892"/>
      <c r="AL704" s="1874"/>
      <c r="AM704" s="1714"/>
      <c r="AN704" s="1714"/>
      <c r="AO704" s="1714"/>
      <c r="AP704" s="1714"/>
      <c r="AQ704" s="1714"/>
      <c r="AR704" s="1714"/>
      <c r="AS704" s="1714"/>
      <c r="AT704" s="1714"/>
      <c r="AU704" s="1714"/>
      <c r="AV704" s="1714"/>
      <c r="AW704" s="1714"/>
      <c r="AX704" s="1714"/>
      <c r="AY704" s="1714"/>
      <c r="AZ704" s="1714"/>
      <c r="BA704" s="1714"/>
      <c r="BB704" s="1714"/>
      <c r="BC704" s="1714"/>
      <c r="BD704" s="1714"/>
      <c r="BE704" s="1714"/>
      <c r="BF704" s="1714"/>
    </row>
    <row r="705" spans="1:58" ht="0.75" customHeight="1">
      <c r="A705" s="1088" t="s">
        <v>1378</v>
      </c>
      <c r="D705" s="1082"/>
      <c r="E705" s="1092"/>
      <c r="F705" s="3894"/>
      <c r="G705" s="3885"/>
      <c r="H705" s="3898"/>
      <c r="I705" s="3899"/>
      <c r="J705" s="3891"/>
      <c r="K705" s="3891"/>
      <c r="L705" s="3892"/>
      <c r="M705" s="3743"/>
      <c r="N705" s="3900"/>
      <c r="O705" s="3901"/>
      <c r="P705" s="3890"/>
      <c r="Q705" s="3891"/>
      <c r="R705" s="3891"/>
      <c r="S705" s="3891"/>
      <c r="T705" s="3891"/>
      <c r="U705" s="3891"/>
      <c r="V705" s="3891"/>
      <c r="W705" s="3891"/>
      <c r="X705" s="3891"/>
      <c r="Y705" s="3891"/>
      <c r="Z705" s="1923"/>
      <c r="AA705" s="1924"/>
      <c r="AB705" s="1931"/>
      <c r="AC705" s="1925"/>
      <c r="AD705" s="1925"/>
      <c r="AE705" s="1932"/>
      <c r="AF705" s="3897"/>
      <c r="AG705" s="3892"/>
      <c r="AH705" s="3892"/>
      <c r="AI705" s="3897"/>
      <c r="AJ705" s="3892"/>
      <c r="AK705" s="3892"/>
      <c r="AL705" s="1874"/>
      <c r="AM705" s="1714"/>
      <c r="AN705" s="1714"/>
      <c r="AO705" s="1714"/>
      <c r="AP705" s="1714"/>
      <c r="AQ705" s="1714"/>
      <c r="AR705" s="1714"/>
      <c r="AS705" s="1714"/>
      <c r="AT705" s="1714"/>
      <c r="AU705" s="1714"/>
      <c r="AV705" s="1714"/>
      <c r="AW705" s="1714"/>
      <c r="AX705" s="1714"/>
      <c r="AY705" s="1714"/>
      <c r="AZ705" s="1714"/>
      <c r="BA705" s="1714"/>
      <c r="BB705" s="1714"/>
      <c r="BC705" s="1714"/>
      <c r="BD705" s="1714"/>
      <c r="BE705" s="1714"/>
      <c r="BF705" s="1714"/>
    </row>
    <row r="706" spans="1:58" ht="0.75" customHeight="1">
      <c r="A706" s="1088" t="s">
        <v>1378</v>
      </c>
      <c r="D706" s="1082"/>
      <c r="E706" s="1092"/>
      <c r="F706" s="3894"/>
      <c r="G706" s="3885"/>
      <c r="H706" s="3898"/>
      <c r="I706" s="3899"/>
      <c r="J706" s="3891"/>
      <c r="K706" s="3891"/>
      <c r="L706" s="3892"/>
      <c r="M706" s="3743"/>
      <c r="N706" s="1924"/>
      <c r="O706" s="1924"/>
      <c r="P706" s="1931"/>
      <c r="Q706" s="1924"/>
      <c r="R706" s="1924"/>
      <c r="S706" s="1924"/>
      <c r="T706" s="1924"/>
      <c r="U706" s="1924"/>
      <c r="V706" s="1924"/>
      <c r="W706" s="1924"/>
      <c r="X706" s="1924"/>
      <c r="Y706" s="1924"/>
      <c r="Z706" s="1924"/>
      <c r="AA706" s="1924"/>
      <c r="AB706" s="1924"/>
      <c r="AC706" s="1924"/>
      <c r="AD706" s="1924"/>
      <c r="AE706" s="1933"/>
      <c r="AF706" s="3897"/>
      <c r="AG706" s="3892"/>
      <c r="AH706" s="3892"/>
      <c r="AI706" s="3897"/>
      <c r="AJ706" s="3892"/>
      <c r="AK706" s="3892"/>
      <c r="AL706" s="1874"/>
      <c r="AM706" s="1714"/>
      <c r="AN706" s="1714"/>
      <c r="AO706" s="1714"/>
      <c r="AP706" s="1714"/>
      <c r="AQ706" s="1714"/>
      <c r="AR706" s="1714"/>
      <c r="AS706" s="1714"/>
      <c r="AT706" s="1714"/>
      <c r="AU706" s="1714"/>
      <c r="AV706" s="1714"/>
      <c r="AW706" s="1714"/>
      <c r="AX706" s="1714"/>
      <c r="AY706" s="1714"/>
      <c r="AZ706" s="1714"/>
      <c r="BA706" s="1714"/>
      <c r="BB706" s="1714"/>
      <c r="BC706" s="1714"/>
      <c r="BD706" s="1714"/>
      <c r="BE706" s="1714"/>
      <c r="BF706" s="1714"/>
    </row>
    <row r="707" spans="1:58" ht="11.25" customHeight="1">
      <c r="A707" s="1088" t="s">
        <v>1378</v>
      </c>
      <c r="D707" s="1082"/>
      <c r="E707" s="1092"/>
      <c r="F707" s="3895"/>
      <c r="G707" s="3853" t="s">
        <v>90</v>
      </c>
      <c r="H707" s="3885" t="s">
        <v>164</v>
      </c>
      <c r="I707" s="3886"/>
      <c r="J707" s="3883"/>
      <c r="K707" s="3887" t="s">
        <v>1505</v>
      </c>
      <c r="L707" s="3599" t="s">
        <v>6</v>
      </c>
      <c r="M707" s="3600"/>
      <c r="N707" s="1872"/>
      <c r="O707" s="1099" t="s">
        <v>421</v>
      </c>
      <c r="P707" s="1100"/>
      <c r="Q707" s="1100"/>
      <c r="R707" s="1100"/>
      <c r="S707" s="1100"/>
      <c r="T707" s="1100"/>
      <c r="U707" s="1100"/>
      <c r="V707" s="1100"/>
      <c r="W707" s="1100"/>
      <c r="X707" s="1100"/>
      <c r="Y707" s="1100"/>
      <c r="Z707" s="1100"/>
      <c r="AA707" s="1100"/>
      <c r="AB707" s="1100"/>
      <c r="AC707" s="1100"/>
      <c r="AD707" s="1100"/>
      <c r="AE707" s="1100"/>
      <c r="AF707" s="3876">
        <v>2024</v>
      </c>
      <c r="AG707" s="3877" t="s">
        <v>1506</v>
      </c>
      <c r="AH707" s="3877" t="s">
        <v>1484</v>
      </c>
      <c r="AI707" s="3876">
        <v>2024</v>
      </c>
      <c r="AJ707" s="3877" t="s">
        <v>1447</v>
      </c>
      <c r="AK707" s="3877" t="s">
        <v>1484</v>
      </c>
      <c r="AL707" s="1874"/>
      <c r="AM707" s="1714"/>
      <c r="AN707" s="1714"/>
      <c r="AO707" s="1714"/>
      <c r="AP707" s="1714"/>
      <c r="AQ707" s="1714"/>
      <c r="AR707" s="1714"/>
      <c r="AS707" s="1714"/>
      <c r="AT707" s="1714"/>
      <c r="AU707" s="1714"/>
      <c r="AV707" s="1714"/>
      <c r="AW707" s="1714"/>
      <c r="AX707" s="1714"/>
      <c r="AY707" s="1714"/>
      <c r="AZ707" s="1714"/>
      <c r="BA707" s="1714"/>
      <c r="BB707" s="1714"/>
      <c r="BC707" s="1714"/>
      <c r="BD707" s="1714"/>
      <c r="BE707" s="1714"/>
      <c r="BF707" s="1714"/>
    </row>
    <row r="708" spans="1:58" ht="11.25" customHeight="1">
      <c r="A708" s="1088" t="s">
        <v>1378</v>
      </c>
      <c r="D708" s="1082"/>
      <c r="E708" s="1092"/>
      <c r="F708" s="3895"/>
      <c r="G708" s="3875"/>
      <c r="H708" s="3885" t="s">
        <v>421</v>
      </c>
      <c r="I708" s="3886"/>
      <c r="J708" s="3883"/>
      <c r="K708" s="3887"/>
      <c r="L708" s="3599"/>
      <c r="M708" s="3600"/>
      <c r="N708" s="3878"/>
      <c r="O708" s="3879">
        <v>1</v>
      </c>
      <c r="P708" s="3880" t="s">
        <v>50</v>
      </c>
      <c r="Q708" s="3883" t="s">
        <v>1507</v>
      </c>
      <c r="R708" s="3884" t="s">
        <v>1438</v>
      </c>
      <c r="S708" s="3884" t="s">
        <v>1508</v>
      </c>
      <c r="T708" s="3884" t="s">
        <v>1509</v>
      </c>
      <c r="U708" s="3884" t="s">
        <v>1510</v>
      </c>
      <c r="V708" s="3884" t="s">
        <v>1511</v>
      </c>
      <c r="W708" s="3884" t="s">
        <v>1512</v>
      </c>
      <c r="X708" s="3884" t="s">
        <v>1513</v>
      </c>
      <c r="Y708" s="3884" t="s">
        <v>1514</v>
      </c>
      <c r="Z708" s="1097"/>
      <c r="AA708" s="1098"/>
      <c r="AB708" s="1098"/>
      <c r="AC708" s="1102"/>
      <c r="AD708" s="1102"/>
      <c r="AE708" s="1103"/>
      <c r="AF708" s="3876"/>
      <c r="AG708" s="3877"/>
      <c r="AH708" s="3877"/>
      <c r="AI708" s="3876"/>
      <c r="AJ708" s="3877"/>
      <c r="AK708" s="3877"/>
      <c r="AL708" s="1874"/>
      <c r="AM708" s="1714"/>
      <c r="AN708" s="1714"/>
      <c r="AO708" s="1714"/>
      <c r="AP708" s="1714"/>
      <c r="AQ708" s="1714"/>
      <c r="AR708" s="1714"/>
      <c r="AS708" s="1714"/>
      <c r="AT708" s="1714"/>
      <c r="AU708" s="1714"/>
      <c r="AV708" s="1714"/>
      <c r="AW708" s="1714"/>
      <c r="AX708" s="1714"/>
      <c r="AY708" s="1714"/>
      <c r="AZ708" s="1714"/>
      <c r="BA708" s="1714"/>
      <c r="BB708" s="1714"/>
      <c r="BC708" s="1714"/>
      <c r="BD708" s="1714"/>
      <c r="BE708" s="1714"/>
      <c r="BF708" s="1714"/>
    </row>
    <row r="709" spans="1:58" ht="11.25" customHeight="1">
      <c r="A709" s="1088" t="s">
        <v>1378</v>
      </c>
      <c r="D709" s="1082"/>
      <c r="E709" s="1092"/>
      <c r="F709" s="3895"/>
      <c r="G709" s="3875"/>
      <c r="H709" s="3885" t="s">
        <v>421</v>
      </c>
      <c r="I709" s="3886"/>
      <c r="J709" s="3883"/>
      <c r="K709" s="3887"/>
      <c r="L709" s="3599"/>
      <c r="M709" s="3600"/>
      <c r="N709" s="3878"/>
      <c r="O709" s="3879"/>
      <c r="P709" s="3881"/>
      <c r="Q709" s="3883"/>
      <c r="R709" s="3874"/>
      <c r="S709" s="3884"/>
      <c r="T709" s="3874"/>
      <c r="U709" s="3874"/>
      <c r="V709" s="3874"/>
      <c r="W709" s="3874"/>
      <c r="X709" s="3874"/>
      <c r="Y709" s="3874"/>
      <c r="Z709" s="1719"/>
      <c r="AA709" s="1686">
        <v>1</v>
      </c>
      <c r="AB709" s="1101" t="s">
        <v>1453</v>
      </c>
      <c r="AC709" s="1091">
        <v>1333.33</v>
      </c>
      <c r="AD709" s="1101" t="str">
        <f>AB709</f>
        <v xml:space="preserve">      Амортизационные отчисления с выделением результатов переоценки основных средств и нематериальных активов</v>
      </c>
      <c r="AE709" s="1091">
        <v>1333.33</v>
      </c>
      <c r="AF709" s="3876"/>
      <c r="AG709" s="3877"/>
      <c r="AH709" s="3877"/>
      <c r="AI709" s="3876"/>
      <c r="AJ709" s="3877"/>
      <c r="AK709" s="3877"/>
      <c r="AL709" s="1874"/>
      <c r="AM709" s="1714"/>
      <c r="AN709" s="1714"/>
      <c r="AO709" s="1714"/>
      <c r="AP709" s="1714"/>
      <c r="AQ709" s="1714"/>
      <c r="AR709" s="1714"/>
      <c r="AS709" s="1714"/>
      <c r="AT709" s="1714"/>
      <c r="AU709" s="1714"/>
      <c r="AV709" s="1714"/>
      <c r="AW709" s="1714"/>
      <c r="AX709" s="1714"/>
      <c r="AY709" s="1714"/>
      <c r="AZ709" s="1714"/>
      <c r="BA709" s="1714"/>
      <c r="BB709" s="1714"/>
      <c r="BC709" s="1714"/>
      <c r="BD709" s="1714"/>
      <c r="BE709" s="1714"/>
      <c r="BF709" s="1714"/>
    </row>
    <row r="710" spans="1:58" ht="11.25" customHeight="1">
      <c r="A710" s="1088" t="s">
        <v>1378</v>
      </c>
      <c r="D710" s="1082"/>
      <c r="E710" s="1092"/>
      <c r="F710" s="3875"/>
      <c r="G710" s="3875"/>
      <c r="H710" s="3875"/>
      <c r="I710" s="3875"/>
      <c r="J710" s="3875"/>
      <c r="K710" s="3875"/>
      <c r="L710" s="3875"/>
      <c r="M710" s="3875"/>
      <c r="N710" s="3875"/>
      <c r="O710" s="3875"/>
      <c r="P710" s="3875"/>
      <c r="Q710" s="3875"/>
      <c r="R710" s="3875"/>
      <c r="S710" s="3875"/>
      <c r="T710" s="3875"/>
      <c r="U710" s="3875"/>
      <c r="V710" s="3875"/>
      <c r="W710" s="3875"/>
      <c r="X710" s="3875"/>
      <c r="Y710" s="3875"/>
      <c r="Z710" s="617" t="s">
        <v>90</v>
      </c>
      <c r="AA710" s="1706" t="s">
        <v>89</v>
      </c>
      <c r="AB710" s="1101" t="s">
        <v>1443</v>
      </c>
      <c r="AC710" s="1091">
        <v>3111.11</v>
      </c>
      <c r="AD710" s="1101" t="str">
        <f>AB710</f>
        <v xml:space="preserve">  Прибыль направляемая на инвестиции</v>
      </c>
      <c r="AE710" s="1091">
        <v>27034.02</v>
      </c>
      <c r="AF710" s="3902"/>
      <c r="AG710" s="3903"/>
      <c r="AH710" s="3903"/>
      <c r="AI710" s="3902"/>
      <c r="AJ710" s="3903"/>
      <c r="AK710" s="3904"/>
      <c r="AL710" s="1874"/>
      <c r="AM710" s="1714"/>
      <c r="AN710" s="1714"/>
      <c r="AO710" s="1714"/>
      <c r="AP710" s="1714"/>
      <c r="AQ710" s="1714"/>
      <c r="AR710" s="1714"/>
      <c r="AS710" s="1714"/>
      <c r="AT710" s="1714"/>
      <c r="AU710" s="1714"/>
      <c r="AV710" s="1714"/>
      <c r="AW710" s="1714"/>
      <c r="AX710" s="1714"/>
      <c r="AY710" s="1714"/>
      <c r="AZ710" s="1714"/>
      <c r="BA710" s="1714"/>
      <c r="BB710" s="1714"/>
      <c r="BC710" s="1714"/>
      <c r="BD710" s="1714"/>
      <c r="BE710" s="1714"/>
      <c r="BF710" s="1714"/>
    </row>
    <row r="711" spans="1:58" ht="11.25" customHeight="1">
      <c r="A711" s="1088" t="s">
        <v>1378</v>
      </c>
      <c r="D711" s="1082"/>
      <c r="E711" s="1092"/>
      <c r="F711" s="3895"/>
      <c r="G711" s="3875"/>
      <c r="H711" s="3885" t="s">
        <v>421</v>
      </c>
      <c r="I711" s="3886"/>
      <c r="J711" s="3883"/>
      <c r="K711" s="3887"/>
      <c r="L711" s="3599"/>
      <c r="M711" s="3600"/>
      <c r="N711" s="3878"/>
      <c r="O711" s="3879"/>
      <c r="P711" s="3882"/>
      <c r="Q711" s="3883"/>
      <c r="R711" s="3874"/>
      <c r="S711" s="3884"/>
      <c r="T711" s="3874"/>
      <c r="U711" s="3874"/>
      <c r="V711" s="3874"/>
      <c r="W711" s="3874"/>
      <c r="X711" s="3874"/>
      <c r="Y711" s="3874"/>
      <c r="Z711" s="1097"/>
      <c r="AA711" s="1098"/>
      <c r="AB711" s="1163" t="s">
        <v>1444</v>
      </c>
      <c r="AC711" s="1102"/>
      <c r="AD711" s="1102"/>
      <c r="AE711" s="1104"/>
      <c r="AF711" s="3876"/>
      <c r="AG711" s="3877"/>
      <c r="AH711" s="3877"/>
      <c r="AI711" s="3876"/>
      <c r="AJ711" s="3877"/>
      <c r="AK711" s="3877"/>
      <c r="AL711" s="1874"/>
      <c r="AM711" s="1714"/>
      <c r="AN711" s="1714"/>
      <c r="AO711" s="1714"/>
      <c r="AP711" s="1714"/>
      <c r="AQ711" s="1714"/>
      <c r="AR711" s="1714"/>
      <c r="AS711" s="1714"/>
      <c r="AT711" s="1714"/>
      <c r="AU711" s="1714"/>
      <c r="AV711" s="1714"/>
      <c r="AW711" s="1714"/>
      <c r="AX711" s="1714"/>
      <c r="AY711" s="1714"/>
      <c r="AZ711" s="1714"/>
      <c r="BA711" s="1714"/>
      <c r="BB711" s="1714"/>
      <c r="BC711" s="1714"/>
      <c r="BD711" s="1714"/>
      <c r="BE711" s="1714"/>
      <c r="BF711" s="1714"/>
    </row>
    <row r="712" spans="1:58" ht="11.25" customHeight="1">
      <c r="A712" s="1088" t="s">
        <v>1378</v>
      </c>
      <c r="D712" s="1082"/>
      <c r="E712" s="1092"/>
      <c r="F712" s="3895"/>
      <c r="G712" s="3875"/>
      <c r="H712" s="3885" t="s">
        <v>421</v>
      </c>
      <c r="I712" s="3886"/>
      <c r="J712" s="3883"/>
      <c r="K712" s="3887"/>
      <c r="L712" s="3599"/>
      <c r="M712" s="3600"/>
      <c r="N712" s="1097"/>
      <c r="O712" s="1098"/>
      <c r="P712" s="1090" t="s">
        <v>1445</v>
      </c>
      <c r="Q712" s="1098"/>
      <c r="R712" s="1098"/>
      <c r="S712" s="1098"/>
      <c r="T712" s="1098"/>
      <c r="U712" s="1098"/>
      <c r="V712" s="1098"/>
      <c r="W712" s="1098"/>
      <c r="X712" s="1098"/>
      <c r="Y712" s="1098"/>
      <c r="Z712" s="1098"/>
      <c r="AA712" s="1098"/>
      <c r="AB712" s="1098"/>
      <c r="AC712" s="1098"/>
      <c r="AD712" s="1098"/>
      <c r="AE712" s="1105"/>
      <c r="AF712" s="3876"/>
      <c r="AG712" s="3877"/>
      <c r="AH712" s="3877"/>
      <c r="AI712" s="3876"/>
      <c r="AJ712" s="3877"/>
      <c r="AK712" s="3877"/>
      <c r="AL712" s="1874"/>
      <c r="AM712" s="1714"/>
      <c r="AN712" s="1714"/>
      <c r="AO712" s="1714"/>
      <c r="AP712" s="1714"/>
      <c r="AQ712" s="1714"/>
      <c r="AR712" s="1714"/>
      <c r="AS712" s="1714"/>
      <c r="AT712" s="1714"/>
      <c r="AU712" s="1714"/>
      <c r="AV712" s="1714"/>
      <c r="AW712" s="1714"/>
      <c r="AX712" s="1714"/>
      <c r="AY712" s="1714"/>
      <c r="AZ712" s="1714"/>
      <c r="BA712" s="1714"/>
      <c r="BB712" s="1714"/>
      <c r="BC712" s="1714"/>
      <c r="BD712" s="1714"/>
      <c r="BE712" s="1714"/>
      <c r="BF712" s="1714"/>
    </row>
    <row r="713" spans="1:58" ht="12" customHeight="1">
      <c r="A713" s="1088" t="s">
        <v>1378</v>
      </c>
      <c r="D713" s="1082"/>
      <c r="E713" s="1092"/>
      <c r="F713" s="3896"/>
      <c r="G713" s="1112"/>
      <c r="H713" s="1112"/>
      <c r="I713" s="3893" t="s">
        <v>1451</v>
      </c>
      <c r="J713" s="3893"/>
      <c r="K713" s="3893"/>
      <c r="L713" s="1095"/>
      <c r="M713" s="1095"/>
      <c r="N713" s="1096"/>
      <c r="O713" s="1096"/>
      <c r="P713" s="1096"/>
      <c r="Q713" s="1096"/>
      <c r="R713" s="1096"/>
      <c r="S713" s="1096"/>
      <c r="T713" s="1096"/>
      <c r="U713" s="1096"/>
      <c r="V713" s="1096"/>
      <c r="W713" s="1096"/>
      <c r="X713" s="1096"/>
      <c r="Y713" s="1096"/>
      <c r="Z713" s="1096"/>
      <c r="AA713" s="1096"/>
      <c r="AB713" s="1096"/>
      <c r="AC713" s="1096"/>
      <c r="AD713" s="1096"/>
      <c r="AE713" s="1096"/>
      <c r="AF713" s="1096"/>
      <c r="AG713" s="1095"/>
      <c r="AH713" s="1095"/>
      <c r="AI713" s="1096"/>
      <c r="AJ713" s="1095"/>
      <c r="AK713" s="1096"/>
      <c r="AL713" s="1874"/>
      <c r="AM713" s="1714"/>
      <c r="AN713" s="1714"/>
      <c r="AO713" s="1714"/>
      <c r="AP713" s="1714"/>
      <c r="AQ713" s="1714"/>
      <c r="AR713" s="1714"/>
      <c r="AS713" s="1714"/>
      <c r="AT713" s="1714"/>
      <c r="AU713" s="1714"/>
      <c r="AV713" s="1714"/>
      <c r="AW713" s="1714"/>
      <c r="AX713" s="1714"/>
      <c r="AY713" s="1714"/>
      <c r="AZ713" s="1714"/>
      <c r="BA713" s="1714"/>
      <c r="BB713" s="1714"/>
      <c r="BC713" s="1714"/>
      <c r="BD713" s="1714"/>
      <c r="BE713" s="1714"/>
      <c r="BF713" s="1714"/>
    </row>
    <row r="714" spans="1:58" ht="0.75" customHeight="1">
      <c r="A714" s="1088" t="s">
        <v>1378</v>
      </c>
      <c r="D714" s="1082"/>
      <c r="E714" s="1092"/>
      <c r="F714" s="3894">
        <v>2025</v>
      </c>
      <c r="G714" s="3885"/>
      <c r="H714" s="3898" t="s">
        <v>421</v>
      </c>
      <c r="I714" s="3899"/>
      <c r="J714" s="3891"/>
      <c r="K714" s="3891"/>
      <c r="L714" s="3892"/>
      <c r="M714" s="3743"/>
      <c r="N714" s="1922"/>
      <c r="O714" s="1921"/>
      <c r="P714" s="1922"/>
      <c r="Q714" s="1922"/>
      <c r="R714" s="1922"/>
      <c r="S714" s="1922"/>
      <c r="T714" s="1922"/>
      <c r="U714" s="1922"/>
      <c r="V714" s="1922"/>
      <c r="W714" s="1922"/>
      <c r="X714" s="1922"/>
      <c r="Y714" s="1922"/>
      <c r="Z714" s="1922"/>
      <c r="AA714" s="1922"/>
      <c r="AB714" s="1922"/>
      <c r="AC714" s="1922"/>
      <c r="AD714" s="1922"/>
      <c r="AE714" s="1922"/>
      <c r="AF714" s="3897"/>
      <c r="AG714" s="3892"/>
      <c r="AH714" s="3892"/>
      <c r="AI714" s="3897"/>
      <c r="AJ714" s="3892"/>
      <c r="AK714" s="3892"/>
      <c r="AL714" s="1874"/>
      <c r="AM714" s="1714"/>
      <c r="AN714" s="1714"/>
      <c r="AO714" s="1714"/>
      <c r="AP714" s="1714"/>
      <c r="AQ714" s="1714"/>
      <c r="AR714" s="1714"/>
      <c r="AS714" s="1714"/>
      <c r="AT714" s="1714"/>
      <c r="AU714" s="1714"/>
      <c r="AV714" s="1714"/>
      <c r="AW714" s="1714"/>
      <c r="AX714" s="1714"/>
      <c r="AY714" s="1714"/>
      <c r="AZ714" s="1714"/>
      <c r="BA714" s="1714"/>
      <c r="BB714" s="1714"/>
      <c r="BC714" s="1714"/>
      <c r="BD714" s="1714"/>
      <c r="BE714" s="1714"/>
      <c r="BF714" s="1714"/>
    </row>
    <row r="715" spans="1:58" ht="0.75" customHeight="1">
      <c r="A715" s="1088" t="s">
        <v>1378</v>
      </c>
      <c r="D715" s="1082"/>
      <c r="E715" s="1092"/>
      <c r="F715" s="3894"/>
      <c r="G715" s="3885"/>
      <c r="H715" s="3898"/>
      <c r="I715" s="3899"/>
      <c r="J715" s="3891"/>
      <c r="K715" s="3891"/>
      <c r="L715" s="3892"/>
      <c r="M715" s="3743"/>
      <c r="N715" s="3900"/>
      <c r="O715" s="3901"/>
      <c r="P715" s="3888"/>
      <c r="Q715" s="3891"/>
      <c r="R715" s="3891"/>
      <c r="S715" s="3891"/>
      <c r="T715" s="3891"/>
      <c r="U715" s="3891"/>
      <c r="V715" s="3891"/>
      <c r="W715" s="3891"/>
      <c r="X715" s="3891"/>
      <c r="Y715" s="3891"/>
      <c r="Z715" s="1923"/>
      <c r="AA715" s="1924"/>
      <c r="AB715" s="1924"/>
      <c r="AC715" s="1925"/>
      <c r="AD715" s="1925"/>
      <c r="AE715" s="1926"/>
      <c r="AF715" s="3897"/>
      <c r="AG715" s="3892"/>
      <c r="AH715" s="3892"/>
      <c r="AI715" s="3897"/>
      <c r="AJ715" s="3892"/>
      <c r="AK715" s="3892"/>
      <c r="AL715" s="1874"/>
      <c r="AM715" s="1714"/>
      <c r="AN715" s="1714"/>
      <c r="AO715" s="1714"/>
      <c r="AP715" s="1714"/>
      <c r="AQ715" s="1714"/>
      <c r="AR715" s="1714"/>
      <c r="AS715" s="1714"/>
      <c r="AT715" s="1714"/>
      <c r="AU715" s="1714"/>
      <c r="AV715" s="1714"/>
      <c r="AW715" s="1714"/>
      <c r="AX715" s="1714"/>
      <c r="AY715" s="1714"/>
      <c r="AZ715" s="1714"/>
      <c r="BA715" s="1714"/>
      <c r="BB715" s="1714"/>
      <c r="BC715" s="1714"/>
      <c r="BD715" s="1714"/>
      <c r="BE715" s="1714"/>
      <c r="BF715" s="1714"/>
    </row>
    <row r="716" spans="1:58" ht="0.75" customHeight="1">
      <c r="A716" s="1088" t="s">
        <v>1378</v>
      </c>
      <c r="D716" s="1082"/>
      <c r="E716" s="1092"/>
      <c r="F716" s="3894"/>
      <c r="G716" s="3885"/>
      <c r="H716" s="3898"/>
      <c r="I716" s="3899"/>
      <c r="J716" s="3891"/>
      <c r="K716" s="3891"/>
      <c r="L716" s="3892"/>
      <c r="M716" s="3743"/>
      <c r="N716" s="3900"/>
      <c r="O716" s="3901"/>
      <c r="P716" s="3889"/>
      <c r="Q716" s="3891"/>
      <c r="R716" s="3891"/>
      <c r="S716" s="3891"/>
      <c r="T716" s="3891"/>
      <c r="U716" s="3891"/>
      <c r="V716" s="3891"/>
      <c r="W716" s="3891"/>
      <c r="X716" s="3891"/>
      <c r="Y716" s="3891"/>
      <c r="Z716" s="1927"/>
      <c r="AA716" s="1928"/>
      <c r="AB716" s="1929"/>
      <c r="AC716" s="1930"/>
      <c r="AD716" s="1929"/>
      <c r="AE716" s="1930"/>
      <c r="AF716" s="3897"/>
      <c r="AG716" s="3892"/>
      <c r="AH716" s="3892"/>
      <c r="AI716" s="3897"/>
      <c r="AJ716" s="3892"/>
      <c r="AK716" s="3892"/>
      <c r="AL716" s="1874"/>
      <c r="AM716" s="1714"/>
      <c r="AN716" s="1714"/>
      <c r="AO716" s="1714"/>
      <c r="AP716" s="1714"/>
      <c r="AQ716" s="1714"/>
      <c r="AR716" s="1714"/>
      <c r="AS716" s="1714"/>
      <c r="AT716" s="1714"/>
      <c r="AU716" s="1714"/>
      <c r="AV716" s="1714"/>
      <c r="AW716" s="1714"/>
      <c r="AX716" s="1714"/>
      <c r="AY716" s="1714"/>
      <c r="AZ716" s="1714"/>
      <c r="BA716" s="1714"/>
      <c r="BB716" s="1714"/>
      <c r="BC716" s="1714"/>
      <c r="BD716" s="1714"/>
      <c r="BE716" s="1714"/>
      <c r="BF716" s="1714"/>
    </row>
    <row r="717" spans="1:58" ht="0.75" customHeight="1">
      <c r="A717" s="1088" t="s">
        <v>1378</v>
      </c>
      <c r="D717" s="1082"/>
      <c r="E717" s="1092"/>
      <c r="F717" s="3894"/>
      <c r="G717" s="3885"/>
      <c r="H717" s="3898"/>
      <c r="I717" s="3899"/>
      <c r="J717" s="3891"/>
      <c r="K717" s="3891"/>
      <c r="L717" s="3892"/>
      <c r="M717" s="3743"/>
      <c r="N717" s="3900"/>
      <c r="O717" s="3901"/>
      <c r="P717" s="3890"/>
      <c r="Q717" s="3891"/>
      <c r="R717" s="3891"/>
      <c r="S717" s="3891"/>
      <c r="T717" s="3891"/>
      <c r="U717" s="3891"/>
      <c r="V717" s="3891"/>
      <c r="W717" s="3891"/>
      <c r="X717" s="3891"/>
      <c r="Y717" s="3891"/>
      <c r="Z717" s="1923"/>
      <c r="AA717" s="1924"/>
      <c r="AB717" s="1931"/>
      <c r="AC717" s="1925"/>
      <c r="AD717" s="1925"/>
      <c r="AE717" s="1932"/>
      <c r="AF717" s="3897"/>
      <c r="AG717" s="3892"/>
      <c r="AH717" s="3892"/>
      <c r="AI717" s="3897"/>
      <c r="AJ717" s="3892"/>
      <c r="AK717" s="3892"/>
      <c r="AL717" s="1874"/>
      <c r="AM717" s="1714"/>
      <c r="AN717" s="1714"/>
      <c r="AO717" s="1714"/>
      <c r="AP717" s="1714"/>
      <c r="AQ717" s="1714"/>
      <c r="AR717" s="1714"/>
      <c r="AS717" s="1714"/>
      <c r="AT717" s="1714"/>
      <c r="AU717" s="1714"/>
      <c r="AV717" s="1714"/>
      <c r="AW717" s="1714"/>
      <c r="AX717" s="1714"/>
      <c r="AY717" s="1714"/>
      <c r="AZ717" s="1714"/>
      <c r="BA717" s="1714"/>
      <c r="BB717" s="1714"/>
      <c r="BC717" s="1714"/>
      <c r="BD717" s="1714"/>
      <c r="BE717" s="1714"/>
      <c r="BF717" s="1714"/>
    </row>
    <row r="718" spans="1:58" ht="0.75" customHeight="1">
      <c r="A718" s="1088" t="s">
        <v>1378</v>
      </c>
      <c r="D718" s="1082"/>
      <c r="E718" s="1092"/>
      <c r="F718" s="3894"/>
      <c r="G718" s="3885"/>
      <c r="H718" s="3898"/>
      <c r="I718" s="3899"/>
      <c r="J718" s="3891"/>
      <c r="K718" s="3891"/>
      <c r="L718" s="3892"/>
      <c r="M718" s="3743"/>
      <c r="N718" s="1924"/>
      <c r="O718" s="1924"/>
      <c r="P718" s="1931"/>
      <c r="Q718" s="1924"/>
      <c r="R718" s="1924"/>
      <c r="S718" s="1924"/>
      <c r="T718" s="1924"/>
      <c r="U718" s="1924"/>
      <c r="V718" s="1924"/>
      <c r="W718" s="1924"/>
      <c r="X718" s="1924"/>
      <c r="Y718" s="1924"/>
      <c r="Z718" s="1924"/>
      <c r="AA718" s="1924"/>
      <c r="AB718" s="1924"/>
      <c r="AC718" s="1924"/>
      <c r="AD718" s="1924"/>
      <c r="AE718" s="1933"/>
      <c r="AF718" s="3897"/>
      <c r="AG718" s="3892"/>
      <c r="AH718" s="3892"/>
      <c r="AI718" s="3897"/>
      <c r="AJ718" s="3892"/>
      <c r="AK718" s="3892"/>
      <c r="AL718" s="1874"/>
      <c r="AM718" s="1714"/>
      <c r="AN718" s="1714"/>
      <c r="AO718" s="1714"/>
      <c r="AP718" s="1714"/>
      <c r="AQ718" s="1714"/>
      <c r="AR718" s="1714"/>
      <c r="AS718" s="1714"/>
      <c r="AT718" s="1714"/>
      <c r="AU718" s="1714"/>
      <c r="AV718" s="1714"/>
      <c r="AW718" s="1714"/>
      <c r="AX718" s="1714"/>
      <c r="AY718" s="1714"/>
      <c r="AZ718" s="1714"/>
      <c r="BA718" s="1714"/>
      <c r="BB718" s="1714"/>
      <c r="BC718" s="1714"/>
      <c r="BD718" s="1714"/>
      <c r="BE718" s="1714"/>
      <c r="BF718" s="1714"/>
    </row>
    <row r="719" spans="1:58" ht="11.25" customHeight="1">
      <c r="A719" s="1088" t="s">
        <v>1378</v>
      </c>
      <c r="D719" s="1082"/>
      <c r="E719" s="1092"/>
      <c r="F719" s="3895"/>
      <c r="G719" s="3853" t="s">
        <v>90</v>
      </c>
      <c r="H719" s="3885" t="s">
        <v>164</v>
      </c>
      <c r="I719" s="3886"/>
      <c r="J719" s="3883"/>
      <c r="K719" s="3887" t="s">
        <v>1505</v>
      </c>
      <c r="L719" s="3599" t="s">
        <v>6</v>
      </c>
      <c r="M719" s="3600"/>
      <c r="N719" s="1872"/>
      <c r="O719" s="1099" t="s">
        <v>421</v>
      </c>
      <c r="P719" s="1100"/>
      <c r="Q719" s="1100"/>
      <c r="R719" s="1100"/>
      <c r="S719" s="1100"/>
      <c r="T719" s="1100"/>
      <c r="U719" s="1100"/>
      <c r="V719" s="1100"/>
      <c r="W719" s="1100"/>
      <c r="X719" s="1100"/>
      <c r="Y719" s="1100"/>
      <c r="Z719" s="1100"/>
      <c r="AA719" s="1100"/>
      <c r="AB719" s="1100"/>
      <c r="AC719" s="1100"/>
      <c r="AD719" s="1100"/>
      <c r="AE719" s="1100"/>
      <c r="AF719" s="3876">
        <v>2024</v>
      </c>
      <c r="AG719" s="3877" t="s">
        <v>1506</v>
      </c>
      <c r="AH719" s="3877" t="s">
        <v>1484</v>
      </c>
      <c r="AI719" s="3876">
        <v>2024</v>
      </c>
      <c r="AJ719" s="3877" t="s">
        <v>1447</v>
      </c>
      <c r="AK719" s="3877" t="s">
        <v>1484</v>
      </c>
      <c r="AL719" s="1874"/>
      <c r="AM719" s="1714"/>
      <c r="AN719" s="1714"/>
      <c r="AO719" s="1714"/>
      <c r="AP719" s="1714"/>
      <c r="AQ719" s="1714"/>
      <c r="AR719" s="1714"/>
      <c r="AS719" s="1714"/>
      <c r="AT719" s="1714"/>
      <c r="AU719" s="1714"/>
      <c r="AV719" s="1714"/>
      <c r="AW719" s="1714"/>
      <c r="AX719" s="1714"/>
      <c r="AY719" s="1714"/>
      <c r="AZ719" s="1714"/>
      <c r="BA719" s="1714"/>
      <c r="BB719" s="1714"/>
      <c r="BC719" s="1714"/>
      <c r="BD719" s="1714"/>
      <c r="BE719" s="1714"/>
      <c r="BF719" s="1714"/>
    </row>
    <row r="720" spans="1:58" ht="11.25" customHeight="1">
      <c r="A720" s="1088" t="s">
        <v>1378</v>
      </c>
      <c r="D720" s="1082"/>
      <c r="E720" s="1092"/>
      <c r="F720" s="3895"/>
      <c r="G720" s="3875"/>
      <c r="H720" s="3885" t="s">
        <v>421</v>
      </c>
      <c r="I720" s="3886"/>
      <c r="J720" s="3883"/>
      <c r="K720" s="3887"/>
      <c r="L720" s="3599"/>
      <c r="M720" s="3600"/>
      <c r="N720" s="3878"/>
      <c r="O720" s="3879">
        <v>1</v>
      </c>
      <c r="P720" s="3880" t="s">
        <v>50</v>
      </c>
      <c r="Q720" s="3883" t="s">
        <v>1507</v>
      </c>
      <c r="R720" s="3884" t="s">
        <v>1438</v>
      </c>
      <c r="S720" s="3884" t="s">
        <v>1508</v>
      </c>
      <c r="T720" s="3884" t="s">
        <v>1509</v>
      </c>
      <c r="U720" s="3884" t="s">
        <v>1510</v>
      </c>
      <c r="V720" s="3884" t="s">
        <v>1511</v>
      </c>
      <c r="W720" s="3884" t="s">
        <v>1512</v>
      </c>
      <c r="X720" s="3884" t="s">
        <v>1513</v>
      </c>
      <c r="Y720" s="3884" t="s">
        <v>1514</v>
      </c>
      <c r="Z720" s="1097"/>
      <c r="AA720" s="1098"/>
      <c r="AB720" s="1098"/>
      <c r="AC720" s="1102"/>
      <c r="AD720" s="1102"/>
      <c r="AE720" s="1103"/>
      <c r="AF720" s="3876"/>
      <c r="AG720" s="3877"/>
      <c r="AH720" s="3877"/>
      <c r="AI720" s="3876"/>
      <c r="AJ720" s="3877"/>
      <c r="AK720" s="3877"/>
      <c r="AL720" s="1874"/>
      <c r="AM720" s="1714"/>
      <c r="AN720" s="1714"/>
      <c r="AO720" s="1714"/>
      <c r="AP720" s="1714"/>
      <c r="AQ720" s="1714"/>
      <c r="AR720" s="1714"/>
      <c r="AS720" s="1714"/>
      <c r="AT720" s="1714"/>
      <c r="AU720" s="1714"/>
      <c r="AV720" s="1714"/>
      <c r="AW720" s="1714"/>
      <c r="AX720" s="1714"/>
      <c r="AY720" s="1714"/>
      <c r="AZ720" s="1714"/>
      <c r="BA720" s="1714"/>
      <c r="BB720" s="1714"/>
      <c r="BC720" s="1714"/>
      <c r="BD720" s="1714"/>
      <c r="BE720" s="1714"/>
      <c r="BF720" s="1714"/>
    </row>
    <row r="721" spans="1:58" ht="11.25" customHeight="1">
      <c r="A721" s="1088" t="s">
        <v>1378</v>
      </c>
      <c r="D721" s="1082"/>
      <c r="E721" s="1092"/>
      <c r="F721" s="3895"/>
      <c r="G721" s="3875"/>
      <c r="H721" s="3885" t="s">
        <v>421</v>
      </c>
      <c r="I721" s="3886"/>
      <c r="J721" s="3883"/>
      <c r="K721" s="3887"/>
      <c r="L721" s="3599"/>
      <c r="M721" s="3600"/>
      <c r="N721" s="3878"/>
      <c r="O721" s="3879"/>
      <c r="P721" s="3881"/>
      <c r="Q721" s="3883"/>
      <c r="R721" s="3874"/>
      <c r="S721" s="3884"/>
      <c r="T721" s="3874"/>
      <c r="U721" s="3874"/>
      <c r="V721" s="3874"/>
      <c r="W721" s="3874"/>
      <c r="X721" s="3874"/>
      <c r="Y721" s="3874"/>
      <c r="Z721" s="1719"/>
      <c r="AA721" s="1686">
        <v>1</v>
      </c>
      <c r="AB721" s="1101" t="s">
        <v>1453</v>
      </c>
      <c r="AC721" s="1091">
        <v>2949.18</v>
      </c>
      <c r="AD721" s="1101" t="str">
        <f>AB721</f>
        <v xml:space="preserve">      Амортизационные отчисления с выделением результатов переоценки основных средств и нематериальных активов</v>
      </c>
      <c r="AE721" s="1091">
        <v>0</v>
      </c>
      <c r="AF721" s="3876"/>
      <c r="AG721" s="3877"/>
      <c r="AH721" s="3877"/>
      <c r="AI721" s="3876"/>
      <c r="AJ721" s="3877"/>
      <c r="AK721" s="3877"/>
      <c r="AL721" s="1874"/>
      <c r="AM721" s="1714"/>
      <c r="AN721" s="1714"/>
      <c r="AO721" s="1714"/>
      <c r="AP721" s="1714"/>
      <c r="AQ721" s="1714"/>
      <c r="AR721" s="1714"/>
      <c r="AS721" s="1714"/>
      <c r="AT721" s="1714"/>
      <c r="AU721" s="1714"/>
      <c r="AV721" s="1714"/>
      <c r="AW721" s="1714"/>
      <c r="AX721" s="1714"/>
      <c r="AY721" s="1714"/>
      <c r="AZ721" s="1714"/>
      <c r="BA721" s="1714"/>
      <c r="BB721" s="1714"/>
      <c r="BC721" s="1714"/>
      <c r="BD721" s="1714"/>
      <c r="BE721" s="1714"/>
      <c r="BF721" s="1714"/>
    </row>
    <row r="722" spans="1:58" ht="11.25" customHeight="1">
      <c r="A722" s="1088" t="s">
        <v>1378</v>
      </c>
      <c r="D722" s="1082"/>
      <c r="E722" s="1092"/>
      <c r="F722" s="3875"/>
      <c r="G722" s="3875"/>
      <c r="H722" s="3875"/>
      <c r="I722" s="3875"/>
      <c r="J722" s="3875"/>
      <c r="K722" s="3875"/>
      <c r="L722" s="3875"/>
      <c r="M722" s="3875"/>
      <c r="N722" s="3875"/>
      <c r="O722" s="3875"/>
      <c r="P722" s="3875"/>
      <c r="Q722" s="3875"/>
      <c r="R722" s="3875"/>
      <c r="S722" s="3875"/>
      <c r="T722" s="3875"/>
      <c r="U722" s="3875"/>
      <c r="V722" s="3875"/>
      <c r="W722" s="3875"/>
      <c r="X722" s="3875"/>
      <c r="Y722" s="3875"/>
      <c r="Z722" s="617" t="s">
        <v>90</v>
      </c>
      <c r="AA722" s="1706" t="s">
        <v>89</v>
      </c>
      <c r="AB722" s="1101" t="s">
        <v>1443</v>
      </c>
      <c r="AC722" s="1091">
        <v>13209.33</v>
      </c>
      <c r="AD722" s="1101" t="str">
        <f>AB722</f>
        <v xml:space="preserve">  Прибыль направляемая на инвестиции</v>
      </c>
      <c r="AE722" s="1091">
        <v>0</v>
      </c>
      <c r="AF722" s="3902"/>
      <c r="AG722" s="3903"/>
      <c r="AH722" s="3903"/>
      <c r="AI722" s="3902"/>
      <c r="AJ722" s="3903"/>
      <c r="AK722" s="3904"/>
      <c r="AL722" s="1874"/>
      <c r="AM722" s="1714"/>
      <c r="AN722" s="1714"/>
      <c r="AO722" s="1714"/>
      <c r="AP722" s="1714"/>
      <c r="AQ722" s="1714"/>
      <c r="AR722" s="1714"/>
      <c r="AS722" s="1714"/>
      <c r="AT722" s="1714"/>
      <c r="AU722" s="1714"/>
      <c r="AV722" s="1714"/>
      <c r="AW722" s="1714"/>
      <c r="AX722" s="1714"/>
      <c r="AY722" s="1714"/>
      <c r="AZ722" s="1714"/>
      <c r="BA722" s="1714"/>
      <c r="BB722" s="1714"/>
      <c r="BC722" s="1714"/>
      <c r="BD722" s="1714"/>
      <c r="BE722" s="1714"/>
      <c r="BF722" s="1714"/>
    </row>
    <row r="723" spans="1:58" ht="11.25" customHeight="1">
      <c r="A723" s="1088" t="s">
        <v>1378</v>
      </c>
      <c r="D723" s="1082"/>
      <c r="E723" s="1092"/>
      <c r="F723" s="3895"/>
      <c r="G723" s="3875"/>
      <c r="H723" s="3885" t="s">
        <v>421</v>
      </c>
      <c r="I723" s="3886"/>
      <c r="J723" s="3883"/>
      <c r="K723" s="3887"/>
      <c r="L723" s="3599"/>
      <c r="M723" s="3600"/>
      <c r="N723" s="3878"/>
      <c r="O723" s="3879"/>
      <c r="P723" s="3882"/>
      <c r="Q723" s="3883"/>
      <c r="R723" s="3874"/>
      <c r="S723" s="3884"/>
      <c r="T723" s="3874"/>
      <c r="U723" s="3874"/>
      <c r="V723" s="3874"/>
      <c r="W723" s="3874"/>
      <c r="X723" s="3874"/>
      <c r="Y723" s="3874"/>
      <c r="Z723" s="1097"/>
      <c r="AA723" s="1098"/>
      <c r="AB723" s="1163" t="s">
        <v>1444</v>
      </c>
      <c r="AC723" s="1102"/>
      <c r="AD723" s="1102"/>
      <c r="AE723" s="1104"/>
      <c r="AF723" s="3876"/>
      <c r="AG723" s="3877"/>
      <c r="AH723" s="3877"/>
      <c r="AI723" s="3876"/>
      <c r="AJ723" s="3877"/>
      <c r="AK723" s="3877"/>
      <c r="AL723" s="1874"/>
      <c r="AM723" s="1714"/>
      <c r="AN723" s="1714"/>
      <c r="AO723" s="1714"/>
      <c r="AP723" s="1714"/>
      <c r="AQ723" s="1714"/>
      <c r="AR723" s="1714"/>
      <c r="AS723" s="1714"/>
      <c r="AT723" s="1714"/>
      <c r="AU723" s="1714"/>
      <c r="AV723" s="1714"/>
      <c r="AW723" s="1714"/>
      <c r="AX723" s="1714"/>
      <c r="AY723" s="1714"/>
      <c r="AZ723" s="1714"/>
      <c r="BA723" s="1714"/>
      <c r="BB723" s="1714"/>
      <c r="BC723" s="1714"/>
      <c r="BD723" s="1714"/>
      <c r="BE723" s="1714"/>
      <c r="BF723" s="1714"/>
    </row>
    <row r="724" spans="1:58" ht="11.25" customHeight="1">
      <c r="A724" s="1088" t="s">
        <v>1378</v>
      </c>
      <c r="D724" s="1082"/>
      <c r="E724" s="1092"/>
      <c r="F724" s="3895"/>
      <c r="G724" s="3875"/>
      <c r="H724" s="3885" t="s">
        <v>421</v>
      </c>
      <c r="I724" s="3886"/>
      <c r="J724" s="3883"/>
      <c r="K724" s="3887"/>
      <c r="L724" s="3599"/>
      <c r="M724" s="3600"/>
      <c r="N724" s="1097"/>
      <c r="O724" s="1098"/>
      <c r="P724" s="1090" t="s">
        <v>1445</v>
      </c>
      <c r="Q724" s="1098"/>
      <c r="R724" s="1098"/>
      <c r="S724" s="1098"/>
      <c r="T724" s="1098"/>
      <c r="U724" s="1098"/>
      <c r="V724" s="1098"/>
      <c r="W724" s="1098"/>
      <c r="X724" s="1098"/>
      <c r="Y724" s="1098"/>
      <c r="Z724" s="1098"/>
      <c r="AA724" s="1098"/>
      <c r="AB724" s="1098"/>
      <c r="AC724" s="1098"/>
      <c r="AD724" s="1098"/>
      <c r="AE724" s="1105"/>
      <c r="AF724" s="3876"/>
      <c r="AG724" s="3877"/>
      <c r="AH724" s="3877"/>
      <c r="AI724" s="3876"/>
      <c r="AJ724" s="3877"/>
      <c r="AK724" s="3877"/>
      <c r="AL724" s="1874"/>
      <c r="AM724" s="1714"/>
      <c r="AN724" s="1714"/>
      <c r="AO724" s="1714"/>
      <c r="AP724" s="1714"/>
      <c r="AQ724" s="1714"/>
      <c r="AR724" s="1714"/>
      <c r="AS724" s="1714"/>
      <c r="AT724" s="1714"/>
      <c r="AU724" s="1714"/>
      <c r="AV724" s="1714"/>
      <c r="AW724" s="1714"/>
      <c r="AX724" s="1714"/>
      <c r="AY724" s="1714"/>
      <c r="AZ724" s="1714"/>
      <c r="BA724" s="1714"/>
      <c r="BB724" s="1714"/>
      <c r="BC724" s="1714"/>
      <c r="BD724" s="1714"/>
      <c r="BE724" s="1714"/>
      <c r="BF724" s="1714"/>
    </row>
    <row r="725" spans="1:58" ht="12" customHeight="1">
      <c r="A725" s="1088" t="s">
        <v>1378</v>
      </c>
      <c r="D725" s="1082"/>
      <c r="E725" s="1092"/>
      <c r="F725" s="3896"/>
      <c r="G725" s="1112"/>
      <c r="H725" s="1112"/>
      <c r="I725" s="3893" t="s">
        <v>1451</v>
      </c>
      <c r="J725" s="3893"/>
      <c r="K725" s="3893"/>
      <c r="L725" s="1095"/>
      <c r="M725" s="1095"/>
      <c r="N725" s="1096"/>
      <c r="O725" s="1096"/>
      <c r="P725" s="1096"/>
      <c r="Q725" s="1096"/>
      <c r="R725" s="1096"/>
      <c r="S725" s="1096"/>
      <c r="T725" s="1096"/>
      <c r="U725" s="1096"/>
      <c r="V725" s="1096"/>
      <c r="W725" s="1096"/>
      <c r="X725" s="1096"/>
      <c r="Y725" s="1096"/>
      <c r="Z725" s="1096"/>
      <c r="AA725" s="1096"/>
      <c r="AB725" s="1096"/>
      <c r="AC725" s="1096"/>
      <c r="AD725" s="1096"/>
      <c r="AE725" s="1096"/>
      <c r="AF725" s="1096"/>
      <c r="AG725" s="1095"/>
      <c r="AH725" s="1095"/>
      <c r="AI725" s="1096"/>
      <c r="AJ725" s="1095"/>
      <c r="AK725" s="1096"/>
      <c r="AL725" s="1874"/>
      <c r="AM725" s="1714"/>
      <c r="AN725" s="1714"/>
      <c r="AO725" s="1714"/>
      <c r="AP725" s="1714"/>
      <c r="AQ725" s="1714"/>
      <c r="AR725" s="1714"/>
      <c r="AS725" s="1714"/>
      <c r="AT725" s="1714"/>
      <c r="AU725" s="1714"/>
      <c r="AV725" s="1714"/>
      <c r="AW725" s="1714"/>
      <c r="AX725" s="1714"/>
      <c r="AY725" s="1714"/>
      <c r="AZ725" s="1714"/>
      <c r="BA725" s="1714"/>
      <c r="BB725" s="1714"/>
      <c r="BC725" s="1714"/>
      <c r="BD725" s="1714"/>
      <c r="BE725" s="1714"/>
      <c r="BF725" s="1714"/>
    </row>
    <row r="726" spans="1:58" ht="21" customHeight="1">
      <c r="A726" s="1089" t="s">
        <v>1386</v>
      </c>
      <c r="D726" s="1082"/>
      <c r="E726" s="1092" t="s">
        <v>9</v>
      </c>
      <c r="F726" s="1045" t="str">
        <f>INDEX(IP_MAIN_LIST_NAME_IP,MATCH(A726,IP_MAIN_LIST_IP_ID,0))&amp;" ("&amp;INDEX(IP_MAIN_START_DATE,MATCH(A726,IP_MAIN_LIST_IP_ID,0))&amp;"-"&amp;INDEX(IP_MAIN_END_DATE,MATCH(A726,IP_MAIN_LIST_IP_ID,0))&amp;")"</f>
        <v>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 (01.01.2024-31.12.2026)</v>
      </c>
      <c r="G726" s="1046"/>
      <c r="H726" s="1046"/>
      <c r="I726" s="1107"/>
      <c r="J726" s="1107"/>
      <c r="K726" s="1108"/>
      <c r="L726" s="1108"/>
      <c r="M726" s="1108"/>
      <c r="N726" s="1109"/>
      <c r="O726" s="1109"/>
      <c r="P726" s="1109"/>
      <c r="Q726" s="1109"/>
      <c r="R726" s="1109"/>
      <c r="S726" s="1109"/>
      <c r="T726" s="1109"/>
      <c r="U726" s="1109"/>
      <c r="V726" s="1109"/>
      <c r="W726" s="1109"/>
      <c r="X726" s="1109"/>
      <c r="Y726" s="1109"/>
      <c r="Z726" s="1109"/>
      <c r="AA726" s="1109"/>
      <c r="AB726" s="1109"/>
      <c r="AC726" s="1109"/>
      <c r="AD726" s="1109"/>
      <c r="AE726" s="1110"/>
      <c r="AF726" s="1108"/>
      <c r="AG726" s="1108"/>
      <c r="AH726" s="1108"/>
      <c r="AI726" s="1108"/>
      <c r="AJ726" s="1108"/>
      <c r="AK726" s="1108"/>
      <c r="AL726" s="1874"/>
      <c r="AM726" s="1714"/>
      <c r="AN726" s="1714"/>
      <c r="AO726" s="1714"/>
      <c r="AP726" s="1714"/>
      <c r="AQ726" s="1714"/>
      <c r="AR726" s="1714"/>
      <c r="AS726" s="1714"/>
      <c r="AT726" s="1714"/>
      <c r="AU726" s="1714"/>
      <c r="AV726" s="1714"/>
      <c r="AW726" s="1714"/>
      <c r="AX726" s="1714"/>
      <c r="AY726" s="1714"/>
      <c r="AZ726" s="1714"/>
      <c r="BA726" s="1714"/>
      <c r="BB726" s="1714"/>
      <c r="BC726" s="1714"/>
      <c r="BD726" s="1714"/>
      <c r="BE726" s="1714"/>
      <c r="BF726" s="1714"/>
    </row>
    <row r="727" spans="1:58" ht="0.75" customHeight="1">
      <c r="A727" s="1088" t="s">
        <v>1386</v>
      </c>
      <c r="D727" s="1082"/>
      <c r="E727" s="1092"/>
      <c r="F727" s="3894">
        <v>2024</v>
      </c>
      <c r="G727" s="3885"/>
      <c r="H727" s="3898" t="s">
        <v>421</v>
      </c>
      <c r="I727" s="3899"/>
      <c r="J727" s="3891"/>
      <c r="K727" s="3891"/>
      <c r="L727" s="3892"/>
      <c r="M727" s="3743"/>
      <c r="N727" s="1922"/>
      <c r="O727" s="1921"/>
      <c r="P727" s="1922"/>
      <c r="Q727" s="1922"/>
      <c r="R727" s="1922"/>
      <c r="S727" s="1922"/>
      <c r="T727" s="1922"/>
      <c r="U727" s="1922"/>
      <c r="V727" s="1922"/>
      <c r="W727" s="1922"/>
      <c r="X727" s="1922"/>
      <c r="Y727" s="1922"/>
      <c r="Z727" s="1922"/>
      <c r="AA727" s="1922"/>
      <c r="AB727" s="1922"/>
      <c r="AC727" s="1922"/>
      <c r="AD727" s="1922"/>
      <c r="AE727" s="1922"/>
      <c r="AF727" s="3897"/>
      <c r="AG727" s="3892"/>
      <c r="AH727" s="3892"/>
      <c r="AI727" s="3897"/>
      <c r="AJ727" s="3892"/>
      <c r="AK727" s="3892"/>
      <c r="AL727" s="1874"/>
      <c r="AM727" s="1714"/>
      <c r="AN727" s="1714"/>
      <c r="AO727" s="1714"/>
      <c r="AP727" s="1714"/>
      <c r="AQ727" s="1714"/>
      <c r="AR727" s="1714"/>
      <c r="AS727" s="1714"/>
      <c r="AT727" s="1714"/>
      <c r="AU727" s="1714"/>
      <c r="AV727" s="1714"/>
      <c r="AW727" s="1714"/>
      <c r="AX727" s="1714"/>
      <c r="AY727" s="1714"/>
      <c r="AZ727" s="1714"/>
      <c r="BA727" s="1714"/>
      <c r="BB727" s="1714"/>
      <c r="BC727" s="1714"/>
      <c r="BD727" s="1714"/>
      <c r="BE727" s="1714"/>
      <c r="BF727" s="1714"/>
    </row>
    <row r="728" spans="1:58" ht="0.75" customHeight="1">
      <c r="A728" s="1088" t="s">
        <v>1386</v>
      </c>
      <c r="D728" s="1082"/>
      <c r="E728" s="1092"/>
      <c r="F728" s="3894"/>
      <c r="G728" s="3885"/>
      <c r="H728" s="3898"/>
      <c r="I728" s="3899"/>
      <c r="J728" s="3891"/>
      <c r="K728" s="3891"/>
      <c r="L728" s="3892"/>
      <c r="M728" s="3743"/>
      <c r="N728" s="3900"/>
      <c r="O728" s="3901"/>
      <c r="P728" s="3888"/>
      <c r="Q728" s="3891"/>
      <c r="R728" s="3891"/>
      <c r="S728" s="3891"/>
      <c r="T728" s="3891"/>
      <c r="U728" s="3891"/>
      <c r="V728" s="3891"/>
      <c r="W728" s="3891"/>
      <c r="X728" s="3891"/>
      <c r="Y728" s="3891"/>
      <c r="Z728" s="1923"/>
      <c r="AA728" s="1924"/>
      <c r="AB728" s="1924"/>
      <c r="AC728" s="1925"/>
      <c r="AD728" s="1925"/>
      <c r="AE728" s="1926"/>
      <c r="AF728" s="3897"/>
      <c r="AG728" s="3892"/>
      <c r="AH728" s="3892"/>
      <c r="AI728" s="3897"/>
      <c r="AJ728" s="3892"/>
      <c r="AK728" s="3892"/>
      <c r="AL728" s="1874"/>
      <c r="AM728" s="1714"/>
      <c r="AN728" s="1714"/>
      <c r="AO728" s="1714"/>
      <c r="AP728" s="1714"/>
      <c r="AQ728" s="1714"/>
      <c r="AR728" s="1714"/>
      <c r="AS728" s="1714"/>
      <c r="AT728" s="1714"/>
      <c r="AU728" s="1714"/>
      <c r="AV728" s="1714"/>
      <c r="AW728" s="1714"/>
      <c r="AX728" s="1714"/>
      <c r="AY728" s="1714"/>
      <c r="AZ728" s="1714"/>
      <c r="BA728" s="1714"/>
      <c r="BB728" s="1714"/>
      <c r="BC728" s="1714"/>
      <c r="BD728" s="1714"/>
      <c r="BE728" s="1714"/>
      <c r="BF728" s="1714"/>
    </row>
    <row r="729" spans="1:58" ht="0.75" customHeight="1">
      <c r="A729" s="1088" t="s">
        <v>1386</v>
      </c>
      <c r="D729" s="1082"/>
      <c r="E729" s="1092"/>
      <c r="F729" s="3894"/>
      <c r="G729" s="3885"/>
      <c r="H729" s="3898"/>
      <c r="I729" s="3899"/>
      <c r="J729" s="3891"/>
      <c r="K729" s="3891"/>
      <c r="L729" s="3892"/>
      <c r="M729" s="3743"/>
      <c r="N729" s="3900"/>
      <c r="O729" s="3901"/>
      <c r="P729" s="3889"/>
      <c r="Q729" s="3891"/>
      <c r="R729" s="3891"/>
      <c r="S729" s="3891"/>
      <c r="T729" s="3891"/>
      <c r="U729" s="3891"/>
      <c r="V729" s="3891"/>
      <c r="W729" s="3891"/>
      <c r="X729" s="3891"/>
      <c r="Y729" s="3891"/>
      <c r="Z729" s="1927"/>
      <c r="AA729" s="1928"/>
      <c r="AB729" s="1929"/>
      <c r="AC729" s="1930"/>
      <c r="AD729" s="1929"/>
      <c r="AE729" s="1930"/>
      <c r="AF729" s="3897"/>
      <c r="AG729" s="3892"/>
      <c r="AH729" s="3892"/>
      <c r="AI729" s="3897"/>
      <c r="AJ729" s="3892"/>
      <c r="AK729" s="3892"/>
      <c r="AL729" s="1874"/>
      <c r="AM729" s="1714"/>
      <c r="AN729" s="1714"/>
      <c r="AO729" s="1714"/>
      <c r="AP729" s="1714"/>
      <c r="AQ729" s="1714"/>
      <c r="AR729" s="1714"/>
      <c r="AS729" s="1714"/>
      <c r="AT729" s="1714"/>
      <c r="AU729" s="1714"/>
      <c r="AV729" s="1714"/>
      <c r="AW729" s="1714"/>
      <c r="AX729" s="1714"/>
      <c r="AY729" s="1714"/>
      <c r="AZ729" s="1714"/>
      <c r="BA729" s="1714"/>
      <c r="BB729" s="1714"/>
      <c r="BC729" s="1714"/>
      <c r="BD729" s="1714"/>
      <c r="BE729" s="1714"/>
      <c r="BF729" s="1714"/>
    </row>
    <row r="730" spans="1:58" ht="0.75" customHeight="1">
      <c r="A730" s="1088" t="s">
        <v>1386</v>
      </c>
      <c r="D730" s="1082"/>
      <c r="E730" s="1092"/>
      <c r="F730" s="3894"/>
      <c r="G730" s="3885"/>
      <c r="H730" s="3898"/>
      <c r="I730" s="3899"/>
      <c r="J730" s="3891"/>
      <c r="K730" s="3891"/>
      <c r="L730" s="3892"/>
      <c r="M730" s="3743"/>
      <c r="N730" s="3900"/>
      <c r="O730" s="3901"/>
      <c r="P730" s="3890"/>
      <c r="Q730" s="3891"/>
      <c r="R730" s="3891"/>
      <c r="S730" s="3891"/>
      <c r="T730" s="3891"/>
      <c r="U730" s="3891"/>
      <c r="V730" s="3891"/>
      <c r="W730" s="3891"/>
      <c r="X730" s="3891"/>
      <c r="Y730" s="3891"/>
      <c r="Z730" s="1923"/>
      <c r="AA730" s="1924"/>
      <c r="AB730" s="1931"/>
      <c r="AC730" s="1925"/>
      <c r="AD730" s="1925"/>
      <c r="AE730" s="1932"/>
      <c r="AF730" s="3897"/>
      <c r="AG730" s="3892"/>
      <c r="AH730" s="3892"/>
      <c r="AI730" s="3897"/>
      <c r="AJ730" s="3892"/>
      <c r="AK730" s="3892"/>
      <c r="AL730" s="1874"/>
      <c r="AM730" s="1714"/>
      <c r="AN730" s="1714"/>
      <c r="AO730" s="1714"/>
      <c r="AP730" s="1714"/>
      <c r="AQ730" s="1714"/>
      <c r="AR730" s="1714"/>
      <c r="AS730" s="1714"/>
      <c r="AT730" s="1714"/>
      <c r="AU730" s="1714"/>
      <c r="AV730" s="1714"/>
      <c r="AW730" s="1714"/>
      <c r="AX730" s="1714"/>
      <c r="AY730" s="1714"/>
      <c r="AZ730" s="1714"/>
      <c r="BA730" s="1714"/>
      <c r="BB730" s="1714"/>
      <c r="BC730" s="1714"/>
      <c r="BD730" s="1714"/>
      <c r="BE730" s="1714"/>
      <c r="BF730" s="1714"/>
    </row>
    <row r="731" spans="1:58" ht="0.75" customHeight="1">
      <c r="A731" s="1088" t="s">
        <v>1386</v>
      </c>
      <c r="D731" s="1082"/>
      <c r="E731" s="1092"/>
      <c r="F731" s="3894"/>
      <c r="G731" s="3885"/>
      <c r="H731" s="3898"/>
      <c r="I731" s="3899"/>
      <c r="J731" s="3891"/>
      <c r="K731" s="3891"/>
      <c r="L731" s="3892"/>
      <c r="M731" s="3743"/>
      <c r="N731" s="1924"/>
      <c r="O731" s="1924"/>
      <c r="P731" s="1931"/>
      <c r="Q731" s="1924"/>
      <c r="R731" s="1924"/>
      <c r="S731" s="1924"/>
      <c r="T731" s="1924"/>
      <c r="U731" s="1924"/>
      <c r="V731" s="1924"/>
      <c r="W731" s="1924"/>
      <c r="X731" s="1924"/>
      <c r="Y731" s="1924"/>
      <c r="Z731" s="1924"/>
      <c r="AA731" s="1924"/>
      <c r="AB731" s="1924"/>
      <c r="AC731" s="1924"/>
      <c r="AD731" s="1924"/>
      <c r="AE731" s="1933"/>
      <c r="AF731" s="3897"/>
      <c r="AG731" s="3892"/>
      <c r="AH731" s="3892"/>
      <c r="AI731" s="3897"/>
      <c r="AJ731" s="3892"/>
      <c r="AK731" s="3892"/>
      <c r="AL731" s="1874"/>
      <c r="AM731" s="1714"/>
      <c r="AN731" s="1714"/>
      <c r="AO731" s="1714"/>
      <c r="AP731" s="1714"/>
      <c r="AQ731" s="1714"/>
      <c r="AR731" s="1714"/>
      <c r="AS731" s="1714"/>
      <c r="AT731" s="1714"/>
      <c r="AU731" s="1714"/>
      <c r="AV731" s="1714"/>
      <c r="AW731" s="1714"/>
      <c r="AX731" s="1714"/>
      <c r="AY731" s="1714"/>
      <c r="AZ731" s="1714"/>
      <c r="BA731" s="1714"/>
      <c r="BB731" s="1714"/>
      <c r="BC731" s="1714"/>
      <c r="BD731" s="1714"/>
      <c r="BE731" s="1714"/>
      <c r="BF731" s="1714"/>
    </row>
    <row r="732" spans="1:58" ht="11.25" customHeight="1">
      <c r="A732" s="1088" t="s">
        <v>1386</v>
      </c>
      <c r="D732" s="1082"/>
      <c r="E732" s="1092"/>
      <c r="F732" s="3895"/>
      <c r="G732" s="3853" t="s">
        <v>90</v>
      </c>
      <c r="H732" s="3885" t="s">
        <v>164</v>
      </c>
      <c r="I732" s="3886"/>
      <c r="J732" s="3883"/>
      <c r="K732" s="3887" t="s">
        <v>1515</v>
      </c>
      <c r="L732" s="3599" t="s">
        <v>6</v>
      </c>
      <c r="M732" s="3600"/>
      <c r="N732" s="1872"/>
      <c r="O732" s="1099" t="s">
        <v>421</v>
      </c>
      <c r="P732" s="1100"/>
      <c r="Q732" s="1100"/>
      <c r="R732" s="1100"/>
      <c r="S732" s="1100"/>
      <c r="T732" s="1100"/>
      <c r="U732" s="1100"/>
      <c r="V732" s="1100"/>
      <c r="W732" s="1100"/>
      <c r="X732" s="1100"/>
      <c r="Y732" s="1100"/>
      <c r="Z732" s="1100"/>
      <c r="AA732" s="1100"/>
      <c r="AB732" s="1100"/>
      <c r="AC732" s="1100"/>
      <c r="AD732" s="1100"/>
      <c r="AE732" s="1100"/>
      <c r="AF732" s="3876">
        <v>2026</v>
      </c>
      <c r="AG732" s="3877" t="s">
        <v>1447</v>
      </c>
      <c r="AH732" s="3877" t="s">
        <v>1455</v>
      </c>
      <c r="AI732" s="3876">
        <v>2026</v>
      </c>
      <c r="AJ732" s="3877" t="s">
        <v>1447</v>
      </c>
      <c r="AK732" s="3877" t="s">
        <v>1455</v>
      </c>
      <c r="AL732" s="1874"/>
      <c r="AM732" s="1714"/>
      <c r="AN732" s="1714"/>
      <c r="AO732" s="1714"/>
      <c r="AP732" s="1714"/>
      <c r="AQ732" s="1714"/>
      <c r="AR732" s="1714"/>
      <c r="AS732" s="1714"/>
      <c r="AT732" s="1714"/>
      <c r="AU732" s="1714"/>
      <c r="AV732" s="1714"/>
      <c r="AW732" s="1714"/>
      <c r="AX732" s="1714"/>
      <c r="AY732" s="1714"/>
      <c r="AZ732" s="1714"/>
      <c r="BA732" s="1714"/>
      <c r="BB732" s="1714"/>
      <c r="BC732" s="1714"/>
      <c r="BD732" s="1714"/>
      <c r="BE732" s="1714"/>
      <c r="BF732" s="1714"/>
    </row>
    <row r="733" spans="1:58" ht="11.25" customHeight="1">
      <c r="A733" s="1088" t="s">
        <v>1386</v>
      </c>
      <c r="D733" s="1082"/>
      <c r="E733" s="1092"/>
      <c r="F733" s="3895"/>
      <c r="G733" s="3875"/>
      <c r="H733" s="3885" t="s">
        <v>421</v>
      </c>
      <c r="I733" s="3886"/>
      <c r="J733" s="3883"/>
      <c r="K733" s="3887"/>
      <c r="L733" s="3599"/>
      <c r="M733" s="3600"/>
      <c r="N733" s="3878"/>
      <c r="O733" s="3879">
        <v>1</v>
      </c>
      <c r="P733" s="3880" t="s">
        <v>50</v>
      </c>
      <c r="Q733" s="3883" t="s">
        <v>1516</v>
      </c>
      <c r="R733" s="3884" t="s">
        <v>1438</v>
      </c>
      <c r="S733" s="3884" t="s">
        <v>140</v>
      </c>
      <c r="T733" s="3884" t="s">
        <v>140</v>
      </c>
      <c r="U733" s="3884" t="s">
        <v>141</v>
      </c>
      <c r="V733" s="3884" t="s">
        <v>1517</v>
      </c>
      <c r="W733" s="3884" t="s">
        <v>1518</v>
      </c>
      <c r="X733" s="3884" t="s">
        <v>1519</v>
      </c>
      <c r="Y733" s="3884" t="s">
        <v>1520</v>
      </c>
      <c r="Z733" s="1097"/>
      <c r="AA733" s="1098"/>
      <c r="AB733" s="1098"/>
      <c r="AC733" s="1102"/>
      <c r="AD733" s="1102"/>
      <c r="AE733" s="1103"/>
      <c r="AF733" s="3876"/>
      <c r="AG733" s="3877"/>
      <c r="AH733" s="3877"/>
      <c r="AI733" s="3876"/>
      <c r="AJ733" s="3877"/>
      <c r="AK733" s="3877"/>
      <c r="AL733" s="1874"/>
      <c r="AM733" s="1714"/>
      <c r="AN733" s="1714"/>
      <c r="AO733" s="1714"/>
      <c r="AP733" s="1714"/>
      <c r="AQ733" s="1714"/>
      <c r="AR733" s="1714"/>
      <c r="AS733" s="1714"/>
      <c r="AT733" s="1714"/>
      <c r="AU733" s="1714"/>
      <c r="AV733" s="1714"/>
      <c r="AW733" s="1714"/>
      <c r="AX733" s="1714"/>
      <c r="AY733" s="1714"/>
      <c r="AZ733" s="1714"/>
      <c r="BA733" s="1714"/>
      <c r="BB733" s="1714"/>
      <c r="BC733" s="1714"/>
      <c r="BD733" s="1714"/>
      <c r="BE733" s="1714"/>
      <c r="BF733" s="1714"/>
    </row>
    <row r="734" spans="1:58" ht="11.25" customHeight="1">
      <c r="A734" s="1088" t="s">
        <v>1386</v>
      </c>
      <c r="D734" s="1082"/>
      <c r="E734" s="1092"/>
      <c r="F734" s="3895"/>
      <c r="G734" s="3875"/>
      <c r="H734" s="3885" t="s">
        <v>421</v>
      </c>
      <c r="I734" s="3886"/>
      <c r="J734" s="3883"/>
      <c r="K734" s="3887"/>
      <c r="L734" s="3599"/>
      <c r="M734" s="3600"/>
      <c r="N734" s="3878"/>
      <c r="O734" s="3879"/>
      <c r="P734" s="3881"/>
      <c r="Q734" s="3883"/>
      <c r="R734" s="3874"/>
      <c r="S734" s="3884"/>
      <c r="T734" s="3874"/>
      <c r="U734" s="3874"/>
      <c r="V734" s="3874"/>
      <c r="W734" s="3874"/>
      <c r="X734" s="3874"/>
      <c r="Y734" s="3874"/>
      <c r="Z734" s="1719"/>
      <c r="AA734" s="1686">
        <v>1</v>
      </c>
      <c r="AB734" s="1101" t="s">
        <v>1443</v>
      </c>
      <c r="AC734" s="1091">
        <v>8235.67</v>
      </c>
      <c r="AD734" s="1101" t="str">
        <f>AB734</f>
        <v xml:space="preserve">  Прибыль направляемая на инвестиции</v>
      </c>
      <c r="AE734" s="1091">
        <v>20.46</v>
      </c>
      <c r="AF734" s="3876"/>
      <c r="AG734" s="3877"/>
      <c r="AH734" s="3877"/>
      <c r="AI734" s="3876"/>
      <c r="AJ734" s="3877"/>
      <c r="AK734" s="3877"/>
      <c r="AL734" s="1874"/>
      <c r="AM734" s="1714"/>
      <c r="AN734" s="1714"/>
      <c r="AO734" s="1714"/>
      <c r="AP734" s="1714"/>
      <c r="AQ734" s="1714"/>
      <c r="AR734" s="1714"/>
      <c r="AS734" s="1714"/>
      <c r="AT734" s="1714"/>
      <c r="AU734" s="1714"/>
      <c r="AV734" s="1714"/>
      <c r="AW734" s="1714"/>
      <c r="AX734" s="1714"/>
      <c r="AY734" s="1714"/>
      <c r="AZ734" s="1714"/>
      <c r="BA734" s="1714"/>
      <c r="BB734" s="1714"/>
      <c r="BC734" s="1714"/>
      <c r="BD734" s="1714"/>
      <c r="BE734" s="1714"/>
      <c r="BF734" s="1714"/>
    </row>
    <row r="735" spans="1:58" ht="11.25" customHeight="1">
      <c r="A735" s="1088" t="s">
        <v>1386</v>
      </c>
      <c r="D735" s="1082"/>
      <c r="E735" s="1092"/>
      <c r="F735" s="3895"/>
      <c r="G735" s="3875"/>
      <c r="H735" s="3885" t="s">
        <v>421</v>
      </c>
      <c r="I735" s="3886"/>
      <c r="J735" s="3883"/>
      <c r="K735" s="3887"/>
      <c r="L735" s="3599"/>
      <c r="M735" s="3600"/>
      <c r="N735" s="3878"/>
      <c r="O735" s="3879"/>
      <c r="P735" s="3882"/>
      <c r="Q735" s="3883"/>
      <c r="R735" s="3874"/>
      <c r="S735" s="3884"/>
      <c r="T735" s="3874"/>
      <c r="U735" s="3874"/>
      <c r="V735" s="3874"/>
      <c r="W735" s="3874"/>
      <c r="X735" s="3874"/>
      <c r="Y735" s="3874"/>
      <c r="Z735" s="1097"/>
      <c r="AA735" s="1098"/>
      <c r="AB735" s="1163" t="s">
        <v>1444</v>
      </c>
      <c r="AC735" s="1102"/>
      <c r="AD735" s="1102"/>
      <c r="AE735" s="1104"/>
      <c r="AF735" s="3876"/>
      <c r="AG735" s="3877"/>
      <c r="AH735" s="3877"/>
      <c r="AI735" s="3876"/>
      <c r="AJ735" s="3877"/>
      <c r="AK735" s="3877"/>
      <c r="AL735" s="1874"/>
      <c r="AM735" s="1714"/>
      <c r="AN735" s="1714"/>
      <c r="AO735" s="1714"/>
      <c r="AP735" s="1714"/>
      <c r="AQ735" s="1714"/>
      <c r="AR735" s="1714"/>
      <c r="AS735" s="1714"/>
      <c r="AT735" s="1714"/>
      <c r="AU735" s="1714"/>
      <c r="AV735" s="1714"/>
      <c r="AW735" s="1714"/>
      <c r="AX735" s="1714"/>
      <c r="AY735" s="1714"/>
      <c r="AZ735" s="1714"/>
      <c r="BA735" s="1714"/>
      <c r="BB735" s="1714"/>
      <c r="BC735" s="1714"/>
      <c r="BD735" s="1714"/>
      <c r="BE735" s="1714"/>
      <c r="BF735" s="1714"/>
    </row>
    <row r="736" spans="1:58" ht="11.25" customHeight="1">
      <c r="A736" s="1088" t="s">
        <v>1386</v>
      </c>
      <c r="D736" s="1082"/>
      <c r="E736" s="1092"/>
      <c r="F736" s="3895"/>
      <c r="G736" s="3875"/>
      <c r="H736" s="3885" t="s">
        <v>421</v>
      </c>
      <c r="I736" s="3886"/>
      <c r="J736" s="3883"/>
      <c r="K736" s="3887"/>
      <c r="L736" s="3599"/>
      <c r="M736" s="3600"/>
      <c r="N736" s="1097"/>
      <c r="O736" s="1098"/>
      <c r="P736" s="1090" t="s">
        <v>1445</v>
      </c>
      <c r="Q736" s="1098"/>
      <c r="R736" s="1098"/>
      <c r="S736" s="1098"/>
      <c r="T736" s="1098"/>
      <c r="U736" s="1098"/>
      <c r="V736" s="1098"/>
      <c r="W736" s="1098"/>
      <c r="X736" s="1098"/>
      <c r="Y736" s="1098"/>
      <c r="Z736" s="1098"/>
      <c r="AA736" s="1098"/>
      <c r="AB736" s="1098"/>
      <c r="AC736" s="1098"/>
      <c r="AD736" s="1098"/>
      <c r="AE736" s="1105"/>
      <c r="AF736" s="3876"/>
      <c r="AG736" s="3877"/>
      <c r="AH736" s="3877"/>
      <c r="AI736" s="3876"/>
      <c r="AJ736" s="3877"/>
      <c r="AK736" s="3877"/>
      <c r="AL736" s="1874"/>
      <c r="AM736" s="1714"/>
      <c r="AN736" s="1714"/>
      <c r="AO736" s="1714"/>
      <c r="AP736" s="1714"/>
      <c r="AQ736" s="1714"/>
      <c r="AR736" s="1714"/>
      <c r="AS736" s="1714"/>
      <c r="AT736" s="1714"/>
      <c r="AU736" s="1714"/>
      <c r="AV736" s="1714"/>
      <c r="AW736" s="1714"/>
      <c r="AX736" s="1714"/>
      <c r="AY736" s="1714"/>
      <c r="AZ736" s="1714"/>
      <c r="BA736" s="1714"/>
      <c r="BB736" s="1714"/>
      <c r="BC736" s="1714"/>
      <c r="BD736" s="1714"/>
      <c r="BE736" s="1714"/>
      <c r="BF736" s="1714"/>
    </row>
    <row r="737" spans="1:58" ht="12" customHeight="1">
      <c r="A737" s="1088" t="s">
        <v>1386</v>
      </c>
      <c r="D737" s="1082"/>
      <c r="E737" s="1092"/>
      <c r="F737" s="3896"/>
      <c r="G737" s="1112"/>
      <c r="H737" s="1112"/>
      <c r="I737" s="3893" t="s">
        <v>1451</v>
      </c>
      <c r="J737" s="3893"/>
      <c r="K737" s="3893"/>
      <c r="L737" s="1095"/>
      <c r="M737" s="1095"/>
      <c r="N737" s="1096"/>
      <c r="O737" s="1096"/>
      <c r="P737" s="1096"/>
      <c r="Q737" s="1096"/>
      <c r="R737" s="1096"/>
      <c r="S737" s="1096"/>
      <c r="T737" s="1096"/>
      <c r="U737" s="1096"/>
      <c r="V737" s="1096"/>
      <c r="W737" s="1096"/>
      <c r="X737" s="1096"/>
      <c r="Y737" s="1096"/>
      <c r="Z737" s="1096"/>
      <c r="AA737" s="1096"/>
      <c r="AB737" s="1096"/>
      <c r="AC737" s="1096"/>
      <c r="AD737" s="1096"/>
      <c r="AE737" s="1096"/>
      <c r="AF737" s="1096"/>
      <c r="AG737" s="1095"/>
      <c r="AH737" s="1095"/>
      <c r="AI737" s="1096"/>
      <c r="AJ737" s="1095"/>
      <c r="AK737" s="1096"/>
      <c r="AL737" s="1874"/>
      <c r="AM737" s="1714"/>
      <c r="AN737" s="1714"/>
      <c r="AO737" s="1714"/>
      <c r="AP737" s="1714"/>
      <c r="AQ737" s="1714"/>
      <c r="AR737" s="1714"/>
      <c r="AS737" s="1714"/>
      <c r="AT737" s="1714"/>
      <c r="AU737" s="1714"/>
      <c r="AV737" s="1714"/>
      <c r="AW737" s="1714"/>
      <c r="AX737" s="1714"/>
      <c r="AY737" s="1714"/>
      <c r="AZ737" s="1714"/>
      <c r="BA737" s="1714"/>
      <c r="BB737" s="1714"/>
      <c r="BC737" s="1714"/>
      <c r="BD737" s="1714"/>
      <c r="BE737" s="1714"/>
      <c r="BF737" s="1714"/>
    </row>
    <row r="738" spans="1:58" ht="0.75" customHeight="1">
      <c r="A738" s="1088" t="s">
        <v>1386</v>
      </c>
      <c r="D738" s="1082"/>
      <c r="E738" s="1092"/>
      <c r="F738" s="3894">
        <v>2025</v>
      </c>
      <c r="G738" s="3885"/>
      <c r="H738" s="3898" t="s">
        <v>421</v>
      </c>
      <c r="I738" s="3899"/>
      <c r="J738" s="3891"/>
      <c r="K738" s="3891"/>
      <c r="L738" s="3892"/>
      <c r="M738" s="3743"/>
      <c r="N738" s="1922"/>
      <c r="O738" s="1921"/>
      <c r="P738" s="1922"/>
      <c r="Q738" s="1922"/>
      <c r="R738" s="1922"/>
      <c r="S738" s="1922"/>
      <c r="T738" s="1922"/>
      <c r="U738" s="1922"/>
      <c r="V738" s="1922"/>
      <c r="W738" s="1922"/>
      <c r="X738" s="1922"/>
      <c r="Y738" s="1922"/>
      <c r="Z738" s="1922"/>
      <c r="AA738" s="1922"/>
      <c r="AB738" s="1922"/>
      <c r="AC738" s="1922"/>
      <c r="AD738" s="1922"/>
      <c r="AE738" s="1922"/>
      <c r="AF738" s="3897"/>
      <c r="AG738" s="3892"/>
      <c r="AH738" s="3892"/>
      <c r="AI738" s="3897"/>
      <c r="AJ738" s="3892"/>
      <c r="AK738" s="3892"/>
      <c r="AL738" s="1874"/>
      <c r="AM738" s="1714"/>
      <c r="AN738" s="1714"/>
      <c r="AO738" s="1714"/>
      <c r="AP738" s="1714"/>
      <c r="AQ738" s="1714"/>
      <c r="AR738" s="1714"/>
      <c r="AS738" s="1714"/>
      <c r="AT738" s="1714"/>
      <c r="AU738" s="1714"/>
      <c r="AV738" s="1714"/>
      <c r="AW738" s="1714"/>
      <c r="AX738" s="1714"/>
      <c r="AY738" s="1714"/>
      <c r="AZ738" s="1714"/>
      <c r="BA738" s="1714"/>
      <c r="BB738" s="1714"/>
      <c r="BC738" s="1714"/>
      <c r="BD738" s="1714"/>
      <c r="BE738" s="1714"/>
      <c r="BF738" s="1714"/>
    </row>
    <row r="739" spans="1:58" ht="0.75" customHeight="1">
      <c r="A739" s="1088" t="s">
        <v>1386</v>
      </c>
      <c r="D739" s="1082"/>
      <c r="E739" s="1092"/>
      <c r="F739" s="3894"/>
      <c r="G739" s="3885"/>
      <c r="H739" s="3898"/>
      <c r="I739" s="3899"/>
      <c r="J739" s="3891"/>
      <c r="K739" s="3891"/>
      <c r="L739" s="3892"/>
      <c r="M739" s="3743"/>
      <c r="N739" s="3900"/>
      <c r="O739" s="3901"/>
      <c r="P739" s="3888"/>
      <c r="Q739" s="3891"/>
      <c r="R739" s="3891"/>
      <c r="S739" s="3891"/>
      <c r="T739" s="3891"/>
      <c r="U739" s="3891"/>
      <c r="V739" s="3891"/>
      <c r="W739" s="3891"/>
      <c r="X739" s="3891"/>
      <c r="Y739" s="3891"/>
      <c r="Z739" s="1923"/>
      <c r="AA739" s="1924"/>
      <c r="AB739" s="1924"/>
      <c r="AC739" s="1925"/>
      <c r="AD739" s="1925"/>
      <c r="AE739" s="1926"/>
      <c r="AF739" s="3897"/>
      <c r="AG739" s="3892"/>
      <c r="AH739" s="3892"/>
      <c r="AI739" s="3897"/>
      <c r="AJ739" s="3892"/>
      <c r="AK739" s="3892"/>
      <c r="AL739" s="1874"/>
      <c r="AM739" s="1714"/>
      <c r="AN739" s="1714"/>
      <c r="AO739" s="1714"/>
      <c r="AP739" s="1714"/>
      <c r="AQ739" s="1714"/>
      <c r="AR739" s="1714"/>
      <c r="AS739" s="1714"/>
      <c r="AT739" s="1714"/>
      <c r="AU739" s="1714"/>
      <c r="AV739" s="1714"/>
      <c r="AW739" s="1714"/>
      <c r="AX739" s="1714"/>
      <c r="AY739" s="1714"/>
      <c r="AZ739" s="1714"/>
      <c r="BA739" s="1714"/>
      <c r="BB739" s="1714"/>
      <c r="BC739" s="1714"/>
      <c r="BD739" s="1714"/>
      <c r="BE739" s="1714"/>
      <c r="BF739" s="1714"/>
    </row>
    <row r="740" spans="1:58" ht="0.75" customHeight="1">
      <c r="A740" s="1088" t="s">
        <v>1386</v>
      </c>
      <c r="D740" s="1082"/>
      <c r="E740" s="1092"/>
      <c r="F740" s="3894"/>
      <c r="G740" s="3885"/>
      <c r="H740" s="3898"/>
      <c r="I740" s="3899"/>
      <c r="J740" s="3891"/>
      <c r="K740" s="3891"/>
      <c r="L740" s="3892"/>
      <c r="M740" s="3743"/>
      <c r="N740" s="3900"/>
      <c r="O740" s="3901"/>
      <c r="P740" s="3889"/>
      <c r="Q740" s="3891"/>
      <c r="R740" s="3891"/>
      <c r="S740" s="3891"/>
      <c r="T740" s="3891"/>
      <c r="U740" s="3891"/>
      <c r="V740" s="3891"/>
      <c r="W740" s="3891"/>
      <c r="X740" s="3891"/>
      <c r="Y740" s="3891"/>
      <c r="Z740" s="1927"/>
      <c r="AA740" s="1928"/>
      <c r="AB740" s="1929"/>
      <c r="AC740" s="1930"/>
      <c r="AD740" s="1929"/>
      <c r="AE740" s="1930"/>
      <c r="AF740" s="3897"/>
      <c r="AG740" s="3892"/>
      <c r="AH740" s="3892"/>
      <c r="AI740" s="3897"/>
      <c r="AJ740" s="3892"/>
      <c r="AK740" s="3892"/>
      <c r="AL740" s="1874"/>
      <c r="AM740" s="1714"/>
      <c r="AN740" s="1714"/>
      <c r="AO740" s="1714"/>
      <c r="AP740" s="1714"/>
      <c r="AQ740" s="1714"/>
      <c r="AR740" s="1714"/>
      <c r="AS740" s="1714"/>
      <c r="AT740" s="1714"/>
      <c r="AU740" s="1714"/>
      <c r="AV740" s="1714"/>
      <c r="AW740" s="1714"/>
      <c r="AX740" s="1714"/>
      <c r="AY740" s="1714"/>
      <c r="AZ740" s="1714"/>
      <c r="BA740" s="1714"/>
      <c r="BB740" s="1714"/>
      <c r="BC740" s="1714"/>
      <c r="BD740" s="1714"/>
      <c r="BE740" s="1714"/>
      <c r="BF740" s="1714"/>
    </row>
    <row r="741" spans="1:58" ht="0.75" customHeight="1">
      <c r="A741" s="1088" t="s">
        <v>1386</v>
      </c>
      <c r="D741" s="1082"/>
      <c r="E741" s="1092"/>
      <c r="F741" s="3894"/>
      <c r="G741" s="3885"/>
      <c r="H741" s="3898"/>
      <c r="I741" s="3899"/>
      <c r="J741" s="3891"/>
      <c r="K741" s="3891"/>
      <c r="L741" s="3892"/>
      <c r="M741" s="3743"/>
      <c r="N741" s="3900"/>
      <c r="O741" s="3901"/>
      <c r="P741" s="3890"/>
      <c r="Q741" s="3891"/>
      <c r="R741" s="3891"/>
      <c r="S741" s="3891"/>
      <c r="T741" s="3891"/>
      <c r="U741" s="3891"/>
      <c r="V741" s="3891"/>
      <c r="W741" s="3891"/>
      <c r="X741" s="3891"/>
      <c r="Y741" s="3891"/>
      <c r="Z741" s="1923"/>
      <c r="AA741" s="1924"/>
      <c r="AB741" s="1931"/>
      <c r="AC741" s="1925"/>
      <c r="AD741" s="1925"/>
      <c r="AE741" s="1932"/>
      <c r="AF741" s="3897"/>
      <c r="AG741" s="3892"/>
      <c r="AH741" s="3892"/>
      <c r="AI741" s="3897"/>
      <c r="AJ741" s="3892"/>
      <c r="AK741" s="3892"/>
      <c r="AL741" s="1874"/>
      <c r="AM741" s="1714"/>
      <c r="AN741" s="1714"/>
      <c r="AO741" s="1714"/>
      <c r="AP741" s="1714"/>
      <c r="AQ741" s="1714"/>
      <c r="AR741" s="1714"/>
      <c r="AS741" s="1714"/>
      <c r="AT741" s="1714"/>
      <c r="AU741" s="1714"/>
      <c r="AV741" s="1714"/>
      <c r="AW741" s="1714"/>
      <c r="AX741" s="1714"/>
      <c r="AY741" s="1714"/>
      <c r="AZ741" s="1714"/>
      <c r="BA741" s="1714"/>
      <c r="BB741" s="1714"/>
      <c r="BC741" s="1714"/>
      <c r="BD741" s="1714"/>
      <c r="BE741" s="1714"/>
      <c r="BF741" s="1714"/>
    </row>
    <row r="742" spans="1:58" ht="0.75" customHeight="1">
      <c r="A742" s="1088" t="s">
        <v>1386</v>
      </c>
      <c r="D742" s="1082"/>
      <c r="E742" s="1092"/>
      <c r="F742" s="3894"/>
      <c r="G742" s="3885"/>
      <c r="H742" s="3898"/>
      <c r="I742" s="3899"/>
      <c r="J742" s="3891"/>
      <c r="K742" s="3891"/>
      <c r="L742" s="3892"/>
      <c r="M742" s="3743"/>
      <c r="N742" s="1924"/>
      <c r="O742" s="1924"/>
      <c r="P742" s="1931"/>
      <c r="Q742" s="1924"/>
      <c r="R742" s="1924"/>
      <c r="S742" s="1924"/>
      <c r="T742" s="1924"/>
      <c r="U742" s="1924"/>
      <c r="V742" s="1924"/>
      <c r="W742" s="1924"/>
      <c r="X742" s="1924"/>
      <c r="Y742" s="1924"/>
      <c r="Z742" s="1924"/>
      <c r="AA742" s="1924"/>
      <c r="AB742" s="1924"/>
      <c r="AC742" s="1924"/>
      <c r="AD742" s="1924"/>
      <c r="AE742" s="1933"/>
      <c r="AF742" s="3897"/>
      <c r="AG742" s="3892"/>
      <c r="AH742" s="3892"/>
      <c r="AI742" s="3897"/>
      <c r="AJ742" s="3892"/>
      <c r="AK742" s="3892"/>
      <c r="AL742" s="1874"/>
      <c r="AM742" s="1714"/>
      <c r="AN742" s="1714"/>
      <c r="AO742" s="1714"/>
      <c r="AP742" s="1714"/>
      <c r="AQ742" s="1714"/>
      <c r="AR742" s="1714"/>
      <c r="AS742" s="1714"/>
      <c r="AT742" s="1714"/>
      <c r="AU742" s="1714"/>
      <c r="AV742" s="1714"/>
      <c r="AW742" s="1714"/>
      <c r="AX742" s="1714"/>
      <c r="AY742" s="1714"/>
      <c r="AZ742" s="1714"/>
      <c r="BA742" s="1714"/>
      <c r="BB742" s="1714"/>
      <c r="BC742" s="1714"/>
      <c r="BD742" s="1714"/>
      <c r="BE742" s="1714"/>
      <c r="BF742" s="1714"/>
    </row>
    <row r="743" spans="1:58" ht="11.25" customHeight="1">
      <c r="A743" s="1088" t="s">
        <v>1386</v>
      </c>
      <c r="D743" s="1082"/>
      <c r="E743" s="1092"/>
      <c r="F743" s="3895"/>
      <c r="G743" s="3853" t="s">
        <v>90</v>
      </c>
      <c r="H743" s="3885" t="s">
        <v>164</v>
      </c>
      <c r="I743" s="3886"/>
      <c r="J743" s="3883"/>
      <c r="K743" s="3887" t="s">
        <v>1515</v>
      </c>
      <c r="L743" s="3599" t="s">
        <v>6</v>
      </c>
      <c r="M743" s="3600"/>
      <c r="N743" s="1872"/>
      <c r="O743" s="1099" t="s">
        <v>421</v>
      </c>
      <c r="P743" s="1100"/>
      <c r="Q743" s="1100"/>
      <c r="R743" s="1100"/>
      <c r="S743" s="1100"/>
      <c r="T743" s="1100"/>
      <c r="U743" s="1100"/>
      <c r="V743" s="1100"/>
      <c r="W743" s="1100"/>
      <c r="X743" s="1100"/>
      <c r="Y743" s="1100"/>
      <c r="Z743" s="1100"/>
      <c r="AA743" s="1100"/>
      <c r="AB743" s="1100"/>
      <c r="AC743" s="1100"/>
      <c r="AD743" s="1100"/>
      <c r="AE743" s="1100"/>
      <c r="AF743" s="3876">
        <v>2026</v>
      </c>
      <c r="AG743" s="3877" t="s">
        <v>1447</v>
      </c>
      <c r="AH743" s="3877" t="s">
        <v>1455</v>
      </c>
      <c r="AI743" s="3876">
        <v>2026</v>
      </c>
      <c r="AJ743" s="3877" t="s">
        <v>1447</v>
      </c>
      <c r="AK743" s="3877" t="s">
        <v>1455</v>
      </c>
      <c r="AL743" s="1874"/>
      <c r="AM743" s="1714"/>
      <c r="AN743" s="1714"/>
      <c r="AO743" s="1714"/>
      <c r="AP743" s="1714"/>
      <c r="AQ743" s="1714"/>
      <c r="AR743" s="1714"/>
      <c r="AS743" s="1714"/>
      <c r="AT743" s="1714"/>
      <c r="AU743" s="1714"/>
      <c r="AV743" s="1714"/>
      <c r="AW743" s="1714"/>
      <c r="AX743" s="1714"/>
      <c r="AY743" s="1714"/>
      <c r="AZ743" s="1714"/>
      <c r="BA743" s="1714"/>
      <c r="BB743" s="1714"/>
      <c r="BC743" s="1714"/>
      <c r="BD743" s="1714"/>
      <c r="BE743" s="1714"/>
      <c r="BF743" s="1714"/>
    </row>
    <row r="744" spans="1:58" ht="11.25" customHeight="1">
      <c r="A744" s="1088" t="s">
        <v>1386</v>
      </c>
      <c r="D744" s="1082"/>
      <c r="E744" s="1092"/>
      <c r="F744" s="3895"/>
      <c r="G744" s="3875"/>
      <c r="H744" s="3885" t="s">
        <v>421</v>
      </c>
      <c r="I744" s="3886"/>
      <c r="J744" s="3883"/>
      <c r="K744" s="3887"/>
      <c r="L744" s="3599"/>
      <c r="M744" s="3600"/>
      <c r="N744" s="3878"/>
      <c r="O744" s="3879">
        <v>1</v>
      </c>
      <c r="P744" s="3880" t="s">
        <v>50</v>
      </c>
      <c r="Q744" s="3883" t="s">
        <v>1516</v>
      </c>
      <c r="R744" s="3884" t="s">
        <v>1438</v>
      </c>
      <c r="S744" s="3884" t="s">
        <v>140</v>
      </c>
      <c r="T744" s="3884" t="s">
        <v>140</v>
      </c>
      <c r="U744" s="3884" t="s">
        <v>141</v>
      </c>
      <c r="V744" s="3884" t="s">
        <v>1517</v>
      </c>
      <c r="W744" s="3884" t="s">
        <v>1518</v>
      </c>
      <c r="X744" s="3884" t="s">
        <v>1519</v>
      </c>
      <c r="Y744" s="3884" t="s">
        <v>1520</v>
      </c>
      <c r="Z744" s="1097"/>
      <c r="AA744" s="1098"/>
      <c r="AB744" s="1098"/>
      <c r="AC744" s="1102"/>
      <c r="AD744" s="1102"/>
      <c r="AE744" s="1103"/>
      <c r="AF744" s="3876"/>
      <c r="AG744" s="3877"/>
      <c r="AH744" s="3877"/>
      <c r="AI744" s="3876"/>
      <c r="AJ744" s="3877"/>
      <c r="AK744" s="3877"/>
      <c r="AL744" s="1874"/>
      <c r="AM744" s="1714"/>
      <c r="AN744" s="1714"/>
      <c r="AO744" s="1714"/>
      <c r="AP744" s="1714"/>
      <c r="AQ744" s="1714"/>
      <c r="AR744" s="1714"/>
      <c r="AS744" s="1714"/>
      <c r="AT744" s="1714"/>
      <c r="AU744" s="1714"/>
      <c r="AV744" s="1714"/>
      <c r="AW744" s="1714"/>
      <c r="AX744" s="1714"/>
      <c r="AY744" s="1714"/>
      <c r="AZ744" s="1714"/>
      <c r="BA744" s="1714"/>
      <c r="BB744" s="1714"/>
      <c r="BC744" s="1714"/>
      <c r="BD744" s="1714"/>
      <c r="BE744" s="1714"/>
      <c r="BF744" s="1714"/>
    </row>
    <row r="745" spans="1:58" ht="11.25" customHeight="1">
      <c r="A745" s="1088" t="s">
        <v>1386</v>
      </c>
      <c r="D745" s="1082"/>
      <c r="E745" s="1092"/>
      <c r="F745" s="3895"/>
      <c r="G745" s="3875"/>
      <c r="H745" s="3885" t="s">
        <v>421</v>
      </c>
      <c r="I745" s="3886"/>
      <c r="J745" s="3883"/>
      <c r="K745" s="3887"/>
      <c r="L745" s="3599"/>
      <c r="M745" s="3600"/>
      <c r="N745" s="3878"/>
      <c r="O745" s="3879"/>
      <c r="P745" s="3881"/>
      <c r="Q745" s="3883"/>
      <c r="R745" s="3874"/>
      <c r="S745" s="3884"/>
      <c r="T745" s="3874"/>
      <c r="U745" s="3874"/>
      <c r="V745" s="3874"/>
      <c r="W745" s="3874"/>
      <c r="X745" s="3874"/>
      <c r="Y745" s="3874"/>
      <c r="Z745" s="1719"/>
      <c r="AA745" s="1686">
        <v>1</v>
      </c>
      <c r="AB745" s="1101" t="s">
        <v>1443</v>
      </c>
      <c r="AC745" s="1091">
        <v>8235.67</v>
      </c>
      <c r="AD745" s="1101" t="str">
        <f>AB745</f>
        <v xml:space="preserve">  Прибыль направляемая на инвестиции</v>
      </c>
      <c r="AE745" s="1091">
        <v>0</v>
      </c>
      <c r="AF745" s="3876"/>
      <c r="AG745" s="3877"/>
      <c r="AH745" s="3877"/>
      <c r="AI745" s="3876"/>
      <c r="AJ745" s="3877"/>
      <c r="AK745" s="3877"/>
      <c r="AL745" s="1874"/>
      <c r="AM745" s="1714"/>
      <c r="AN745" s="1714"/>
      <c r="AO745" s="1714"/>
      <c r="AP745" s="1714"/>
      <c r="AQ745" s="1714"/>
      <c r="AR745" s="1714"/>
      <c r="AS745" s="1714"/>
      <c r="AT745" s="1714"/>
      <c r="AU745" s="1714"/>
      <c r="AV745" s="1714"/>
      <c r="AW745" s="1714"/>
      <c r="AX745" s="1714"/>
      <c r="AY745" s="1714"/>
      <c r="AZ745" s="1714"/>
      <c r="BA745" s="1714"/>
      <c r="BB745" s="1714"/>
      <c r="BC745" s="1714"/>
      <c r="BD745" s="1714"/>
      <c r="BE745" s="1714"/>
      <c r="BF745" s="1714"/>
    </row>
    <row r="746" spans="1:58" ht="11.25" customHeight="1">
      <c r="A746" s="1088" t="s">
        <v>1386</v>
      </c>
      <c r="D746" s="1082"/>
      <c r="E746" s="1092"/>
      <c r="F746" s="3895"/>
      <c r="G746" s="3875"/>
      <c r="H746" s="3885" t="s">
        <v>421</v>
      </c>
      <c r="I746" s="3886"/>
      <c r="J746" s="3883"/>
      <c r="K746" s="3887"/>
      <c r="L746" s="3599"/>
      <c r="M746" s="3600"/>
      <c r="N746" s="3878"/>
      <c r="O746" s="3879"/>
      <c r="P746" s="3882"/>
      <c r="Q746" s="3883"/>
      <c r="R746" s="3874"/>
      <c r="S746" s="3884"/>
      <c r="T746" s="3874"/>
      <c r="U746" s="3874"/>
      <c r="V746" s="3874"/>
      <c r="W746" s="3874"/>
      <c r="X746" s="3874"/>
      <c r="Y746" s="3874"/>
      <c r="Z746" s="1097"/>
      <c r="AA746" s="1098"/>
      <c r="AB746" s="1163" t="s">
        <v>1444</v>
      </c>
      <c r="AC746" s="1102"/>
      <c r="AD746" s="1102"/>
      <c r="AE746" s="1104"/>
      <c r="AF746" s="3876"/>
      <c r="AG746" s="3877"/>
      <c r="AH746" s="3877"/>
      <c r="AI746" s="3876"/>
      <c r="AJ746" s="3877"/>
      <c r="AK746" s="3877"/>
      <c r="AL746" s="1874"/>
      <c r="AM746" s="1714"/>
      <c r="AN746" s="1714"/>
      <c r="AO746" s="1714"/>
      <c r="AP746" s="1714"/>
      <c r="AQ746" s="1714"/>
      <c r="AR746" s="1714"/>
      <c r="AS746" s="1714"/>
      <c r="AT746" s="1714"/>
      <c r="AU746" s="1714"/>
      <c r="AV746" s="1714"/>
      <c r="AW746" s="1714"/>
      <c r="AX746" s="1714"/>
      <c r="AY746" s="1714"/>
      <c r="AZ746" s="1714"/>
      <c r="BA746" s="1714"/>
      <c r="BB746" s="1714"/>
      <c r="BC746" s="1714"/>
      <c r="BD746" s="1714"/>
      <c r="BE746" s="1714"/>
      <c r="BF746" s="1714"/>
    </row>
    <row r="747" spans="1:58" ht="11.25" customHeight="1">
      <c r="A747" s="1088" t="s">
        <v>1386</v>
      </c>
      <c r="D747" s="1082"/>
      <c r="E747" s="1092"/>
      <c r="F747" s="3895"/>
      <c r="G747" s="3875"/>
      <c r="H747" s="3885" t="s">
        <v>421</v>
      </c>
      <c r="I747" s="3886"/>
      <c r="J747" s="3883"/>
      <c r="K747" s="3887"/>
      <c r="L747" s="3599"/>
      <c r="M747" s="3600"/>
      <c r="N747" s="1097"/>
      <c r="O747" s="1098"/>
      <c r="P747" s="1090" t="s">
        <v>1445</v>
      </c>
      <c r="Q747" s="1098"/>
      <c r="R747" s="1098"/>
      <c r="S747" s="1098"/>
      <c r="T747" s="1098"/>
      <c r="U747" s="1098"/>
      <c r="V747" s="1098"/>
      <c r="W747" s="1098"/>
      <c r="X747" s="1098"/>
      <c r="Y747" s="1098"/>
      <c r="Z747" s="1098"/>
      <c r="AA747" s="1098"/>
      <c r="AB747" s="1098"/>
      <c r="AC747" s="1098"/>
      <c r="AD747" s="1098"/>
      <c r="AE747" s="1105"/>
      <c r="AF747" s="3876"/>
      <c r="AG747" s="3877"/>
      <c r="AH747" s="3877"/>
      <c r="AI747" s="3876"/>
      <c r="AJ747" s="3877"/>
      <c r="AK747" s="3877"/>
      <c r="AL747" s="1874"/>
      <c r="AM747" s="1714"/>
      <c r="AN747" s="1714"/>
      <c r="AO747" s="1714"/>
      <c r="AP747" s="1714"/>
      <c r="AQ747" s="1714"/>
      <c r="AR747" s="1714"/>
      <c r="AS747" s="1714"/>
      <c r="AT747" s="1714"/>
      <c r="AU747" s="1714"/>
      <c r="AV747" s="1714"/>
      <c r="AW747" s="1714"/>
      <c r="AX747" s="1714"/>
      <c r="AY747" s="1714"/>
      <c r="AZ747" s="1714"/>
      <c r="BA747" s="1714"/>
      <c r="BB747" s="1714"/>
      <c r="BC747" s="1714"/>
      <c r="BD747" s="1714"/>
      <c r="BE747" s="1714"/>
      <c r="BF747" s="1714"/>
    </row>
    <row r="748" spans="1:58" ht="12" customHeight="1">
      <c r="A748" s="1088" t="s">
        <v>1386</v>
      </c>
      <c r="D748" s="1082"/>
      <c r="E748" s="1092"/>
      <c r="F748" s="3896"/>
      <c r="G748" s="1112"/>
      <c r="H748" s="1112"/>
      <c r="I748" s="3893" t="s">
        <v>1451</v>
      </c>
      <c r="J748" s="3893"/>
      <c r="K748" s="3893"/>
      <c r="L748" s="1095"/>
      <c r="M748" s="1095"/>
      <c r="N748" s="1096"/>
      <c r="O748" s="1096"/>
      <c r="P748" s="1096"/>
      <c r="Q748" s="1096"/>
      <c r="R748" s="1096"/>
      <c r="S748" s="1096"/>
      <c r="T748" s="1096"/>
      <c r="U748" s="1096"/>
      <c r="V748" s="1096"/>
      <c r="W748" s="1096"/>
      <c r="X748" s="1096"/>
      <c r="Y748" s="1096"/>
      <c r="Z748" s="1096"/>
      <c r="AA748" s="1096"/>
      <c r="AB748" s="1096"/>
      <c r="AC748" s="1096"/>
      <c r="AD748" s="1096"/>
      <c r="AE748" s="1096"/>
      <c r="AF748" s="1096"/>
      <c r="AG748" s="1095"/>
      <c r="AH748" s="1095"/>
      <c r="AI748" s="1096"/>
      <c r="AJ748" s="1095"/>
      <c r="AK748" s="1096"/>
      <c r="AL748" s="1874"/>
      <c r="AM748" s="1714"/>
      <c r="AN748" s="1714"/>
      <c r="AO748" s="1714"/>
      <c r="AP748" s="1714"/>
      <c r="AQ748" s="1714"/>
      <c r="AR748" s="1714"/>
      <c r="AS748" s="1714"/>
      <c r="AT748" s="1714"/>
      <c r="AU748" s="1714"/>
      <c r="AV748" s="1714"/>
      <c r="AW748" s="1714"/>
      <c r="AX748" s="1714"/>
      <c r="AY748" s="1714"/>
      <c r="AZ748" s="1714"/>
      <c r="BA748" s="1714"/>
      <c r="BB748" s="1714"/>
      <c r="BC748" s="1714"/>
      <c r="BD748" s="1714"/>
      <c r="BE748" s="1714"/>
      <c r="BF748" s="1714"/>
    </row>
    <row r="749" spans="1:58" ht="0.75" customHeight="1">
      <c r="A749" s="1088" t="s">
        <v>1386</v>
      </c>
      <c r="D749" s="1082"/>
      <c r="E749" s="1092"/>
      <c r="F749" s="3894">
        <v>2026</v>
      </c>
      <c r="G749" s="3885"/>
      <c r="H749" s="3898" t="s">
        <v>421</v>
      </c>
      <c r="I749" s="3899"/>
      <c r="J749" s="3891"/>
      <c r="K749" s="3891"/>
      <c r="L749" s="3892"/>
      <c r="M749" s="3743"/>
      <c r="N749" s="1922"/>
      <c r="O749" s="1921"/>
      <c r="P749" s="1922"/>
      <c r="Q749" s="1922"/>
      <c r="R749" s="1922"/>
      <c r="S749" s="1922"/>
      <c r="T749" s="1922"/>
      <c r="U749" s="1922"/>
      <c r="V749" s="1922"/>
      <c r="W749" s="1922"/>
      <c r="X749" s="1922"/>
      <c r="Y749" s="1922"/>
      <c r="Z749" s="1922"/>
      <c r="AA749" s="1922"/>
      <c r="AB749" s="1922"/>
      <c r="AC749" s="1922"/>
      <c r="AD749" s="1922"/>
      <c r="AE749" s="1922"/>
      <c r="AF749" s="3897"/>
      <c r="AG749" s="3892"/>
      <c r="AH749" s="3892"/>
      <c r="AI749" s="3897"/>
      <c r="AJ749" s="3892"/>
      <c r="AK749" s="3892"/>
      <c r="AL749" s="1874"/>
      <c r="AM749" s="1714"/>
      <c r="AN749" s="1714"/>
      <c r="AO749" s="1714"/>
      <c r="AP749" s="1714"/>
      <c r="AQ749" s="1714"/>
      <c r="AR749" s="1714"/>
      <c r="AS749" s="1714"/>
      <c r="AT749" s="1714"/>
      <c r="AU749" s="1714"/>
      <c r="AV749" s="1714"/>
      <c r="AW749" s="1714"/>
      <c r="AX749" s="1714"/>
      <c r="AY749" s="1714"/>
      <c r="AZ749" s="1714"/>
      <c r="BA749" s="1714"/>
      <c r="BB749" s="1714"/>
      <c r="BC749" s="1714"/>
      <c r="BD749" s="1714"/>
      <c r="BE749" s="1714"/>
      <c r="BF749" s="1714"/>
    </row>
    <row r="750" spans="1:58" ht="0.75" customHeight="1">
      <c r="A750" s="1088" t="s">
        <v>1386</v>
      </c>
      <c r="D750" s="1082"/>
      <c r="E750" s="1092"/>
      <c r="F750" s="3894"/>
      <c r="G750" s="3885"/>
      <c r="H750" s="3898"/>
      <c r="I750" s="3899"/>
      <c r="J750" s="3891"/>
      <c r="K750" s="3891"/>
      <c r="L750" s="3892"/>
      <c r="M750" s="3743"/>
      <c r="N750" s="3900"/>
      <c r="O750" s="3901"/>
      <c r="P750" s="3888"/>
      <c r="Q750" s="3891"/>
      <c r="R750" s="3891"/>
      <c r="S750" s="3891"/>
      <c r="T750" s="3891"/>
      <c r="U750" s="3891"/>
      <c r="V750" s="3891"/>
      <c r="W750" s="3891"/>
      <c r="X750" s="3891"/>
      <c r="Y750" s="3891"/>
      <c r="Z750" s="1923"/>
      <c r="AA750" s="1924"/>
      <c r="AB750" s="1924"/>
      <c r="AC750" s="1925"/>
      <c r="AD750" s="1925"/>
      <c r="AE750" s="1926"/>
      <c r="AF750" s="3897"/>
      <c r="AG750" s="3892"/>
      <c r="AH750" s="3892"/>
      <c r="AI750" s="3897"/>
      <c r="AJ750" s="3892"/>
      <c r="AK750" s="3892"/>
      <c r="AL750" s="1874"/>
      <c r="AM750" s="1714"/>
      <c r="AN750" s="1714"/>
      <c r="AO750" s="1714"/>
      <c r="AP750" s="1714"/>
      <c r="AQ750" s="1714"/>
      <c r="AR750" s="1714"/>
      <c r="AS750" s="1714"/>
      <c r="AT750" s="1714"/>
      <c r="AU750" s="1714"/>
      <c r="AV750" s="1714"/>
      <c r="AW750" s="1714"/>
      <c r="AX750" s="1714"/>
      <c r="AY750" s="1714"/>
      <c r="AZ750" s="1714"/>
      <c r="BA750" s="1714"/>
      <c r="BB750" s="1714"/>
      <c r="BC750" s="1714"/>
      <c r="BD750" s="1714"/>
      <c r="BE750" s="1714"/>
      <c r="BF750" s="1714"/>
    </row>
    <row r="751" spans="1:58" ht="0.75" customHeight="1">
      <c r="A751" s="1088" t="s">
        <v>1386</v>
      </c>
      <c r="D751" s="1082"/>
      <c r="E751" s="1092"/>
      <c r="F751" s="3894"/>
      <c r="G751" s="3885"/>
      <c r="H751" s="3898"/>
      <c r="I751" s="3899"/>
      <c r="J751" s="3891"/>
      <c r="K751" s="3891"/>
      <c r="L751" s="3892"/>
      <c r="M751" s="3743"/>
      <c r="N751" s="3900"/>
      <c r="O751" s="3901"/>
      <c r="P751" s="3889"/>
      <c r="Q751" s="3891"/>
      <c r="R751" s="3891"/>
      <c r="S751" s="3891"/>
      <c r="T751" s="3891"/>
      <c r="U751" s="3891"/>
      <c r="V751" s="3891"/>
      <c r="W751" s="3891"/>
      <c r="X751" s="3891"/>
      <c r="Y751" s="3891"/>
      <c r="Z751" s="1927"/>
      <c r="AA751" s="1928"/>
      <c r="AB751" s="1929"/>
      <c r="AC751" s="1930"/>
      <c r="AD751" s="1929"/>
      <c r="AE751" s="1930"/>
      <c r="AF751" s="3897"/>
      <c r="AG751" s="3892"/>
      <c r="AH751" s="3892"/>
      <c r="AI751" s="3897"/>
      <c r="AJ751" s="3892"/>
      <c r="AK751" s="3892"/>
      <c r="AL751" s="1874"/>
      <c r="AM751" s="1714"/>
      <c r="AN751" s="1714"/>
      <c r="AO751" s="1714"/>
      <c r="AP751" s="1714"/>
      <c r="AQ751" s="1714"/>
      <c r="AR751" s="1714"/>
      <c r="AS751" s="1714"/>
      <c r="AT751" s="1714"/>
      <c r="AU751" s="1714"/>
      <c r="AV751" s="1714"/>
      <c r="AW751" s="1714"/>
      <c r="AX751" s="1714"/>
      <c r="AY751" s="1714"/>
      <c r="AZ751" s="1714"/>
      <c r="BA751" s="1714"/>
      <c r="BB751" s="1714"/>
      <c r="BC751" s="1714"/>
      <c r="BD751" s="1714"/>
      <c r="BE751" s="1714"/>
      <c r="BF751" s="1714"/>
    </row>
    <row r="752" spans="1:58" ht="0.75" customHeight="1">
      <c r="A752" s="1088" t="s">
        <v>1386</v>
      </c>
      <c r="D752" s="1082"/>
      <c r="E752" s="1092"/>
      <c r="F752" s="3894"/>
      <c r="G752" s="3885"/>
      <c r="H752" s="3898"/>
      <c r="I752" s="3899"/>
      <c r="J752" s="3891"/>
      <c r="K752" s="3891"/>
      <c r="L752" s="3892"/>
      <c r="M752" s="3743"/>
      <c r="N752" s="3900"/>
      <c r="O752" s="3901"/>
      <c r="P752" s="3890"/>
      <c r="Q752" s="3891"/>
      <c r="R752" s="3891"/>
      <c r="S752" s="3891"/>
      <c r="T752" s="3891"/>
      <c r="U752" s="3891"/>
      <c r="V752" s="3891"/>
      <c r="W752" s="3891"/>
      <c r="X752" s="3891"/>
      <c r="Y752" s="3891"/>
      <c r="Z752" s="1923"/>
      <c r="AA752" s="1924"/>
      <c r="AB752" s="1931"/>
      <c r="AC752" s="1925"/>
      <c r="AD752" s="1925"/>
      <c r="AE752" s="1932"/>
      <c r="AF752" s="3897"/>
      <c r="AG752" s="3892"/>
      <c r="AH752" s="3892"/>
      <c r="AI752" s="3897"/>
      <c r="AJ752" s="3892"/>
      <c r="AK752" s="3892"/>
      <c r="AL752" s="1874"/>
      <c r="AM752" s="1714"/>
      <c r="AN752" s="1714"/>
      <c r="AO752" s="1714"/>
      <c r="AP752" s="1714"/>
      <c r="AQ752" s="1714"/>
      <c r="AR752" s="1714"/>
      <c r="AS752" s="1714"/>
      <c r="AT752" s="1714"/>
      <c r="AU752" s="1714"/>
      <c r="AV752" s="1714"/>
      <c r="AW752" s="1714"/>
      <c r="AX752" s="1714"/>
      <c r="AY752" s="1714"/>
      <c r="AZ752" s="1714"/>
      <c r="BA752" s="1714"/>
      <c r="BB752" s="1714"/>
      <c r="BC752" s="1714"/>
      <c r="BD752" s="1714"/>
      <c r="BE752" s="1714"/>
      <c r="BF752" s="1714"/>
    </row>
    <row r="753" spans="1:58" ht="0.75" customHeight="1">
      <c r="A753" s="1088" t="s">
        <v>1386</v>
      </c>
      <c r="D753" s="1082"/>
      <c r="E753" s="1092"/>
      <c r="F753" s="3894"/>
      <c r="G753" s="3885"/>
      <c r="H753" s="3898"/>
      <c r="I753" s="3899"/>
      <c r="J753" s="3891"/>
      <c r="K753" s="3891"/>
      <c r="L753" s="3892"/>
      <c r="M753" s="3743"/>
      <c r="N753" s="1924"/>
      <c r="O753" s="1924"/>
      <c r="P753" s="1931"/>
      <c r="Q753" s="1924"/>
      <c r="R753" s="1924"/>
      <c r="S753" s="1924"/>
      <c r="T753" s="1924"/>
      <c r="U753" s="1924"/>
      <c r="V753" s="1924"/>
      <c r="W753" s="1924"/>
      <c r="X753" s="1924"/>
      <c r="Y753" s="1924"/>
      <c r="Z753" s="1924"/>
      <c r="AA753" s="1924"/>
      <c r="AB753" s="1924"/>
      <c r="AC753" s="1924"/>
      <c r="AD753" s="1924"/>
      <c r="AE753" s="1933"/>
      <c r="AF753" s="3897"/>
      <c r="AG753" s="3892"/>
      <c r="AH753" s="3892"/>
      <c r="AI753" s="3897"/>
      <c r="AJ753" s="3892"/>
      <c r="AK753" s="3892"/>
      <c r="AL753" s="1874"/>
      <c r="AM753" s="1714"/>
      <c r="AN753" s="1714"/>
      <c r="AO753" s="1714"/>
      <c r="AP753" s="1714"/>
      <c r="AQ753" s="1714"/>
      <c r="AR753" s="1714"/>
      <c r="AS753" s="1714"/>
      <c r="AT753" s="1714"/>
      <c r="AU753" s="1714"/>
      <c r="AV753" s="1714"/>
      <c r="AW753" s="1714"/>
      <c r="AX753" s="1714"/>
      <c r="AY753" s="1714"/>
      <c r="AZ753" s="1714"/>
      <c r="BA753" s="1714"/>
      <c r="BB753" s="1714"/>
      <c r="BC753" s="1714"/>
      <c r="BD753" s="1714"/>
      <c r="BE753" s="1714"/>
      <c r="BF753" s="1714"/>
    </row>
    <row r="754" spans="1:58" ht="11.25" customHeight="1">
      <c r="A754" s="1088" t="s">
        <v>1386</v>
      </c>
      <c r="D754" s="1082"/>
      <c r="E754" s="1092"/>
      <c r="F754" s="3895"/>
      <c r="G754" s="3853" t="s">
        <v>90</v>
      </c>
      <c r="H754" s="3885" t="s">
        <v>164</v>
      </c>
      <c r="I754" s="3886"/>
      <c r="J754" s="3883"/>
      <c r="K754" s="3887" t="s">
        <v>1515</v>
      </c>
      <c r="L754" s="3599" t="s">
        <v>6</v>
      </c>
      <c r="M754" s="3600"/>
      <c r="N754" s="1872"/>
      <c r="O754" s="1099" t="s">
        <v>421</v>
      </c>
      <c r="P754" s="1100"/>
      <c r="Q754" s="1100"/>
      <c r="R754" s="1100"/>
      <c r="S754" s="1100"/>
      <c r="T754" s="1100"/>
      <c r="U754" s="1100"/>
      <c r="V754" s="1100"/>
      <c r="W754" s="1100"/>
      <c r="X754" s="1100"/>
      <c r="Y754" s="1100"/>
      <c r="Z754" s="1100"/>
      <c r="AA754" s="1100"/>
      <c r="AB754" s="1100"/>
      <c r="AC754" s="1100"/>
      <c r="AD754" s="1100"/>
      <c r="AE754" s="1100"/>
      <c r="AF754" s="3876">
        <v>2026</v>
      </c>
      <c r="AG754" s="3877" t="s">
        <v>1447</v>
      </c>
      <c r="AH754" s="3877" t="s">
        <v>1455</v>
      </c>
      <c r="AI754" s="3876">
        <v>2026</v>
      </c>
      <c r="AJ754" s="3877" t="s">
        <v>1447</v>
      </c>
      <c r="AK754" s="3877" t="s">
        <v>1455</v>
      </c>
      <c r="AL754" s="1874"/>
      <c r="AM754" s="1714"/>
      <c r="AN754" s="1714"/>
      <c r="AO754" s="1714"/>
      <c r="AP754" s="1714"/>
      <c r="AQ754" s="1714"/>
      <c r="AR754" s="1714"/>
      <c r="AS754" s="1714"/>
      <c r="AT754" s="1714"/>
      <c r="AU754" s="1714"/>
      <c r="AV754" s="1714"/>
      <c r="AW754" s="1714"/>
      <c r="AX754" s="1714"/>
      <c r="AY754" s="1714"/>
      <c r="AZ754" s="1714"/>
      <c r="BA754" s="1714"/>
      <c r="BB754" s="1714"/>
      <c r="BC754" s="1714"/>
      <c r="BD754" s="1714"/>
      <c r="BE754" s="1714"/>
      <c r="BF754" s="1714"/>
    </row>
    <row r="755" spans="1:58" ht="11.25" customHeight="1">
      <c r="A755" s="1088" t="s">
        <v>1386</v>
      </c>
      <c r="D755" s="1082"/>
      <c r="E755" s="1092"/>
      <c r="F755" s="3895"/>
      <c r="G755" s="3875"/>
      <c r="H755" s="3885" t="s">
        <v>421</v>
      </c>
      <c r="I755" s="3886"/>
      <c r="J755" s="3883"/>
      <c r="K755" s="3887"/>
      <c r="L755" s="3599"/>
      <c r="M755" s="3600"/>
      <c r="N755" s="3878"/>
      <c r="O755" s="3879">
        <v>1</v>
      </c>
      <c r="P755" s="3880" t="s">
        <v>50</v>
      </c>
      <c r="Q755" s="3883" t="s">
        <v>1516</v>
      </c>
      <c r="R755" s="3884" t="s">
        <v>1438</v>
      </c>
      <c r="S755" s="3884" t="s">
        <v>140</v>
      </c>
      <c r="T755" s="3884" t="s">
        <v>140</v>
      </c>
      <c r="U755" s="3884" t="s">
        <v>141</v>
      </c>
      <c r="V755" s="3884" t="s">
        <v>1517</v>
      </c>
      <c r="W755" s="3884" t="s">
        <v>1518</v>
      </c>
      <c r="X755" s="3884" t="s">
        <v>1519</v>
      </c>
      <c r="Y755" s="3884" t="s">
        <v>1520</v>
      </c>
      <c r="Z755" s="1097"/>
      <c r="AA755" s="1098"/>
      <c r="AB755" s="1098"/>
      <c r="AC755" s="1102"/>
      <c r="AD755" s="1102"/>
      <c r="AE755" s="1103"/>
      <c r="AF755" s="3876"/>
      <c r="AG755" s="3877"/>
      <c r="AH755" s="3877"/>
      <c r="AI755" s="3876"/>
      <c r="AJ755" s="3877"/>
      <c r="AK755" s="3877"/>
      <c r="AL755" s="1874"/>
      <c r="AM755" s="1714"/>
      <c r="AN755" s="1714"/>
      <c r="AO755" s="1714"/>
      <c r="AP755" s="1714"/>
      <c r="AQ755" s="1714"/>
      <c r="AR755" s="1714"/>
      <c r="AS755" s="1714"/>
      <c r="AT755" s="1714"/>
      <c r="AU755" s="1714"/>
      <c r="AV755" s="1714"/>
      <c r="AW755" s="1714"/>
      <c r="AX755" s="1714"/>
      <c r="AY755" s="1714"/>
      <c r="AZ755" s="1714"/>
      <c r="BA755" s="1714"/>
      <c r="BB755" s="1714"/>
      <c r="BC755" s="1714"/>
      <c r="BD755" s="1714"/>
      <c r="BE755" s="1714"/>
      <c r="BF755" s="1714"/>
    </row>
    <row r="756" spans="1:58" ht="11.25" customHeight="1">
      <c r="A756" s="1088" t="s">
        <v>1386</v>
      </c>
      <c r="D756" s="1082"/>
      <c r="E756" s="1092"/>
      <c r="F756" s="3895"/>
      <c r="G756" s="3875"/>
      <c r="H756" s="3885" t="s">
        <v>421</v>
      </c>
      <c r="I756" s="3886"/>
      <c r="J756" s="3883"/>
      <c r="K756" s="3887"/>
      <c r="L756" s="3599"/>
      <c r="M756" s="3600"/>
      <c r="N756" s="3878"/>
      <c r="O756" s="3879"/>
      <c r="P756" s="3881"/>
      <c r="Q756" s="3883"/>
      <c r="R756" s="3874"/>
      <c r="S756" s="3884"/>
      <c r="T756" s="3874"/>
      <c r="U756" s="3874"/>
      <c r="V756" s="3874"/>
      <c r="W756" s="3874"/>
      <c r="X756" s="3874"/>
      <c r="Y756" s="3874"/>
      <c r="Z756" s="1719"/>
      <c r="AA756" s="1686">
        <v>1</v>
      </c>
      <c r="AB756" s="1101" t="s">
        <v>1443</v>
      </c>
      <c r="AC756" s="1091">
        <v>8235.66</v>
      </c>
      <c r="AD756" s="1101" t="str">
        <f>AB756</f>
        <v xml:space="preserve">  Прибыль направляемая на инвестиции</v>
      </c>
      <c r="AE756" s="1091">
        <v>0</v>
      </c>
      <c r="AF756" s="3876"/>
      <c r="AG756" s="3877"/>
      <c r="AH756" s="3877"/>
      <c r="AI756" s="3876"/>
      <c r="AJ756" s="3877"/>
      <c r="AK756" s="3877"/>
      <c r="AL756" s="1874"/>
      <c r="AM756" s="1714"/>
      <c r="AN756" s="1714"/>
      <c r="AO756" s="1714"/>
      <c r="AP756" s="1714"/>
      <c r="AQ756" s="1714"/>
      <c r="AR756" s="1714"/>
      <c r="AS756" s="1714"/>
      <c r="AT756" s="1714"/>
      <c r="AU756" s="1714"/>
      <c r="AV756" s="1714"/>
      <c r="AW756" s="1714"/>
      <c r="AX756" s="1714"/>
      <c r="AY756" s="1714"/>
      <c r="AZ756" s="1714"/>
      <c r="BA756" s="1714"/>
      <c r="BB756" s="1714"/>
      <c r="BC756" s="1714"/>
      <c r="BD756" s="1714"/>
      <c r="BE756" s="1714"/>
      <c r="BF756" s="1714"/>
    </row>
    <row r="757" spans="1:58" ht="11.25" customHeight="1">
      <c r="A757" s="1088" t="s">
        <v>1386</v>
      </c>
      <c r="D757" s="1082"/>
      <c r="E757" s="1092"/>
      <c r="F757" s="3895"/>
      <c r="G757" s="3875"/>
      <c r="H757" s="3885" t="s">
        <v>421</v>
      </c>
      <c r="I757" s="3886"/>
      <c r="J757" s="3883"/>
      <c r="K757" s="3887"/>
      <c r="L757" s="3599"/>
      <c r="M757" s="3600"/>
      <c r="N757" s="3878"/>
      <c r="O757" s="3879"/>
      <c r="P757" s="3882"/>
      <c r="Q757" s="3883"/>
      <c r="R757" s="3874"/>
      <c r="S757" s="3884"/>
      <c r="T757" s="3874"/>
      <c r="U757" s="3874"/>
      <c r="V757" s="3874"/>
      <c r="W757" s="3874"/>
      <c r="X757" s="3874"/>
      <c r="Y757" s="3874"/>
      <c r="Z757" s="1097"/>
      <c r="AA757" s="1098"/>
      <c r="AB757" s="1163" t="s">
        <v>1444</v>
      </c>
      <c r="AC757" s="1102"/>
      <c r="AD757" s="1102"/>
      <c r="AE757" s="1104"/>
      <c r="AF757" s="3876"/>
      <c r="AG757" s="3877"/>
      <c r="AH757" s="3877"/>
      <c r="AI757" s="3876"/>
      <c r="AJ757" s="3877"/>
      <c r="AK757" s="3877"/>
      <c r="AL757" s="1874"/>
      <c r="AM757" s="1714"/>
      <c r="AN757" s="1714"/>
      <c r="AO757" s="1714"/>
      <c r="AP757" s="1714"/>
      <c r="AQ757" s="1714"/>
      <c r="AR757" s="1714"/>
      <c r="AS757" s="1714"/>
      <c r="AT757" s="1714"/>
      <c r="AU757" s="1714"/>
      <c r="AV757" s="1714"/>
      <c r="AW757" s="1714"/>
      <c r="AX757" s="1714"/>
      <c r="AY757" s="1714"/>
      <c r="AZ757" s="1714"/>
      <c r="BA757" s="1714"/>
      <c r="BB757" s="1714"/>
      <c r="BC757" s="1714"/>
      <c r="BD757" s="1714"/>
      <c r="BE757" s="1714"/>
      <c r="BF757" s="1714"/>
    </row>
    <row r="758" spans="1:58" ht="11.25" customHeight="1">
      <c r="A758" s="1088" t="s">
        <v>1386</v>
      </c>
      <c r="D758" s="1082"/>
      <c r="E758" s="1092"/>
      <c r="F758" s="3895"/>
      <c r="G758" s="3875"/>
      <c r="H758" s="3885" t="s">
        <v>421</v>
      </c>
      <c r="I758" s="3886"/>
      <c r="J758" s="3883"/>
      <c r="K758" s="3887"/>
      <c r="L758" s="3599"/>
      <c r="M758" s="3600"/>
      <c r="N758" s="1097"/>
      <c r="O758" s="1098"/>
      <c r="P758" s="1090" t="s">
        <v>1445</v>
      </c>
      <c r="Q758" s="1098"/>
      <c r="R758" s="1098"/>
      <c r="S758" s="1098"/>
      <c r="T758" s="1098"/>
      <c r="U758" s="1098"/>
      <c r="V758" s="1098"/>
      <c r="W758" s="1098"/>
      <c r="X758" s="1098"/>
      <c r="Y758" s="1098"/>
      <c r="Z758" s="1098"/>
      <c r="AA758" s="1098"/>
      <c r="AB758" s="1098"/>
      <c r="AC758" s="1098"/>
      <c r="AD758" s="1098"/>
      <c r="AE758" s="1105"/>
      <c r="AF758" s="3876"/>
      <c r="AG758" s="3877"/>
      <c r="AH758" s="3877"/>
      <c r="AI758" s="3876"/>
      <c r="AJ758" s="3877"/>
      <c r="AK758" s="3877"/>
      <c r="AL758" s="1874"/>
      <c r="AM758" s="1714"/>
      <c r="AN758" s="1714"/>
      <c r="AO758" s="1714"/>
      <c r="AP758" s="1714"/>
      <c r="AQ758" s="1714"/>
      <c r="AR758" s="1714"/>
      <c r="AS758" s="1714"/>
      <c r="AT758" s="1714"/>
      <c r="AU758" s="1714"/>
      <c r="AV758" s="1714"/>
      <c r="AW758" s="1714"/>
      <c r="AX758" s="1714"/>
      <c r="AY758" s="1714"/>
      <c r="AZ758" s="1714"/>
      <c r="BA758" s="1714"/>
      <c r="BB758" s="1714"/>
      <c r="BC758" s="1714"/>
      <c r="BD758" s="1714"/>
      <c r="BE758" s="1714"/>
      <c r="BF758" s="1714"/>
    </row>
    <row r="759" spans="1:58" ht="12" customHeight="1">
      <c r="A759" s="1088" t="s">
        <v>1386</v>
      </c>
      <c r="D759" s="1082"/>
      <c r="E759" s="1092"/>
      <c r="F759" s="3896"/>
      <c r="G759" s="1112"/>
      <c r="H759" s="1112"/>
      <c r="I759" s="3893" t="s">
        <v>1451</v>
      </c>
      <c r="J759" s="3893"/>
      <c r="K759" s="3893"/>
      <c r="L759" s="1095"/>
      <c r="M759" s="1095"/>
      <c r="N759" s="1096"/>
      <c r="O759" s="1096"/>
      <c r="P759" s="1096"/>
      <c r="Q759" s="1096"/>
      <c r="R759" s="1096"/>
      <c r="S759" s="1096"/>
      <c r="T759" s="1096"/>
      <c r="U759" s="1096"/>
      <c r="V759" s="1096"/>
      <c r="W759" s="1096"/>
      <c r="X759" s="1096"/>
      <c r="Y759" s="1096"/>
      <c r="Z759" s="1096"/>
      <c r="AA759" s="1096"/>
      <c r="AB759" s="1096"/>
      <c r="AC759" s="1096"/>
      <c r="AD759" s="1096"/>
      <c r="AE759" s="1096"/>
      <c r="AF759" s="1096"/>
      <c r="AG759" s="1095"/>
      <c r="AH759" s="1095"/>
      <c r="AI759" s="1096"/>
      <c r="AJ759" s="1095"/>
      <c r="AK759" s="1096"/>
      <c r="AL759" s="1874"/>
      <c r="AM759" s="1714"/>
      <c r="AN759" s="1714"/>
      <c r="AO759" s="1714"/>
      <c r="AP759" s="1714"/>
      <c r="AQ759" s="1714"/>
      <c r="AR759" s="1714"/>
      <c r="AS759" s="1714"/>
      <c r="AT759" s="1714"/>
      <c r="AU759" s="1714"/>
      <c r="AV759" s="1714"/>
      <c r="AW759" s="1714"/>
      <c r="AX759" s="1714"/>
      <c r="AY759" s="1714"/>
      <c r="AZ759" s="1714"/>
      <c r="BA759" s="1714"/>
      <c r="BB759" s="1714"/>
      <c r="BC759" s="1714"/>
      <c r="BD759" s="1714"/>
      <c r="BE759" s="1714"/>
      <c r="BF759" s="1714"/>
    </row>
    <row r="760" spans="1:58" ht="21" customHeight="1">
      <c r="A760" s="1089" t="s">
        <v>1395</v>
      </c>
      <c r="D760" s="1082"/>
      <c r="E760" s="1092" t="s">
        <v>9</v>
      </c>
      <c r="F760" s="1045" t="str">
        <f>INDEX(IP_MAIN_LIST_NAME_IP,MATCH(A760,IP_MAIN_LIST_IP_ID,0))&amp;" ("&amp;INDEX(IP_MAIN_START_DATE,MATCH(A760,IP_MAIN_LIST_IP_ID,0))&amp;"-"&amp;INDEX(IP_MAIN_END_DATE,MATCH(A760,IP_MAIN_LIST_IP_ID,0))&amp;")"</f>
        <v>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 (18.03.2021-31.12.2035)</v>
      </c>
      <c r="G760" s="1046"/>
      <c r="H760" s="1046"/>
      <c r="I760" s="1107"/>
      <c r="J760" s="1107"/>
      <c r="K760" s="1108"/>
      <c r="L760" s="1108"/>
      <c r="M760" s="1108"/>
      <c r="N760" s="1109"/>
      <c r="O760" s="1109"/>
      <c r="P760" s="1109"/>
      <c r="Q760" s="1109"/>
      <c r="R760" s="1109"/>
      <c r="S760" s="1109"/>
      <c r="T760" s="1109"/>
      <c r="U760" s="1109"/>
      <c r="V760" s="1109"/>
      <c r="W760" s="1109"/>
      <c r="X760" s="1109"/>
      <c r="Y760" s="1109"/>
      <c r="Z760" s="1109"/>
      <c r="AA760" s="1109"/>
      <c r="AB760" s="1109"/>
      <c r="AC760" s="1109"/>
      <c r="AD760" s="1109"/>
      <c r="AE760" s="1110"/>
      <c r="AF760" s="1108"/>
      <c r="AG760" s="1108"/>
      <c r="AH760" s="1108"/>
      <c r="AI760" s="1108"/>
      <c r="AJ760" s="1108"/>
      <c r="AK760" s="1108"/>
      <c r="AL760" s="1874"/>
      <c r="AM760" s="1714"/>
      <c r="AN760" s="1714"/>
      <c r="AO760" s="1714"/>
      <c r="AP760" s="1714"/>
      <c r="AQ760" s="1714"/>
      <c r="AR760" s="1714"/>
      <c r="AS760" s="1714"/>
      <c r="AT760" s="1714"/>
      <c r="AU760" s="1714"/>
      <c r="AV760" s="1714"/>
      <c r="AW760" s="1714"/>
      <c r="AX760" s="1714"/>
      <c r="AY760" s="1714"/>
      <c r="AZ760" s="1714"/>
      <c r="BA760" s="1714"/>
      <c r="BB760" s="1714"/>
      <c r="BC760" s="1714"/>
      <c r="BD760" s="1714"/>
      <c r="BE760" s="1714"/>
      <c r="BF760" s="1714"/>
    </row>
    <row r="761" spans="1:58" ht="0.75" customHeight="1">
      <c r="A761" s="1088" t="s">
        <v>1395</v>
      </c>
      <c r="D761" s="1082"/>
      <c r="E761" s="1092"/>
      <c r="F761" s="3894">
        <v>2021</v>
      </c>
      <c r="G761" s="3885"/>
      <c r="H761" s="3898" t="s">
        <v>421</v>
      </c>
      <c r="I761" s="3899"/>
      <c r="J761" s="3891"/>
      <c r="K761" s="3891"/>
      <c r="L761" s="3892"/>
      <c r="M761" s="3743"/>
      <c r="N761" s="1922"/>
      <c r="O761" s="1921"/>
      <c r="P761" s="1922"/>
      <c r="Q761" s="1922"/>
      <c r="R761" s="1922"/>
      <c r="S761" s="1922"/>
      <c r="T761" s="1922"/>
      <c r="U761" s="1922"/>
      <c r="V761" s="1922"/>
      <c r="W761" s="1922"/>
      <c r="X761" s="1922"/>
      <c r="Y761" s="1922"/>
      <c r="Z761" s="1922"/>
      <c r="AA761" s="1922"/>
      <c r="AB761" s="1922"/>
      <c r="AC761" s="1922"/>
      <c r="AD761" s="1922"/>
      <c r="AE761" s="1922"/>
      <c r="AF761" s="3897"/>
      <c r="AG761" s="3892"/>
      <c r="AH761" s="3892"/>
      <c r="AI761" s="3897"/>
      <c r="AJ761" s="3892"/>
      <c r="AK761" s="3892"/>
      <c r="AL761" s="1874"/>
      <c r="AM761" s="1714"/>
      <c r="AN761" s="1714"/>
      <c r="AO761" s="1714"/>
      <c r="AP761" s="1714"/>
      <c r="AQ761" s="1714"/>
      <c r="AR761" s="1714"/>
      <c r="AS761" s="1714"/>
      <c r="AT761" s="1714"/>
      <c r="AU761" s="1714"/>
      <c r="AV761" s="1714"/>
      <c r="AW761" s="1714"/>
      <c r="AX761" s="1714"/>
      <c r="AY761" s="1714"/>
      <c r="AZ761" s="1714"/>
      <c r="BA761" s="1714"/>
      <c r="BB761" s="1714"/>
      <c r="BC761" s="1714"/>
      <c r="BD761" s="1714"/>
      <c r="BE761" s="1714"/>
      <c r="BF761" s="1714"/>
    </row>
    <row r="762" spans="1:58" ht="0.75" customHeight="1">
      <c r="A762" s="1088" t="s">
        <v>1395</v>
      </c>
      <c r="D762" s="1082"/>
      <c r="E762" s="1092"/>
      <c r="F762" s="3894"/>
      <c r="G762" s="3885"/>
      <c r="H762" s="3898"/>
      <c r="I762" s="3899"/>
      <c r="J762" s="3891"/>
      <c r="K762" s="3891"/>
      <c r="L762" s="3892"/>
      <c r="M762" s="3743"/>
      <c r="N762" s="3900"/>
      <c r="O762" s="3901"/>
      <c r="P762" s="3888"/>
      <c r="Q762" s="3891"/>
      <c r="R762" s="3891"/>
      <c r="S762" s="3891"/>
      <c r="T762" s="3891"/>
      <c r="U762" s="3891"/>
      <c r="V762" s="3891"/>
      <c r="W762" s="3891"/>
      <c r="X762" s="3891"/>
      <c r="Y762" s="3891"/>
      <c r="Z762" s="1923"/>
      <c r="AA762" s="1924"/>
      <c r="AB762" s="1924"/>
      <c r="AC762" s="1925"/>
      <c r="AD762" s="1925"/>
      <c r="AE762" s="1926"/>
      <c r="AF762" s="3897"/>
      <c r="AG762" s="3892"/>
      <c r="AH762" s="3892"/>
      <c r="AI762" s="3897"/>
      <c r="AJ762" s="3892"/>
      <c r="AK762" s="3892"/>
      <c r="AL762" s="1874"/>
      <c r="AM762" s="1714"/>
      <c r="AN762" s="1714"/>
      <c r="AO762" s="1714"/>
      <c r="AP762" s="1714"/>
      <c r="AQ762" s="1714"/>
      <c r="AR762" s="1714"/>
      <c r="AS762" s="1714"/>
      <c r="AT762" s="1714"/>
      <c r="AU762" s="1714"/>
      <c r="AV762" s="1714"/>
      <c r="AW762" s="1714"/>
      <c r="AX762" s="1714"/>
      <c r="AY762" s="1714"/>
      <c r="AZ762" s="1714"/>
      <c r="BA762" s="1714"/>
      <c r="BB762" s="1714"/>
      <c r="BC762" s="1714"/>
      <c r="BD762" s="1714"/>
      <c r="BE762" s="1714"/>
      <c r="BF762" s="1714"/>
    </row>
    <row r="763" spans="1:58" ht="0.75" customHeight="1">
      <c r="A763" s="1088" t="s">
        <v>1395</v>
      </c>
      <c r="D763" s="1082"/>
      <c r="E763" s="1092"/>
      <c r="F763" s="3894"/>
      <c r="G763" s="3885"/>
      <c r="H763" s="3898"/>
      <c r="I763" s="3899"/>
      <c r="J763" s="3891"/>
      <c r="K763" s="3891"/>
      <c r="L763" s="3892"/>
      <c r="M763" s="3743"/>
      <c r="N763" s="3900"/>
      <c r="O763" s="3901"/>
      <c r="P763" s="3889"/>
      <c r="Q763" s="3891"/>
      <c r="R763" s="3891"/>
      <c r="S763" s="3891"/>
      <c r="T763" s="3891"/>
      <c r="U763" s="3891"/>
      <c r="V763" s="3891"/>
      <c r="W763" s="3891"/>
      <c r="X763" s="3891"/>
      <c r="Y763" s="3891"/>
      <c r="Z763" s="1927"/>
      <c r="AA763" s="1928"/>
      <c r="AB763" s="1929"/>
      <c r="AC763" s="1930"/>
      <c r="AD763" s="1929"/>
      <c r="AE763" s="1930"/>
      <c r="AF763" s="3897"/>
      <c r="AG763" s="3892"/>
      <c r="AH763" s="3892"/>
      <c r="AI763" s="3897"/>
      <c r="AJ763" s="3892"/>
      <c r="AK763" s="3892"/>
      <c r="AL763" s="1874"/>
      <c r="AM763" s="1714"/>
      <c r="AN763" s="1714"/>
      <c r="AO763" s="1714"/>
      <c r="AP763" s="1714"/>
      <c r="AQ763" s="1714"/>
      <c r="AR763" s="1714"/>
      <c r="AS763" s="1714"/>
      <c r="AT763" s="1714"/>
      <c r="AU763" s="1714"/>
      <c r="AV763" s="1714"/>
      <c r="AW763" s="1714"/>
      <c r="AX763" s="1714"/>
      <c r="AY763" s="1714"/>
      <c r="AZ763" s="1714"/>
      <c r="BA763" s="1714"/>
      <c r="BB763" s="1714"/>
      <c r="BC763" s="1714"/>
      <c r="BD763" s="1714"/>
      <c r="BE763" s="1714"/>
      <c r="BF763" s="1714"/>
    </row>
    <row r="764" spans="1:58" ht="0.75" customHeight="1">
      <c r="A764" s="1088" t="s">
        <v>1395</v>
      </c>
      <c r="D764" s="1082"/>
      <c r="E764" s="1092"/>
      <c r="F764" s="3894"/>
      <c r="G764" s="3885"/>
      <c r="H764" s="3898"/>
      <c r="I764" s="3899"/>
      <c r="J764" s="3891"/>
      <c r="K764" s="3891"/>
      <c r="L764" s="3892"/>
      <c r="M764" s="3743"/>
      <c r="N764" s="3900"/>
      <c r="O764" s="3901"/>
      <c r="P764" s="3890"/>
      <c r="Q764" s="3891"/>
      <c r="R764" s="3891"/>
      <c r="S764" s="3891"/>
      <c r="T764" s="3891"/>
      <c r="U764" s="3891"/>
      <c r="V764" s="3891"/>
      <c r="W764" s="3891"/>
      <c r="X764" s="3891"/>
      <c r="Y764" s="3891"/>
      <c r="Z764" s="1923"/>
      <c r="AA764" s="1924"/>
      <c r="AB764" s="1931"/>
      <c r="AC764" s="1925"/>
      <c r="AD764" s="1925"/>
      <c r="AE764" s="1932"/>
      <c r="AF764" s="3897"/>
      <c r="AG764" s="3892"/>
      <c r="AH764" s="3892"/>
      <c r="AI764" s="3897"/>
      <c r="AJ764" s="3892"/>
      <c r="AK764" s="3892"/>
      <c r="AL764" s="1874"/>
      <c r="AM764" s="1714"/>
      <c r="AN764" s="1714"/>
      <c r="AO764" s="1714"/>
      <c r="AP764" s="1714"/>
      <c r="AQ764" s="1714"/>
      <c r="AR764" s="1714"/>
      <c r="AS764" s="1714"/>
      <c r="AT764" s="1714"/>
      <c r="AU764" s="1714"/>
      <c r="AV764" s="1714"/>
      <c r="AW764" s="1714"/>
      <c r="AX764" s="1714"/>
      <c r="AY764" s="1714"/>
      <c r="AZ764" s="1714"/>
      <c r="BA764" s="1714"/>
      <c r="BB764" s="1714"/>
      <c r="BC764" s="1714"/>
      <c r="BD764" s="1714"/>
      <c r="BE764" s="1714"/>
      <c r="BF764" s="1714"/>
    </row>
    <row r="765" spans="1:58" ht="0.75" customHeight="1">
      <c r="A765" s="1088" t="s">
        <v>1395</v>
      </c>
      <c r="D765" s="1082"/>
      <c r="E765" s="1092"/>
      <c r="F765" s="3894"/>
      <c r="G765" s="3885"/>
      <c r="H765" s="3898"/>
      <c r="I765" s="3899"/>
      <c r="J765" s="3891"/>
      <c r="K765" s="3891"/>
      <c r="L765" s="3892"/>
      <c r="M765" s="3743"/>
      <c r="N765" s="1924"/>
      <c r="O765" s="1924"/>
      <c r="P765" s="1931"/>
      <c r="Q765" s="1924"/>
      <c r="R765" s="1924"/>
      <c r="S765" s="1924"/>
      <c r="T765" s="1924"/>
      <c r="U765" s="1924"/>
      <c r="V765" s="1924"/>
      <c r="W765" s="1924"/>
      <c r="X765" s="1924"/>
      <c r="Y765" s="1924"/>
      <c r="Z765" s="1924"/>
      <c r="AA765" s="1924"/>
      <c r="AB765" s="1924"/>
      <c r="AC765" s="1924"/>
      <c r="AD765" s="1924"/>
      <c r="AE765" s="1933"/>
      <c r="AF765" s="3897"/>
      <c r="AG765" s="3892"/>
      <c r="AH765" s="3892"/>
      <c r="AI765" s="3897"/>
      <c r="AJ765" s="3892"/>
      <c r="AK765" s="3892"/>
      <c r="AL765" s="1874"/>
      <c r="AM765" s="1714"/>
      <c r="AN765" s="1714"/>
      <c r="AO765" s="1714"/>
      <c r="AP765" s="1714"/>
      <c r="AQ765" s="1714"/>
      <c r="AR765" s="1714"/>
      <c r="AS765" s="1714"/>
      <c r="AT765" s="1714"/>
      <c r="AU765" s="1714"/>
      <c r="AV765" s="1714"/>
      <c r="AW765" s="1714"/>
      <c r="AX765" s="1714"/>
      <c r="AY765" s="1714"/>
      <c r="AZ765" s="1714"/>
      <c r="BA765" s="1714"/>
      <c r="BB765" s="1714"/>
      <c r="BC765" s="1714"/>
      <c r="BD765" s="1714"/>
      <c r="BE765" s="1714"/>
      <c r="BF765" s="1714"/>
    </row>
    <row r="766" spans="1:58" ht="11.25" customHeight="1">
      <c r="A766" s="1088" t="s">
        <v>1395</v>
      </c>
      <c r="D766" s="1082"/>
      <c r="E766" s="1092"/>
      <c r="F766" s="3895"/>
      <c r="G766" s="3853" t="s">
        <v>90</v>
      </c>
      <c r="H766" s="3885" t="s">
        <v>164</v>
      </c>
      <c r="I766" s="3886"/>
      <c r="J766" s="3883"/>
      <c r="K766" s="3887" t="s">
        <v>1521</v>
      </c>
      <c r="L766" s="3599" t="s">
        <v>6</v>
      </c>
      <c r="M766" s="3600"/>
      <c r="N766" s="1872"/>
      <c r="O766" s="1099" t="s">
        <v>421</v>
      </c>
      <c r="P766" s="1100"/>
      <c r="Q766" s="1100"/>
      <c r="R766" s="1100"/>
      <c r="S766" s="1100"/>
      <c r="T766" s="1100"/>
      <c r="U766" s="1100"/>
      <c r="V766" s="1100"/>
      <c r="W766" s="1100"/>
      <c r="X766" s="1100"/>
      <c r="Y766" s="1100"/>
      <c r="Z766" s="1100"/>
      <c r="AA766" s="1100"/>
      <c r="AB766" s="1100"/>
      <c r="AC766" s="1100"/>
      <c r="AD766" s="1100"/>
      <c r="AE766" s="1100"/>
      <c r="AF766" s="3876">
        <v>2035</v>
      </c>
      <c r="AG766" s="3877" t="s">
        <v>1447</v>
      </c>
      <c r="AH766" s="3877" t="s">
        <v>1522</v>
      </c>
      <c r="AI766" s="3876">
        <v>2035</v>
      </c>
      <c r="AJ766" s="3877" t="s">
        <v>1447</v>
      </c>
      <c r="AK766" s="3877" t="s">
        <v>1522</v>
      </c>
      <c r="AL766" s="1874"/>
      <c r="AM766" s="1714"/>
      <c r="AN766" s="1714"/>
      <c r="AO766" s="1714"/>
      <c r="AP766" s="1714"/>
      <c r="AQ766" s="1714"/>
      <c r="AR766" s="1714"/>
      <c r="AS766" s="1714"/>
      <c r="AT766" s="1714"/>
      <c r="AU766" s="1714"/>
      <c r="AV766" s="1714"/>
      <c r="AW766" s="1714"/>
      <c r="AX766" s="1714"/>
      <c r="AY766" s="1714"/>
      <c r="AZ766" s="1714"/>
      <c r="BA766" s="1714"/>
      <c r="BB766" s="1714"/>
      <c r="BC766" s="1714"/>
      <c r="BD766" s="1714"/>
      <c r="BE766" s="1714"/>
      <c r="BF766" s="1714"/>
    </row>
    <row r="767" spans="1:58" ht="11.25" customHeight="1">
      <c r="A767" s="1088" t="s">
        <v>1395</v>
      </c>
      <c r="D767" s="1082"/>
      <c r="E767" s="1092"/>
      <c r="F767" s="3895"/>
      <c r="G767" s="3875"/>
      <c r="H767" s="3885" t="s">
        <v>421</v>
      </c>
      <c r="I767" s="3886"/>
      <c r="J767" s="3883"/>
      <c r="K767" s="3887"/>
      <c r="L767" s="3599"/>
      <c r="M767" s="3600"/>
      <c r="N767" s="3878"/>
      <c r="O767" s="3879">
        <v>1</v>
      </c>
      <c r="P767" s="3880" t="s">
        <v>50</v>
      </c>
      <c r="Q767" s="3883" t="s">
        <v>1449</v>
      </c>
      <c r="R767" s="3884" t="s">
        <v>1438</v>
      </c>
      <c r="S767" s="3884" t="s">
        <v>147</v>
      </c>
      <c r="T767" s="3884" t="s">
        <v>147</v>
      </c>
      <c r="U767" s="3884" t="s">
        <v>148</v>
      </c>
      <c r="V767" s="3884" t="s">
        <v>1523</v>
      </c>
      <c r="W767" s="3884" t="s">
        <v>1524</v>
      </c>
      <c r="X767" s="3884" t="s">
        <v>1525</v>
      </c>
      <c r="Y767" s="3884" t="s">
        <v>1442</v>
      </c>
      <c r="Z767" s="1097"/>
      <c r="AA767" s="1098"/>
      <c r="AB767" s="1098"/>
      <c r="AC767" s="1102"/>
      <c r="AD767" s="1102"/>
      <c r="AE767" s="1103"/>
      <c r="AF767" s="3876"/>
      <c r="AG767" s="3877"/>
      <c r="AH767" s="3877"/>
      <c r="AI767" s="3876"/>
      <c r="AJ767" s="3877"/>
      <c r="AK767" s="3877"/>
      <c r="AL767" s="1874"/>
      <c r="AM767" s="1714"/>
      <c r="AN767" s="1714"/>
      <c r="AO767" s="1714"/>
      <c r="AP767" s="1714"/>
      <c r="AQ767" s="1714"/>
      <c r="AR767" s="1714"/>
      <c r="AS767" s="1714"/>
      <c r="AT767" s="1714"/>
      <c r="AU767" s="1714"/>
      <c r="AV767" s="1714"/>
      <c r="AW767" s="1714"/>
      <c r="AX767" s="1714"/>
      <c r="AY767" s="1714"/>
      <c r="AZ767" s="1714"/>
      <c r="BA767" s="1714"/>
      <c r="BB767" s="1714"/>
      <c r="BC767" s="1714"/>
      <c r="BD767" s="1714"/>
      <c r="BE767" s="1714"/>
      <c r="BF767" s="1714"/>
    </row>
    <row r="768" spans="1:58" ht="11.25" customHeight="1">
      <c r="A768" s="1088" t="s">
        <v>1395</v>
      </c>
      <c r="D768" s="1082"/>
      <c r="E768" s="1092"/>
      <c r="F768" s="3895"/>
      <c r="G768" s="3875"/>
      <c r="H768" s="3885" t="s">
        <v>421</v>
      </c>
      <c r="I768" s="3886"/>
      <c r="J768" s="3883"/>
      <c r="K768" s="3887"/>
      <c r="L768" s="3599"/>
      <c r="M768" s="3600"/>
      <c r="N768" s="3878"/>
      <c r="O768" s="3879"/>
      <c r="P768" s="3881"/>
      <c r="Q768" s="3883"/>
      <c r="R768" s="3874"/>
      <c r="S768" s="3884"/>
      <c r="T768" s="3874"/>
      <c r="U768" s="3874"/>
      <c r="V768" s="3874"/>
      <c r="W768" s="3874"/>
      <c r="X768" s="3874"/>
      <c r="Y768" s="3874"/>
      <c r="Z768" s="1719"/>
      <c r="AA768" s="1686">
        <v>1</v>
      </c>
      <c r="AB768" s="1101" t="s">
        <v>1443</v>
      </c>
      <c r="AC768" s="1091">
        <v>50</v>
      </c>
      <c r="AD768" s="1101" t="str">
        <f>AB768</f>
        <v xml:space="preserve">  Прибыль направляемая на инвестиции</v>
      </c>
      <c r="AE768" s="1091">
        <v>697.95</v>
      </c>
      <c r="AF768" s="3876"/>
      <c r="AG768" s="3877"/>
      <c r="AH768" s="3877"/>
      <c r="AI768" s="3876"/>
      <c r="AJ768" s="3877"/>
      <c r="AK768" s="3877"/>
      <c r="AL768" s="1874"/>
      <c r="AM768" s="1714"/>
      <c r="AN768" s="1714"/>
      <c r="AO768" s="1714"/>
      <c r="AP768" s="1714"/>
      <c r="AQ768" s="1714"/>
      <c r="AR768" s="1714"/>
      <c r="AS768" s="1714"/>
      <c r="AT768" s="1714"/>
      <c r="AU768" s="1714"/>
      <c r="AV768" s="1714"/>
      <c r="AW768" s="1714"/>
      <c r="AX768" s="1714"/>
      <c r="AY768" s="1714"/>
      <c r="AZ768" s="1714"/>
      <c r="BA768" s="1714"/>
      <c r="BB768" s="1714"/>
      <c r="BC768" s="1714"/>
      <c r="BD768" s="1714"/>
      <c r="BE768" s="1714"/>
      <c r="BF768" s="1714"/>
    </row>
    <row r="769" spans="1:58" ht="11.25" customHeight="1">
      <c r="A769" s="1088" t="s">
        <v>1395</v>
      </c>
      <c r="D769" s="1082"/>
      <c r="E769" s="1092"/>
      <c r="F769" s="3895"/>
      <c r="G769" s="3875"/>
      <c r="H769" s="3885" t="s">
        <v>421</v>
      </c>
      <c r="I769" s="3886"/>
      <c r="J769" s="3883"/>
      <c r="K769" s="3887"/>
      <c r="L769" s="3599"/>
      <c r="M769" s="3600"/>
      <c r="N769" s="3878"/>
      <c r="O769" s="3879"/>
      <c r="P769" s="3882"/>
      <c r="Q769" s="3883"/>
      <c r="R769" s="3874"/>
      <c r="S769" s="3884"/>
      <c r="T769" s="3874"/>
      <c r="U769" s="3874"/>
      <c r="V769" s="3874"/>
      <c r="W769" s="3874"/>
      <c r="X769" s="3874"/>
      <c r="Y769" s="3874"/>
      <c r="Z769" s="1097"/>
      <c r="AA769" s="1098"/>
      <c r="AB769" s="1163" t="s">
        <v>1444</v>
      </c>
      <c r="AC769" s="1102"/>
      <c r="AD769" s="1102"/>
      <c r="AE769" s="1104"/>
      <c r="AF769" s="3876"/>
      <c r="AG769" s="3877"/>
      <c r="AH769" s="3877"/>
      <c r="AI769" s="3876"/>
      <c r="AJ769" s="3877"/>
      <c r="AK769" s="3877"/>
      <c r="AL769" s="1874"/>
      <c r="AM769" s="1714"/>
      <c r="AN769" s="1714"/>
      <c r="AO769" s="1714"/>
      <c r="AP769" s="1714"/>
      <c r="AQ769" s="1714"/>
      <c r="AR769" s="1714"/>
      <c r="AS769" s="1714"/>
      <c r="AT769" s="1714"/>
      <c r="AU769" s="1714"/>
      <c r="AV769" s="1714"/>
      <c r="AW769" s="1714"/>
      <c r="AX769" s="1714"/>
      <c r="AY769" s="1714"/>
      <c r="AZ769" s="1714"/>
      <c r="BA769" s="1714"/>
      <c r="BB769" s="1714"/>
      <c r="BC769" s="1714"/>
      <c r="BD769" s="1714"/>
      <c r="BE769" s="1714"/>
      <c r="BF769" s="1714"/>
    </row>
    <row r="770" spans="1:58" ht="11.25" customHeight="1">
      <c r="A770" s="1088" t="s">
        <v>1395</v>
      </c>
      <c r="D770" s="1082"/>
      <c r="E770" s="1092"/>
      <c r="F770" s="3895"/>
      <c r="G770" s="3875"/>
      <c r="H770" s="3885" t="s">
        <v>421</v>
      </c>
      <c r="I770" s="3886"/>
      <c r="J770" s="3883"/>
      <c r="K770" s="3887"/>
      <c r="L770" s="3599"/>
      <c r="M770" s="3600"/>
      <c r="N770" s="1097"/>
      <c r="O770" s="1098"/>
      <c r="P770" s="1090" t="s">
        <v>1445</v>
      </c>
      <c r="Q770" s="1098"/>
      <c r="R770" s="1098"/>
      <c r="S770" s="1098"/>
      <c r="T770" s="1098"/>
      <c r="U770" s="1098"/>
      <c r="V770" s="1098"/>
      <c r="W770" s="1098"/>
      <c r="X770" s="1098"/>
      <c r="Y770" s="1098"/>
      <c r="Z770" s="1098"/>
      <c r="AA770" s="1098"/>
      <c r="AB770" s="1098"/>
      <c r="AC770" s="1098"/>
      <c r="AD770" s="1098"/>
      <c r="AE770" s="1105"/>
      <c r="AF770" s="3876"/>
      <c r="AG770" s="3877"/>
      <c r="AH770" s="3877"/>
      <c r="AI770" s="3876"/>
      <c r="AJ770" s="3877"/>
      <c r="AK770" s="3877"/>
      <c r="AL770" s="1874"/>
      <c r="AM770" s="1714"/>
      <c r="AN770" s="1714"/>
      <c r="AO770" s="1714"/>
      <c r="AP770" s="1714"/>
      <c r="AQ770" s="1714"/>
      <c r="AR770" s="1714"/>
      <c r="AS770" s="1714"/>
      <c r="AT770" s="1714"/>
      <c r="AU770" s="1714"/>
      <c r="AV770" s="1714"/>
      <c r="AW770" s="1714"/>
      <c r="AX770" s="1714"/>
      <c r="AY770" s="1714"/>
      <c r="AZ770" s="1714"/>
      <c r="BA770" s="1714"/>
      <c r="BB770" s="1714"/>
      <c r="BC770" s="1714"/>
      <c r="BD770" s="1714"/>
      <c r="BE770" s="1714"/>
      <c r="BF770" s="1714"/>
    </row>
    <row r="771" spans="1:58" ht="12" customHeight="1">
      <c r="A771" s="1088" t="s">
        <v>1395</v>
      </c>
      <c r="D771" s="1082"/>
      <c r="E771" s="1092"/>
      <c r="F771" s="3896"/>
      <c r="G771" s="1112"/>
      <c r="H771" s="1112"/>
      <c r="I771" s="3893" t="s">
        <v>1451</v>
      </c>
      <c r="J771" s="3893"/>
      <c r="K771" s="3893"/>
      <c r="L771" s="1095"/>
      <c r="M771" s="1095"/>
      <c r="N771" s="1096"/>
      <c r="O771" s="1096"/>
      <c r="P771" s="1096"/>
      <c r="Q771" s="1096"/>
      <c r="R771" s="1096"/>
      <c r="S771" s="1096"/>
      <c r="T771" s="1096"/>
      <c r="U771" s="1096"/>
      <c r="V771" s="1096"/>
      <c r="W771" s="1096"/>
      <c r="X771" s="1096"/>
      <c r="Y771" s="1096"/>
      <c r="Z771" s="1096"/>
      <c r="AA771" s="1096"/>
      <c r="AB771" s="1096"/>
      <c r="AC771" s="1096"/>
      <c r="AD771" s="1096"/>
      <c r="AE771" s="1096"/>
      <c r="AF771" s="1096"/>
      <c r="AG771" s="1095"/>
      <c r="AH771" s="1095"/>
      <c r="AI771" s="1096"/>
      <c r="AJ771" s="1095"/>
      <c r="AK771" s="1096"/>
      <c r="AL771" s="1874"/>
      <c r="AM771" s="1714"/>
      <c r="AN771" s="1714"/>
      <c r="AO771" s="1714"/>
      <c r="AP771" s="1714"/>
      <c r="AQ771" s="1714"/>
      <c r="AR771" s="1714"/>
      <c r="AS771" s="1714"/>
      <c r="AT771" s="1714"/>
      <c r="AU771" s="1714"/>
      <c r="AV771" s="1714"/>
      <c r="AW771" s="1714"/>
      <c r="AX771" s="1714"/>
      <c r="AY771" s="1714"/>
      <c r="AZ771" s="1714"/>
      <c r="BA771" s="1714"/>
      <c r="BB771" s="1714"/>
      <c r="BC771" s="1714"/>
      <c r="BD771" s="1714"/>
      <c r="BE771" s="1714"/>
      <c r="BF771" s="1714"/>
    </row>
    <row r="772" spans="1:58" ht="0.75" customHeight="1">
      <c r="A772" s="1088" t="s">
        <v>1395</v>
      </c>
      <c r="D772" s="1082"/>
      <c r="E772" s="1092"/>
      <c r="F772" s="3894">
        <v>2022</v>
      </c>
      <c r="G772" s="3885"/>
      <c r="H772" s="3898" t="s">
        <v>421</v>
      </c>
      <c r="I772" s="3899"/>
      <c r="J772" s="3891"/>
      <c r="K772" s="3891"/>
      <c r="L772" s="3892"/>
      <c r="M772" s="3743"/>
      <c r="N772" s="1922"/>
      <c r="O772" s="1921"/>
      <c r="P772" s="1922"/>
      <c r="Q772" s="1922"/>
      <c r="R772" s="1922"/>
      <c r="S772" s="1922"/>
      <c r="T772" s="1922"/>
      <c r="U772" s="1922"/>
      <c r="V772" s="1922"/>
      <c r="W772" s="1922"/>
      <c r="X772" s="1922"/>
      <c r="Y772" s="1922"/>
      <c r="Z772" s="1922"/>
      <c r="AA772" s="1922"/>
      <c r="AB772" s="1922"/>
      <c r="AC772" s="1922"/>
      <c r="AD772" s="1922"/>
      <c r="AE772" s="1922"/>
      <c r="AF772" s="3897"/>
      <c r="AG772" s="3892"/>
      <c r="AH772" s="3892"/>
      <c r="AI772" s="3897"/>
      <c r="AJ772" s="3892"/>
      <c r="AK772" s="3892"/>
      <c r="AL772" s="1874"/>
      <c r="AM772" s="1714"/>
      <c r="AN772" s="1714"/>
      <c r="AO772" s="1714"/>
      <c r="AP772" s="1714"/>
      <c r="AQ772" s="1714"/>
      <c r="AR772" s="1714"/>
      <c r="AS772" s="1714"/>
      <c r="AT772" s="1714"/>
      <c r="AU772" s="1714"/>
      <c r="AV772" s="1714"/>
      <c r="AW772" s="1714"/>
      <c r="AX772" s="1714"/>
      <c r="AY772" s="1714"/>
      <c r="AZ772" s="1714"/>
      <c r="BA772" s="1714"/>
      <c r="BB772" s="1714"/>
      <c r="BC772" s="1714"/>
      <c r="BD772" s="1714"/>
      <c r="BE772" s="1714"/>
      <c r="BF772" s="1714"/>
    </row>
    <row r="773" spans="1:58" ht="0.75" customHeight="1">
      <c r="A773" s="1088" t="s">
        <v>1395</v>
      </c>
      <c r="D773" s="1082"/>
      <c r="E773" s="1092"/>
      <c r="F773" s="3894"/>
      <c r="G773" s="3885"/>
      <c r="H773" s="3898"/>
      <c r="I773" s="3899"/>
      <c r="J773" s="3891"/>
      <c r="K773" s="3891"/>
      <c r="L773" s="3892"/>
      <c r="M773" s="3743"/>
      <c r="N773" s="3900"/>
      <c r="O773" s="3901"/>
      <c r="P773" s="3888"/>
      <c r="Q773" s="3891"/>
      <c r="R773" s="3891"/>
      <c r="S773" s="3891"/>
      <c r="T773" s="3891"/>
      <c r="U773" s="3891"/>
      <c r="V773" s="3891"/>
      <c r="W773" s="3891"/>
      <c r="X773" s="3891"/>
      <c r="Y773" s="3891"/>
      <c r="Z773" s="1923"/>
      <c r="AA773" s="1924"/>
      <c r="AB773" s="1924"/>
      <c r="AC773" s="1925"/>
      <c r="AD773" s="1925"/>
      <c r="AE773" s="1926"/>
      <c r="AF773" s="3897"/>
      <c r="AG773" s="3892"/>
      <c r="AH773" s="3892"/>
      <c r="AI773" s="3897"/>
      <c r="AJ773" s="3892"/>
      <c r="AK773" s="3892"/>
      <c r="AL773" s="1874"/>
      <c r="AM773" s="1714"/>
      <c r="AN773" s="1714"/>
      <c r="AO773" s="1714"/>
      <c r="AP773" s="1714"/>
      <c r="AQ773" s="1714"/>
      <c r="AR773" s="1714"/>
      <c r="AS773" s="1714"/>
      <c r="AT773" s="1714"/>
      <c r="AU773" s="1714"/>
      <c r="AV773" s="1714"/>
      <c r="AW773" s="1714"/>
      <c r="AX773" s="1714"/>
      <c r="AY773" s="1714"/>
      <c r="AZ773" s="1714"/>
      <c r="BA773" s="1714"/>
      <c r="BB773" s="1714"/>
      <c r="BC773" s="1714"/>
      <c r="BD773" s="1714"/>
      <c r="BE773" s="1714"/>
      <c r="BF773" s="1714"/>
    </row>
    <row r="774" spans="1:58" ht="0.75" customHeight="1">
      <c r="A774" s="1088" t="s">
        <v>1395</v>
      </c>
      <c r="D774" s="1082"/>
      <c r="E774" s="1092"/>
      <c r="F774" s="3894"/>
      <c r="G774" s="3885"/>
      <c r="H774" s="3898"/>
      <c r="I774" s="3899"/>
      <c r="J774" s="3891"/>
      <c r="K774" s="3891"/>
      <c r="L774" s="3892"/>
      <c r="M774" s="3743"/>
      <c r="N774" s="3900"/>
      <c r="O774" s="3901"/>
      <c r="P774" s="3889"/>
      <c r="Q774" s="3891"/>
      <c r="R774" s="3891"/>
      <c r="S774" s="3891"/>
      <c r="T774" s="3891"/>
      <c r="U774" s="3891"/>
      <c r="V774" s="3891"/>
      <c r="W774" s="3891"/>
      <c r="X774" s="3891"/>
      <c r="Y774" s="3891"/>
      <c r="Z774" s="1927"/>
      <c r="AA774" s="1928"/>
      <c r="AB774" s="1929"/>
      <c r="AC774" s="1930"/>
      <c r="AD774" s="1929"/>
      <c r="AE774" s="1930"/>
      <c r="AF774" s="3897"/>
      <c r="AG774" s="3892"/>
      <c r="AH774" s="3892"/>
      <c r="AI774" s="3897"/>
      <c r="AJ774" s="3892"/>
      <c r="AK774" s="3892"/>
      <c r="AL774" s="1874"/>
      <c r="AM774" s="1714"/>
      <c r="AN774" s="1714"/>
      <c r="AO774" s="1714"/>
      <c r="AP774" s="1714"/>
      <c r="AQ774" s="1714"/>
      <c r="AR774" s="1714"/>
      <c r="AS774" s="1714"/>
      <c r="AT774" s="1714"/>
      <c r="AU774" s="1714"/>
      <c r="AV774" s="1714"/>
      <c r="AW774" s="1714"/>
      <c r="AX774" s="1714"/>
      <c r="AY774" s="1714"/>
      <c r="AZ774" s="1714"/>
      <c r="BA774" s="1714"/>
      <c r="BB774" s="1714"/>
      <c r="BC774" s="1714"/>
      <c r="BD774" s="1714"/>
      <c r="BE774" s="1714"/>
      <c r="BF774" s="1714"/>
    </row>
    <row r="775" spans="1:58" ht="0.75" customHeight="1">
      <c r="A775" s="1088" t="s">
        <v>1395</v>
      </c>
      <c r="D775" s="1082"/>
      <c r="E775" s="1092"/>
      <c r="F775" s="3894"/>
      <c r="G775" s="3885"/>
      <c r="H775" s="3898"/>
      <c r="I775" s="3899"/>
      <c r="J775" s="3891"/>
      <c r="K775" s="3891"/>
      <c r="L775" s="3892"/>
      <c r="M775" s="3743"/>
      <c r="N775" s="3900"/>
      <c r="O775" s="3901"/>
      <c r="P775" s="3890"/>
      <c r="Q775" s="3891"/>
      <c r="R775" s="3891"/>
      <c r="S775" s="3891"/>
      <c r="T775" s="3891"/>
      <c r="U775" s="3891"/>
      <c r="V775" s="3891"/>
      <c r="W775" s="3891"/>
      <c r="X775" s="3891"/>
      <c r="Y775" s="3891"/>
      <c r="Z775" s="1923"/>
      <c r="AA775" s="1924"/>
      <c r="AB775" s="1931"/>
      <c r="AC775" s="1925"/>
      <c r="AD775" s="1925"/>
      <c r="AE775" s="1932"/>
      <c r="AF775" s="3897"/>
      <c r="AG775" s="3892"/>
      <c r="AH775" s="3892"/>
      <c r="AI775" s="3897"/>
      <c r="AJ775" s="3892"/>
      <c r="AK775" s="3892"/>
      <c r="AL775" s="1874"/>
      <c r="AM775" s="1714"/>
      <c r="AN775" s="1714"/>
      <c r="AO775" s="1714"/>
      <c r="AP775" s="1714"/>
      <c r="AQ775" s="1714"/>
      <c r="AR775" s="1714"/>
      <c r="AS775" s="1714"/>
      <c r="AT775" s="1714"/>
      <c r="AU775" s="1714"/>
      <c r="AV775" s="1714"/>
      <c r="AW775" s="1714"/>
      <c r="AX775" s="1714"/>
      <c r="AY775" s="1714"/>
      <c r="AZ775" s="1714"/>
      <c r="BA775" s="1714"/>
      <c r="BB775" s="1714"/>
      <c r="BC775" s="1714"/>
      <c r="BD775" s="1714"/>
      <c r="BE775" s="1714"/>
      <c r="BF775" s="1714"/>
    </row>
    <row r="776" spans="1:58" ht="0.75" customHeight="1">
      <c r="A776" s="1088" t="s">
        <v>1395</v>
      </c>
      <c r="D776" s="1082"/>
      <c r="E776" s="1092"/>
      <c r="F776" s="3894"/>
      <c r="G776" s="3885"/>
      <c r="H776" s="3898"/>
      <c r="I776" s="3899"/>
      <c r="J776" s="3891"/>
      <c r="K776" s="3891"/>
      <c r="L776" s="3892"/>
      <c r="M776" s="3743"/>
      <c r="N776" s="1924"/>
      <c r="O776" s="1924"/>
      <c r="P776" s="1931"/>
      <c r="Q776" s="1924"/>
      <c r="R776" s="1924"/>
      <c r="S776" s="1924"/>
      <c r="T776" s="1924"/>
      <c r="U776" s="1924"/>
      <c r="V776" s="1924"/>
      <c r="W776" s="1924"/>
      <c r="X776" s="1924"/>
      <c r="Y776" s="1924"/>
      <c r="Z776" s="1924"/>
      <c r="AA776" s="1924"/>
      <c r="AB776" s="1924"/>
      <c r="AC776" s="1924"/>
      <c r="AD776" s="1924"/>
      <c r="AE776" s="1933"/>
      <c r="AF776" s="3897"/>
      <c r="AG776" s="3892"/>
      <c r="AH776" s="3892"/>
      <c r="AI776" s="3897"/>
      <c r="AJ776" s="3892"/>
      <c r="AK776" s="3892"/>
      <c r="AL776" s="1874"/>
      <c r="AM776" s="1714"/>
      <c r="AN776" s="1714"/>
      <c r="AO776" s="1714"/>
      <c r="AP776" s="1714"/>
      <c r="AQ776" s="1714"/>
      <c r="AR776" s="1714"/>
      <c r="AS776" s="1714"/>
      <c r="AT776" s="1714"/>
      <c r="AU776" s="1714"/>
      <c r="AV776" s="1714"/>
      <c r="AW776" s="1714"/>
      <c r="AX776" s="1714"/>
      <c r="AY776" s="1714"/>
      <c r="AZ776" s="1714"/>
      <c r="BA776" s="1714"/>
      <c r="BB776" s="1714"/>
      <c r="BC776" s="1714"/>
      <c r="BD776" s="1714"/>
      <c r="BE776" s="1714"/>
      <c r="BF776" s="1714"/>
    </row>
    <row r="777" spans="1:58" ht="11.25" customHeight="1">
      <c r="A777" s="1088" t="s">
        <v>1395</v>
      </c>
      <c r="D777" s="1082"/>
      <c r="E777" s="1092"/>
      <c r="F777" s="3895"/>
      <c r="G777" s="3853" t="s">
        <v>90</v>
      </c>
      <c r="H777" s="3885" t="s">
        <v>164</v>
      </c>
      <c r="I777" s="3886"/>
      <c r="J777" s="3883"/>
      <c r="K777" s="3887" t="s">
        <v>1521</v>
      </c>
      <c r="L777" s="3599" t="s">
        <v>6</v>
      </c>
      <c r="M777" s="3600"/>
      <c r="N777" s="1872"/>
      <c r="O777" s="1099" t="s">
        <v>421</v>
      </c>
      <c r="P777" s="1100"/>
      <c r="Q777" s="1100"/>
      <c r="R777" s="1100"/>
      <c r="S777" s="1100"/>
      <c r="T777" s="1100"/>
      <c r="U777" s="1100"/>
      <c r="V777" s="1100"/>
      <c r="W777" s="1100"/>
      <c r="X777" s="1100"/>
      <c r="Y777" s="1100"/>
      <c r="Z777" s="1100"/>
      <c r="AA777" s="1100"/>
      <c r="AB777" s="1100"/>
      <c r="AC777" s="1100"/>
      <c r="AD777" s="1100"/>
      <c r="AE777" s="1100"/>
      <c r="AF777" s="3876">
        <v>2035</v>
      </c>
      <c r="AG777" s="3877" t="s">
        <v>1447</v>
      </c>
      <c r="AH777" s="3877" t="s">
        <v>1522</v>
      </c>
      <c r="AI777" s="3876">
        <v>2035</v>
      </c>
      <c r="AJ777" s="3877" t="s">
        <v>1447</v>
      </c>
      <c r="AK777" s="3877" t="s">
        <v>1522</v>
      </c>
      <c r="AL777" s="1874"/>
      <c r="AM777" s="1714"/>
      <c r="AN777" s="1714"/>
      <c r="AO777" s="1714"/>
      <c r="AP777" s="1714"/>
      <c r="AQ777" s="1714"/>
      <c r="AR777" s="1714"/>
      <c r="AS777" s="1714"/>
      <c r="AT777" s="1714"/>
      <c r="AU777" s="1714"/>
      <c r="AV777" s="1714"/>
      <c r="AW777" s="1714"/>
      <c r="AX777" s="1714"/>
      <c r="AY777" s="1714"/>
      <c r="AZ777" s="1714"/>
      <c r="BA777" s="1714"/>
      <c r="BB777" s="1714"/>
      <c r="BC777" s="1714"/>
      <c r="BD777" s="1714"/>
      <c r="BE777" s="1714"/>
      <c r="BF777" s="1714"/>
    </row>
    <row r="778" spans="1:58" ht="11.25" customHeight="1">
      <c r="A778" s="1088" t="s">
        <v>1395</v>
      </c>
      <c r="D778" s="1082"/>
      <c r="E778" s="1092"/>
      <c r="F778" s="3895"/>
      <c r="G778" s="3875"/>
      <c r="H778" s="3885" t="s">
        <v>421</v>
      </c>
      <c r="I778" s="3886"/>
      <c r="J778" s="3883"/>
      <c r="K778" s="3887"/>
      <c r="L778" s="3599"/>
      <c r="M778" s="3600"/>
      <c r="N778" s="3878"/>
      <c r="O778" s="3879">
        <v>1</v>
      </c>
      <c r="P778" s="3880" t="s">
        <v>50</v>
      </c>
      <c r="Q778" s="3883" t="s">
        <v>1449</v>
      </c>
      <c r="R778" s="3884" t="s">
        <v>1438</v>
      </c>
      <c r="S778" s="3884" t="s">
        <v>147</v>
      </c>
      <c r="T778" s="3884" t="s">
        <v>147</v>
      </c>
      <c r="U778" s="3884" t="s">
        <v>148</v>
      </c>
      <c r="V778" s="3884" t="s">
        <v>1523</v>
      </c>
      <c r="W778" s="3884" t="s">
        <v>1524</v>
      </c>
      <c r="X778" s="3884" t="s">
        <v>1525</v>
      </c>
      <c r="Y778" s="3884" t="s">
        <v>1442</v>
      </c>
      <c r="Z778" s="1097"/>
      <c r="AA778" s="1098"/>
      <c r="AB778" s="1098"/>
      <c r="AC778" s="1102"/>
      <c r="AD778" s="1102"/>
      <c r="AE778" s="1103"/>
      <c r="AF778" s="3876"/>
      <c r="AG778" s="3877"/>
      <c r="AH778" s="3877"/>
      <c r="AI778" s="3876"/>
      <c r="AJ778" s="3877"/>
      <c r="AK778" s="3877"/>
      <c r="AL778" s="1874"/>
      <c r="AM778" s="1714"/>
      <c r="AN778" s="1714"/>
      <c r="AO778" s="1714"/>
      <c r="AP778" s="1714"/>
      <c r="AQ778" s="1714"/>
      <c r="AR778" s="1714"/>
      <c r="AS778" s="1714"/>
      <c r="AT778" s="1714"/>
      <c r="AU778" s="1714"/>
      <c r="AV778" s="1714"/>
      <c r="AW778" s="1714"/>
      <c r="AX778" s="1714"/>
      <c r="AY778" s="1714"/>
      <c r="AZ778" s="1714"/>
      <c r="BA778" s="1714"/>
      <c r="BB778" s="1714"/>
      <c r="BC778" s="1714"/>
      <c r="BD778" s="1714"/>
      <c r="BE778" s="1714"/>
      <c r="BF778" s="1714"/>
    </row>
    <row r="779" spans="1:58" ht="11.25" customHeight="1">
      <c r="A779" s="1088" t="s">
        <v>1395</v>
      </c>
      <c r="D779" s="1082"/>
      <c r="E779" s="1092"/>
      <c r="F779" s="3895"/>
      <c r="G779" s="3875"/>
      <c r="H779" s="3885" t="s">
        <v>421</v>
      </c>
      <c r="I779" s="3886"/>
      <c r="J779" s="3883"/>
      <c r="K779" s="3887"/>
      <c r="L779" s="3599"/>
      <c r="M779" s="3600"/>
      <c r="N779" s="3878"/>
      <c r="O779" s="3879"/>
      <c r="P779" s="3881"/>
      <c r="Q779" s="3883"/>
      <c r="R779" s="3874"/>
      <c r="S779" s="3884"/>
      <c r="T779" s="3874"/>
      <c r="U779" s="3874"/>
      <c r="V779" s="3874"/>
      <c r="W779" s="3874"/>
      <c r="X779" s="3874"/>
      <c r="Y779" s="3874"/>
      <c r="Z779" s="1719"/>
      <c r="AA779" s="1686">
        <v>1</v>
      </c>
      <c r="AB779" s="1101" t="s">
        <v>1443</v>
      </c>
      <c r="AC779" s="1091">
        <v>50</v>
      </c>
      <c r="AD779" s="1101" t="str">
        <f>AB779</f>
        <v xml:space="preserve">  Прибыль направляемая на инвестиции</v>
      </c>
      <c r="AE779" s="1091">
        <v>0</v>
      </c>
      <c r="AF779" s="3876"/>
      <c r="AG779" s="3877"/>
      <c r="AH779" s="3877"/>
      <c r="AI779" s="3876"/>
      <c r="AJ779" s="3877"/>
      <c r="AK779" s="3877"/>
      <c r="AL779" s="1874"/>
      <c r="AM779" s="1714"/>
      <c r="AN779" s="1714"/>
      <c r="AO779" s="1714"/>
      <c r="AP779" s="1714"/>
      <c r="AQ779" s="1714"/>
      <c r="AR779" s="1714"/>
      <c r="AS779" s="1714"/>
      <c r="AT779" s="1714"/>
      <c r="AU779" s="1714"/>
      <c r="AV779" s="1714"/>
      <c r="AW779" s="1714"/>
      <c r="AX779" s="1714"/>
      <c r="AY779" s="1714"/>
      <c r="AZ779" s="1714"/>
      <c r="BA779" s="1714"/>
      <c r="BB779" s="1714"/>
      <c r="BC779" s="1714"/>
      <c r="BD779" s="1714"/>
      <c r="BE779" s="1714"/>
      <c r="BF779" s="1714"/>
    </row>
    <row r="780" spans="1:58" ht="11.25" customHeight="1">
      <c r="A780" s="1088" t="s">
        <v>1395</v>
      </c>
      <c r="D780" s="1082"/>
      <c r="E780" s="1092"/>
      <c r="F780" s="3895"/>
      <c r="G780" s="3875"/>
      <c r="H780" s="3885" t="s">
        <v>421</v>
      </c>
      <c r="I780" s="3886"/>
      <c r="J780" s="3883"/>
      <c r="K780" s="3887"/>
      <c r="L780" s="3599"/>
      <c r="M780" s="3600"/>
      <c r="N780" s="3878"/>
      <c r="O780" s="3879"/>
      <c r="P780" s="3882"/>
      <c r="Q780" s="3883"/>
      <c r="R780" s="3874"/>
      <c r="S780" s="3884"/>
      <c r="T780" s="3874"/>
      <c r="U780" s="3874"/>
      <c r="V780" s="3874"/>
      <c r="W780" s="3874"/>
      <c r="X780" s="3874"/>
      <c r="Y780" s="3874"/>
      <c r="Z780" s="1097"/>
      <c r="AA780" s="1098"/>
      <c r="AB780" s="1163" t="s">
        <v>1444</v>
      </c>
      <c r="AC780" s="1102"/>
      <c r="AD780" s="1102"/>
      <c r="AE780" s="1104"/>
      <c r="AF780" s="3876"/>
      <c r="AG780" s="3877"/>
      <c r="AH780" s="3877"/>
      <c r="AI780" s="3876"/>
      <c r="AJ780" s="3877"/>
      <c r="AK780" s="3877"/>
      <c r="AL780" s="1874"/>
      <c r="AM780" s="1714"/>
      <c r="AN780" s="1714"/>
      <c r="AO780" s="1714"/>
      <c r="AP780" s="1714"/>
      <c r="AQ780" s="1714"/>
      <c r="AR780" s="1714"/>
      <c r="AS780" s="1714"/>
      <c r="AT780" s="1714"/>
      <c r="AU780" s="1714"/>
      <c r="AV780" s="1714"/>
      <c r="AW780" s="1714"/>
      <c r="AX780" s="1714"/>
      <c r="AY780" s="1714"/>
      <c r="AZ780" s="1714"/>
      <c r="BA780" s="1714"/>
      <c r="BB780" s="1714"/>
      <c r="BC780" s="1714"/>
      <c r="BD780" s="1714"/>
      <c r="BE780" s="1714"/>
      <c r="BF780" s="1714"/>
    </row>
    <row r="781" spans="1:58" ht="11.25" customHeight="1">
      <c r="A781" s="1088" t="s">
        <v>1395</v>
      </c>
      <c r="D781" s="1082"/>
      <c r="E781" s="1092"/>
      <c r="F781" s="3895"/>
      <c r="G781" s="3875"/>
      <c r="H781" s="3885" t="s">
        <v>421</v>
      </c>
      <c r="I781" s="3886"/>
      <c r="J781" s="3883"/>
      <c r="K781" s="3887"/>
      <c r="L781" s="3599"/>
      <c r="M781" s="3600"/>
      <c r="N781" s="1097"/>
      <c r="O781" s="1098"/>
      <c r="P781" s="1090" t="s">
        <v>1445</v>
      </c>
      <c r="Q781" s="1098"/>
      <c r="R781" s="1098"/>
      <c r="S781" s="1098"/>
      <c r="T781" s="1098"/>
      <c r="U781" s="1098"/>
      <c r="V781" s="1098"/>
      <c r="W781" s="1098"/>
      <c r="X781" s="1098"/>
      <c r="Y781" s="1098"/>
      <c r="Z781" s="1098"/>
      <c r="AA781" s="1098"/>
      <c r="AB781" s="1098"/>
      <c r="AC781" s="1098"/>
      <c r="AD781" s="1098"/>
      <c r="AE781" s="1105"/>
      <c r="AF781" s="3876"/>
      <c r="AG781" s="3877"/>
      <c r="AH781" s="3877"/>
      <c r="AI781" s="3876"/>
      <c r="AJ781" s="3877"/>
      <c r="AK781" s="3877"/>
      <c r="AL781" s="1874"/>
      <c r="AM781" s="1714"/>
      <c r="AN781" s="1714"/>
      <c r="AO781" s="1714"/>
      <c r="AP781" s="1714"/>
      <c r="AQ781" s="1714"/>
      <c r="AR781" s="1714"/>
      <c r="AS781" s="1714"/>
      <c r="AT781" s="1714"/>
      <c r="AU781" s="1714"/>
      <c r="AV781" s="1714"/>
      <c r="AW781" s="1714"/>
      <c r="AX781" s="1714"/>
      <c r="AY781" s="1714"/>
      <c r="AZ781" s="1714"/>
      <c r="BA781" s="1714"/>
      <c r="BB781" s="1714"/>
      <c r="BC781" s="1714"/>
      <c r="BD781" s="1714"/>
      <c r="BE781" s="1714"/>
      <c r="BF781" s="1714"/>
    </row>
    <row r="782" spans="1:58" ht="12" customHeight="1">
      <c r="A782" s="1088" t="s">
        <v>1395</v>
      </c>
      <c r="D782" s="1082"/>
      <c r="E782" s="1092"/>
      <c r="F782" s="3896"/>
      <c r="G782" s="1112"/>
      <c r="H782" s="1112"/>
      <c r="I782" s="3893" t="s">
        <v>1451</v>
      </c>
      <c r="J782" s="3893"/>
      <c r="K782" s="3893"/>
      <c r="L782" s="1095"/>
      <c r="M782" s="1095"/>
      <c r="N782" s="1096"/>
      <c r="O782" s="1096"/>
      <c r="P782" s="1096"/>
      <c r="Q782" s="1096"/>
      <c r="R782" s="1096"/>
      <c r="S782" s="1096"/>
      <c r="T782" s="1096"/>
      <c r="U782" s="1096"/>
      <c r="V782" s="1096"/>
      <c r="W782" s="1096"/>
      <c r="X782" s="1096"/>
      <c r="Y782" s="1096"/>
      <c r="Z782" s="1096"/>
      <c r="AA782" s="1096"/>
      <c r="AB782" s="1096"/>
      <c r="AC782" s="1096"/>
      <c r="AD782" s="1096"/>
      <c r="AE782" s="1096"/>
      <c r="AF782" s="1096"/>
      <c r="AG782" s="1095"/>
      <c r="AH782" s="1095"/>
      <c r="AI782" s="1096"/>
      <c r="AJ782" s="1095"/>
      <c r="AK782" s="1096"/>
      <c r="AL782" s="1874"/>
      <c r="AM782" s="1714"/>
      <c r="AN782" s="1714"/>
      <c r="AO782" s="1714"/>
      <c r="AP782" s="1714"/>
      <c r="AQ782" s="1714"/>
      <c r="AR782" s="1714"/>
      <c r="AS782" s="1714"/>
      <c r="AT782" s="1714"/>
      <c r="AU782" s="1714"/>
      <c r="AV782" s="1714"/>
      <c r="AW782" s="1714"/>
      <c r="AX782" s="1714"/>
      <c r="AY782" s="1714"/>
      <c r="AZ782" s="1714"/>
      <c r="BA782" s="1714"/>
      <c r="BB782" s="1714"/>
      <c r="BC782" s="1714"/>
      <c r="BD782" s="1714"/>
      <c r="BE782" s="1714"/>
      <c r="BF782" s="1714"/>
    </row>
    <row r="783" spans="1:58" ht="0.75" customHeight="1">
      <c r="A783" s="1088" t="s">
        <v>1395</v>
      </c>
      <c r="D783" s="1082"/>
      <c r="E783" s="1092"/>
      <c r="F783" s="3894">
        <v>2023</v>
      </c>
      <c r="G783" s="3885"/>
      <c r="H783" s="3898" t="s">
        <v>421</v>
      </c>
      <c r="I783" s="3899"/>
      <c r="J783" s="3891"/>
      <c r="K783" s="3891"/>
      <c r="L783" s="3892"/>
      <c r="M783" s="3743"/>
      <c r="N783" s="1922"/>
      <c r="O783" s="1921"/>
      <c r="P783" s="1922"/>
      <c r="Q783" s="1922"/>
      <c r="R783" s="1922"/>
      <c r="S783" s="1922"/>
      <c r="T783" s="1922"/>
      <c r="U783" s="1922"/>
      <c r="V783" s="1922"/>
      <c r="W783" s="1922"/>
      <c r="X783" s="1922"/>
      <c r="Y783" s="1922"/>
      <c r="Z783" s="1922"/>
      <c r="AA783" s="1922"/>
      <c r="AB783" s="1922"/>
      <c r="AC783" s="1922"/>
      <c r="AD783" s="1922"/>
      <c r="AE783" s="1922"/>
      <c r="AF783" s="3897"/>
      <c r="AG783" s="3892"/>
      <c r="AH783" s="3892"/>
      <c r="AI783" s="3897"/>
      <c r="AJ783" s="3892"/>
      <c r="AK783" s="3892"/>
      <c r="AL783" s="1874"/>
      <c r="AM783" s="1714"/>
      <c r="AN783" s="1714"/>
      <c r="AO783" s="1714"/>
      <c r="AP783" s="1714"/>
      <c r="AQ783" s="1714"/>
      <c r="AR783" s="1714"/>
      <c r="AS783" s="1714"/>
      <c r="AT783" s="1714"/>
      <c r="AU783" s="1714"/>
      <c r="AV783" s="1714"/>
      <c r="AW783" s="1714"/>
      <c r="AX783" s="1714"/>
      <c r="AY783" s="1714"/>
      <c r="AZ783" s="1714"/>
      <c r="BA783" s="1714"/>
      <c r="BB783" s="1714"/>
      <c r="BC783" s="1714"/>
      <c r="BD783" s="1714"/>
      <c r="BE783" s="1714"/>
      <c r="BF783" s="1714"/>
    </row>
    <row r="784" spans="1:58" ht="0.75" customHeight="1">
      <c r="A784" s="1088" t="s">
        <v>1395</v>
      </c>
      <c r="D784" s="1082"/>
      <c r="E784" s="1092"/>
      <c r="F784" s="3894"/>
      <c r="G784" s="3885"/>
      <c r="H784" s="3898"/>
      <c r="I784" s="3899"/>
      <c r="J784" s="3891"/>
      <c r="K784" s="3891"/>
      <c r="L784" s="3892"/>
      <c r="M784" s="3743"/>
      <c r="N784" s="3900"/>
      <c r="O784" s="3901"/>
      <c r="P784" s="3888"/>
      <c r="Q784" s="3891"/>
      <c r="R784" s="3891"/>
      <c r="S784" s="3891"/>
      <c r="T784" s="3891"/>
      <c r="U784" s="3891"/>
      <c r="V784" s="3891"/>
      <c r="W784" s="3891"/>
      <c r="X784" s="3891"/>
      <c r="Y784" s="3891"/>
      <c r="Z784" s="1923"/>
      <c r="AA784" s="1924"/>
      <c r="AB784" s="1924"/>
      <c r="AC784" s="1925"/>
      <c r="AD784" s="1925"/>
      <c r="AE784" s="1926"/>
      <c r="AF784" s="3897"/>
      <c r="AG784" s="3892"/>
      <c r="AH784" s="3892"/>
      <c r="AI784" s="3897"/>
      <c r="AJ784" s="3892"/>
      <c r="AK784" s="3892"/>
      <c r="AL784" s="1874"/>
      <c r="AM784" s="1714"/>
      <c r="AN784" s="1714"/>
      <c r="AO784" s="1714"/>
      <c r="AP784" s="1714"/>
      <c r="AQ784" s="1714"/>
      <c r="AR784" s="1714"/>
      <c r="AS784" s="1714"/>
      <c r="AT784" s="1714"/>
      <c r="AU784" s="1714"/>
      <c r="AV784" s="1714"/>
      <c r="AW784" s="1714"/>
      <c r="AX784" s="1714"/>
      <c r="AY784" s="1714"/>
      <c r="AZ784" s="1714"/>
      <c r="BA784" s="1714"/>
      <c r="BB784" s="1714"/>
      <c r="BC784" s="1714"/>
      <c r="BD784" s="1714"/>
      <c r="BE784" s="1714"/>
      <c r="BF784" s="1714"/>
    </row>
    <row r="785" spans="1:58" ht="0.75" customHeight="1">
      <c r="A785" s="1088" t="s">
        <v>1395</v>
      </c>
      <c r="D785" s="1082"/>
      <c r="E785" s="1092"/>
      <c r="F785" s="3894"/>
      <c r="G785" s="3885"/>
      <c r="H785" s="3898"/>
      <c r="I785" s="3899"/>
      <c r="J785" s="3891"/>
      <c r="K785" s="3891"/>
      <c r="L785" s="3892"/>
      <c r="M785" s="3743"/>
      <c r="N785" s="3900"/>
      <c r="O785" s="3901"/>
      <c r="P785" s="3889"/>
      <c r="Q785" s="3891"/>
      <c r="R785" s="3891"/>
      <c r="S785" s="3891"/>
      <c r="T785" s="3891"/>
      <c r="U785" s="3891"/>
      <c r="V785" s="3891"/>
      <c r="W785" s="3891"/>
      <c r="X785" s="3891"/>
      <c r="Y785" s="3891"/>
      <c r="Z785" s="1927"/>
      <c r="AA785" s="1928"/>
      <c r="AB785" s="1929"/>
      <c r="AC785" s="1930"/>
      <c r="AD785" s="1929"/>
      <c r="AE785" s="1930"/>
      <c r="AF785" s="3897"/>
      <c r="AG785" s="3892"/>
      <c r="AH785" s="3892"/>
      <c r="AI785" s="3897"/>
      <c r="AJ785" s="3892"/>
      <c r="AK785" s="3892"/>
      <c r="AL785" s="1874"/>
      <c r="AM785" s="1714"/>
      <c r="AN785" s="1714"/>
      <c r="AO785" s="1714"/>
      <c r="AP785" s="1714"/>
      <c r="AQ785" s="1714"/>
      <c r="AR785" s="1714"/>
      <c r="AS785" s="1714"/>
      <c r="AT785" s="1714"/>
      <c r="AU785" s="1714"/>
      <c r="AV785" s="1714"/>
      <c r="AW785" s="1714"/>
      <c r="AX785" s="1714"/>
      <c r="AY785" s="1714"/>
      <c r="AZ785" s="1714"/>
      <c r="BA785" s="1714"/>
      <c r="BB785" s="1714"/>
      <c r="BC785" s="1714"/>
      <c r="BD785" s="1714"/>
      <c r="BE785" s="1714"/>
      <c r="BF785" s="1714"/>
    </row>
    <row r="786" spans="1:58" ht="0.75" customHeight="1">
      <c r="A786" s="1088" t="s">
        <v>1395</v>
      </c>
      <c r="D786" s="1082"/>
      <c r="E786" s="1092"/>
      <c r="F786" s="3894"/>
      <c r="G786" s="3885"/>
      <c r="H786" s="3898"/>
      <c r="I786" s="3899"/>
      <c r="J786" s="3891"/>
      <c r="K786" s="3891"/>
      <c r="L786" s="3892"/>
      <c r="M786" s="3743"/>
      <c r="N786" s="3900"/>
      <c r="O786" s="3901"/>
      <c r="P786" s="3890"/>
      <c r="Q786" s="3891"/>
      <c r="R786" s="3891"/>
      <c r="S786" s="3891"/>
      <c r="T786" s="3891"/>
      <c r="U786" s="3891"/>
      <c r="V786" s="3891"/>
      <c r="W786" s="3891"/>
      <c r="X786" s="3891"/>
      <c r="Y786" s="3891"/>
      <c r="Z786" s="1923"/>
      <c r="AA786" s="1924"/>
      <c r="AB786" s="1931"/>
      <c r="AC786" s="1925"/>
      <c r="AD786" s="1925"/>
      <c r="AE786" s="1932"/>
      <c r="AF786" s="3897"/>
      <c r="AG786" s="3892"/>
      <c r="AH786" s="3892"/>
      <c r="AI786" s="3897"/>
      <c r="AJ786" s="3892"/>
      <c r="AK786" s="3892"/>
      <c r="AL786" s="1874"/>
      <c r="AM786" s="1714"/>
      <c r="AN786" s="1714"/>
      <c r="AO786" s="1714"/>
      <c r="AP786" s="1714"/>
      <c r="AQ786" s="1714"/>
      <c r="AR786" s="1714"/>
      <c r="AS786" s="1714"/>
      <c r="AT786" s="1714"/>
      <c r="AU786" s="1714"/>
      <c r="AV786" s="1714"/>
      <c r="AW786" s="1714"/>
      <c r="AX786" s="1714"/>
      <c r="AY786" s="1714"/>
      <c r="AZ786" s="1714"/>
      <c r="BA786" s="1714"/>
      <c r="BB786" s="1714"/>
      <c r="BC786" s="1714"/>
      <c r="BD786" s="1714"/>
      <c r="BE786" s="1714"/>
      <c r="BF786" s="1714"/>
    </row>
    <row r="787" spans="1:58" ht="0.75" customHeight="1">
      <c r="A787" s="1088" t="s">
        <v>1395</v>
      </c>
      <c r="D787" s="1082"/>
      <c r="E787" s="1092"/>
      <c r="F787" s="3894"/>
      <c r="G787" s="3885"/>
      <c r="H787" s="3898"/>
      <c r="I787" s="3899"/>
      <c r="J787" s="3891"/>
      <c r="K787" s="3891"/>
      <c r="L787" s="3892"/>
      <c r="M787" s="3743"/>
      <c r="N787" s="1924"/>
      <c r="O787" s="1924"/>
      <c r="P787" s="1931"/>
      <c r="Q787" s="1924"/>
      <c r="R787" s="1924"/>
      <c r="S787" s="1924"/>
      <c r="T787" s="1924"/>
      <c r="U787" s="1924"/>
      <c r="V787" s="1924"/>
      <c r="W787" s="1924"/>
      <c r="X787" s="1924"/>
      <c r="Y787" s="1924"/>
      <c r="Z787" s="1924"/>
      <c r="AA787" s="1924"/>
      <c r="AB787" s="1924"/>
      <c r="AC787" s="1924"/>
      <c r="AD787" s="1924"/>
      <c r="AE787" s="1933"/>
      <c r="AF787" s="3897"/>
      <c r="AG787" s="3892"/>
      <c r="AH787" s="3892"/>
      <c r="AI787" s="3897"/>
      <c r="AJ787" s="3892"/>
      <c r="AK787" s="3892"/>
      <c r="AL787" s="1874"/>
      <c r="AM787" s="1714"/>
      <c r="AN787" s="1714"/>
      <c r="AO787" s="1714"/>
      <c r="AP787" s="1714"/>
      <c r="AQ787" s="1714"/>
      <c r="AR787" s="1714"/>
      <c r="AS787" s="1714"/>
      <c r="AT787" s="1714"/>
      <c r="AU787" s="1714"/>
      <c r="AV787" s="1714"/>
      <c r="AW787" s="1714"/>
      <c r="AX787" s="1714"/>
      <c r="AY787" s="1714"/>
      <c r="AZ787" s="1714"/>
      <c r="BA787" s="1714"/>
      <c r="BB787" s="1714"/>
      <c r="BC787" s="1714"/>
      <c r="BD787" s="1714"/>
      <c r="BE787" s="1714"/>
      <c r="BF787" s="1714"/>
    </row>
    <row r="788" spans="1:58" ht="11.25" customHeight="1">
      <c r="A788" s="1088" t="s">
        <v>1395</v>
      </c>
      <c r="D788" s="1082"/>
      <c r="E788" s="1092"/>
      <c r="F788" s="3895"/>
      <c r="G788" s="3853" t="s">
        <v>90</v>
      </c>
      <c r="H788" s="3885" t="s">
        <v>164</v>
      </c>
      <c r="I788" s="3886"/>
      <c r="J788" s="3883"/>
      <c r="K788" s="3887" t="s">
        <v>1521</v>
      </c>
      <c r="L788" s="3599" t="s">
        <v>6</v>
      </c>
      <c r="M788" s="3600"/>
      <c r="N788" s="1872"/>
      <c r="O788" s="1099" t="s">
        <v>421</v>
      </c>
      <c r="P788" s="1100"/>
      <c r="Q788" s="1100"/>
      <c r="R788" s="1100"/>
      <c r="S788" s="1100"/>
      <c r="T788" s="1100"/>
      <c r="U788" s="1100"/>
      <c r="V788" s="1100"/>
      <c r="W788" s="1100"/>
      <c r="X788" s="1100"/>
      <c r="Y788" s="1100"/>
      <c r="Z788" s="1100"/>
      <c r="AA788" s="1100"/>
      <c r="AB788" s="1100"/>
      <c r="AC788" s="1100"/>
      <c r="AD788" s="1100"/>
      <c r="AE788" s="1100"/>
      <c r="AF788" s="3876">
        <v>2035</v>
      </c>
      <c r="AG788" s="3877" t="s">
        <v>1447</v>
      </c>
      <c r="AH788" s="3877" t="s">
        <v>1522</v>
      </c>
      <c r="AI788" s="3876">
        <v>2035</v>
      </c>
      <c r="AJ788" s="3877" t="s">
        <v>1447</v>
      </c>
      <c r="AK788" s="3877" t="s">
        <v>1522</v>
      </c>
      <c r="AL788" s="1874"/>
      <c r="AM788" s="1714"/>
      <c r="AN788" s="1714"/>
      <c r="AO788" s="1714"/>
      <c r="AP788" s="1714"/>
      <c r="AQ788" s="1714"/>
      <c r="AR788" s="1714"/>
      <c r="AS788" s="1714"/>
      <c r="AT788" s="1714"/>
      <c r="AU788" s="1714"/>
      <c r="AV788" s="1714"/>
      <c r="AW788" s="1714"/>
      <c r="AX788" s="1714"/>
      <c r="AY788" s="1714"/>
      <c r="AZ788" s="1714"/>
      <c r="BA788" s="1714"/>
      <c r="BB788" s="1714"/>
      <c r="BC788" s="1714"/>
      <c r="BD788" s="1714"/>
      <c r="BE788" s="1714"/>
      <c r="BF788" s="1714"/>
    </row>
    <row r="789" spans="1:58" ht="11.25" customHeight="1">
      <c r="A789" s="1088" t="s">
        <v>1395</v>
      </c>
      <c r="D789" s="1082"/>
      <c r="E789" s="1092"/>
      <c r="F789" s="3895"/>
      <c r="G789" s="3875"/>
      <c r="H789" s="3885" t="s">
        <v>421</v>
      </c>
      <c r="I789" s="3886"/>
      <c r="J789" s="3883"/>
      <c r="K789" s="3887"/>
      <c r="L789" s="3599"/>
      <c r="M789" s="3600"/>
      <c r="N789" s="3878"/>
      <c r="O789" s="3879">
        <v>1</v>
      </c>
      <c r="P789" s="3880" t="s">
        <v>50</v>
      </c>
      <c r="Q789" s="3883" t="s">
        <v>1449</v>
      </c>
      <c r="R789" s="3884" t="s">
        <v>1438</v>
      </c>
      <c r="S789" s="3884" t="s">
        <v>147</v>
      </c>
      <c r="T789" s="3884" t="s">
        <v>147</v>
      </c>
      <c r="U789" s="3884" t="s">
        <v>148</v>
      </c>
      <c r="V789" s="3884" t="s">
        <v>1523</v>
      </c>
      <c r="W789" s="3884" t="s">
        <v>1524</v>
      </c>
      <c r="X789" s="3884" t="s">
        <v>1525</v>
      </c>
      <c r="Y789" s="3884" t="s">
        <v>1442</v>
      </c>
      <c r="Z789" s="1097"/>
      <c r="AA789" s="1098"/>
      <c r="AB789" s="1098"/>
      <c r="AC789" s="1102"/>
      <c r="AD789" s="1102"/>
      <c r="AE789" s="1103"/>
      <c r="AF789" s="3876"/>
      <c r="AG789" s="3877"/>
      <c r="AH789" s="3877"/>
      <c r="AI789" s="3876"/>
      <c r="AJ789" s="3877"/>
      <c r="AK789" s="3877"/>
      <c r="AL789" s="1874"/>
      <c r="AM789" s="1714"/>
      <c r="AN789" s="1714"/>
      <c r="AO789" s="1714"/>
      <c r="AP789" s="1714"/>
      <c r="AQ789" s="1714"/>
      <c r="AR789" s="1714"/>
      <c r="AS789" s="1714"/>
      <c r="AT789" s="1714"/>
      <c r="AU789" s="1714"/>
      <c r="AV789" s="1714"/>
      <c r="AW789" s="1714"/>
      <c r="AX789" s="1714"/>
      <c r="AY789" s="1714"/>
      <c r="AZ789" s="1714"/>
      <c r="BA789" s="1714"/>
      <c r="BB789" s="1714"/>
      <c r="BC789" s="1714"/>
      <c r="BD789" s="1714"/>
      <c r="BE789" s="1714"/>
      <c r="BF789" s="1714"/>
    </row>
    <row r="790" spans="1:58" ht="11.25" customHeight="1">
      <c r="A790" s="1088" t="s">
        <v>1395</v>
      </c>
      <c r="D790" s="1082"/>
      <c r="E790" s="1092"/>
      <c r="F790" s="3895"/>
      <c r="G790" s="3875"/>
      <c r="H790" s="3885" t="s">
        <v>421</v>
      </c>
      <c r="I790" s="3886"/>
      <c r="J790" s="3883"/>
      <c r="K790" s="3887"/>
      <c r="L790" s="3599"/>
      <c r="M790" s="3600"/>
      <c r="N790" s="3878"/>
      <c r="O790" s="3879"/>
      <c r="P790" s="3881"/>
      <c r="Q790" s="3883"/>
      <c r="R790" s="3874"/>
      <c r="S790" s="3884"/>
      <c r="T790" s="3874"/>
      <c r="U790" s="3874"/>
      <c r="V790" s="3874"/>
      <c r="W790" s="3874"/>
      <c r="X790" s="3874"/>
      <c r="Y790" s="3874"/>
      <c r="Z790" s="1719"/>
      <c r="AA790" s="1686">
        <v>1</v>
      </c>
      <c r="AB790" s="1101" t="s">
        <v>1443</v>
      </c>
      <c r="AC790" s="1091">
        <v>50</v>
      </c>
      <c r="AD790" s="1101" t="str">
        <f>AB790</f>
        <v xml:space="preserve">  Прибыль направляемая на инвестиции</v>
      </c>
      <c r="AE790" s="1091">
        <v>0</v>
      </c>
      <c r="AF790" s="3876"/>
      <c r="AG790" s="3877"/>
      <c r="AH790" s="3877"/>
      <c r="AI790" s="3876"/>
      <c r="AJ790" s="3877"/>
      <c r="AK790" s="3877"/>
      <c r="AL790" s="1874"/>
      <c r="AM790" s="1714"/>
      <c r="AN790" s="1714"/>
      <c r="AO790" s="1714"/>
      <c r="AP790" s="1714"/>
      <c r="AQ790" s="1714"/>
      <c r="AR790" s="1714"/>
      <c r="AS790" s="1714"/>
      <c r="AT790" s="1714"/>
      <c r="AU790" s="1714"/>
      <c r="AV790" s="1714"/>
      <c r="AW790" s="1714"/>
      <c r="AX790" s="1714"/>
      <c r="AY790" s="1714"/>
      <c r="AZ790" s="1714"/>
      <c r="BA790" s="1714"/>
      <c r="BB790" s="1714"/>
      <c r="BC790" s="1714"/>
      <c r="BD790" s="1714"/>
      <c r="BE790" s="1714"/>
      <c r="BF790" s="1714"/>
    </row>
    <row r="791" spans="1:58" ht="11.25" customHeight="1">
      <c r="A791" s="1088" t="s">
        <v>1395</v>
      </c>
      <c r="D791" s="1082"/>
      <c r="E791" s="1092"/>
      <c r="F791" s="3895"/>
      <c r="G791" s="3875"/>
      <c r="H791" s="3885" t="s">
        <v>421</v>
      </c>
      <c r="I791" s="3886"/>
      <c r="J791" s="3883"/>
      <c r="K791" s="3887"/>
      <c r="L791" s="3599"/>
      <c r="M791" s="3600"/>
      <c r="N791" s="3878"/>
      <c r="O791" s="3879"/>
      <c r="P791" s="3882"/>
      <c r="Q791" s="3883"/>
      <c r="R791" s="3874"/>
      <c r="S791" s="3884"/>
      <c r="T791" s="3874"/>
      <c r="U791" s="3874"/>
      <c r="V791" s="3874"/>
      <c r="W791" s="3874"/>
      <c r="X791" s="3874"/>
      <c r="Y791" s="3874"/>
      <c r="Z791" s="1097"/>
      <c r="AA791" s="1098"/>
      <c r="AB791" s="1163" t="s">
        <v>1444</v>
      </c>
      <c r="AC791" s="1102"/>
      <c r="AD791" s="1102"/>
      <c r="AE791" s="1104"/>
      <c r="AF791" s="3876"/>
      <c r="AG791" s="3877"/>
      <c r="AH791" s="3877"/>
      <c r="AI791" s="3876"/>
      <c r="AJ791" s="3877"/>
      <c r="AK791" s="3877"/>
      <c r="AL791" s="1874"/>
      <c r="AM791" s="1714"/>
      <c r="AN791" s="1714"/>
      <c r="AO791" s="1714"/>
      <c r="AP791" s="1714"/>
      <c r="AQ791" s="1714"/>
      <c r="AR791" s="1714"/>
      <c r="AS791" s="1714"/>
      <c r="AT791" s="1714"/>
      <c r="AU791" s="1714"/>
      <c r="AV791" s="1714"/>
      <c r="AW791" s="1714"/>
      <c r="AX791" s="1714"/>
      <c r="AY791" s="1714"/>
      <c r="AZ791" s="1714"/>
      <c r="BA791" s="1714"/>
      <c r="BB791" s="1714"/>
      <c r="BC791" s="1714"/>
      <c r="BD791" s="1714"/>
      <c r="BE791" s="1714"/>
      <c r="BF791" s="1714"/>
    </row>
    <row r="792" spans="1:58" ht="11.25" customHeight="1">
      <c r="A792" s="1088" t="s">
        <v>1395</v>
      </c>
      <c r="D792" s="1082"/>
      <c r="E792" s="1092"/>
      <c r="F792" s="3895"/>
      <c r="G792" s="3875"/>
      <c r="H792" s="3885" t="s">
        <v>421</v>
      </c>
      <c r="I792" s="3886"/>
      <c r="J792" s="3883"/>
      <c r="K792" s="3887"/>
      <c r="L792" s="3599"/>
      <c r="M792" s="3600"/>
      <c r="N792" s="1097"/>
      <c r="O792" s="1098"/>
      <c r="P792" s="1090" t="s">
        <v>1445</v>
      </c>
      <c r="Q792" s="1098"/>
      <c r="R792" s="1098"/>
      <c r="S792" s="1098"/>
      <c r="T792" s="1098"/>
      <c r="U792" s="1098"/>
      <c r="V792" s="1098"/>
      <c r="W792" s="1098"/>
      <c r="X792" s="1098"/>
      <c r="Y792" s="1098"/>
      <c r="Z792" s="1098"/>
      <c r="AA792" s="1098"/>
      <c r="AB792" s="1098"/>
      <c r="AC792" s="1098"/>
      <c r="AD792" s="1098"/>
      <c r="AE792" s="1105"/>
      <c r="AF792" s="3876"/>
      <c r="AG792" s="3877"/>
      <c r="AH792" s="3877"/>
      <c r="AI792" s="3876"/>
      <c r="AJ792" s="3877"/>
      <c r="AK792" s="3877"/>
      <c r="AL792" s="1874"/>
      <c r="AM792" s="1714"/>
      <c r="AN792" s="1714"/>
      <c r="AO792" s="1714"/>
      <c r="AP792" s="1714"/>
      <c r="AQ792" s="1714"/>
      <c r="AR792" s="1714"/>
      <c r="AS792" s="1714"/>
      <c r="AT792" s="1714"/>
      <c r="AU792" s="1714"/>
      <c r="AV792" s="1714"/>
      <c r="AW792" s="1714"/>
      <c r="AX792" s="1714"/>
      <c r="AY792" s="1714"/>
      <c r="AZ792" s="1714"/>
      <c r="BA792" s="1714"/>
      <c r="BB792" s="1714"/>
      <c r="BC792" s="1714"/>
      <c r="BD792" s="1714"/>
      <c r="BE792" s="1714"/>
      <c r="BF792" s="1714"/>
    </row>
    <row r="793" spans="1:58" ht="12" customHeight="1">
      <c r="A793" s="1088" t="s">
        <v>1395</v>
      </c>
      <c r="D793" s="1082"/>
      <c r="E793" s="1092"/>
      <c r="F793" s="3896"/>
      <c r="G793" s="1112"/>
      <c r="H793" s="1112"/>
      <c r="I793" s="3893" t="s">
        <v>1451</v>
      </c>
      <c r="J793" s="3893"/>
      <c r="K793" s="3893"/>
      <c r="L793" s="1095"/>
      <c r="M793" s="1095"/>
      <c r="N793" s="1096"/>
      <c r="O793" s="1096"/>
      <c r="P793" s="1096"/>
      <c r="Q793" s="1096"/>
      <c r="R793" s="1096"/>
      <c r="S793" s="1096"/>
      <c r="T793" s="1096"/>
      <c r="U793" s="1096"/>
      <c r="V793" s="1096"/>
      <c r="W793" s="1096"/>
      <c r="X793" s="1096"/>
      <c r="Y793" s="1096"/>
      <c r="Z793" s="1096"/>
      <c r="AA793" s="1096"/>
      <c r="AB793" s="1096"/>
      <c r="AC793" s="1096"/>
      <c r="AD793" s="1096"/>
      <c r="AE793" s="1096"/>
      <c r="AF793" s="1096"/>
      <c r="AG793" s="1095"/>
      <c r="AH793" s="1095"/>
      <c r="AI793" s="1096"/>
      <c r="AJ793" s="1095"/>
      <c r="AK793" s="1096"/>
      <c r="AL793" s="1874"/>
      <c r="AM793" s="1714"/>
      <c r="AN793" s="1714"/>
      <c r="AO793" s="1714"/>
      <c r="AP793" s="1714"/>
      <c r="AQ793" s="1714"/>
      <c r="AR793" s="1714"/>
      <c r="AS793" s="1714"/>
      <c r="AT793" s="1714"/>
      <c r="AU793" s="1714"/>
      <c r="AV793" s="1714"/>
      <c r="AW793" s="1714"/>
      <c r="AX793" s="1714"/>
      <c r="AY793" s="1714"/>
      <c r="AZ793" s="1714"/>
      <c r="BA793" s="1714"/>
      <c r="BB793" s="1714"/>
      <c r="BC793" s="1714"/>
      <c r="BD793" s="1714"/>
      <c r="BE793" s="1714"/>
      <c r="BF793" s="1714"/>
    </row>
    <row r="794" spans="1:58" ht="0.75" customHeight="1">
      <c r="A794" s="1088" t="s">
        <v>1395</v>
      </c>
      <c r="D794" s="1082"/>
      <c r="E794" s="1092"/>
      <c r="F794" s="3894">
        <v>2024</v>
      </c>
      <c r="G794" s="3885"/>
      <c r="H794" s="3898" t="s">
        <v>421</v>
      </c>
      <c r="I794" s="3899"/>
      <c r="J794" s="3891"/>
      <c r="K794" s="3891"/>
      <c r="L794" s="3892"/>
      <c r="M794" s="3743"/>
      <c r="N794" s="1922"/>
      <c r="O794" s="1921"/>
      <c r="P794" s="1922"/>
      <c r="Q794" s="1922"/>
      <c r="R794" s="1922"/>
      <c r="S794" s="1922"/>
      <c r="T794" s="1922"/>
      <c r="U794" s="1922"/>
      <c r="V794" s="1922"/>
      <c r="W794" s="1922"/>
      <c r="X794" s="1922"/>
      <c r="Y794" s="1922"/>
      <c r="Z794" s="1922"/>
      <c r="AA794" s="1922"/>
      <c r="AB794" s="1922"/>
      <c r="AC794" s="1922"/>
      <c r="AD794" s="1922"/>
      <c r="AE794" s="1922"/>
      <c r="AF794" s="3897"/>
      <c r="AG794" s="3892"/>
      <c r="AH794" s="3892"/>
      <c r="AI794" s="3897"/>
      <c r="AJ794" s="3892"/>
      <c r="AK794" s="3892"/>
      <c r="AL794" s="1874"/>
      <c r="AM794" s="1714"/>
      <c r="AN794" s="1714"/>
      <c r="AO794" s="1714"/>
      <c r="AP794" s="1714"/>
      <c r="AQ794" s="1714"/>
      <c r="AR794" s="1714"/>
      <c r="AS794" s="1714"/>
      <c r="AT794" s="1714"/>
      <c r="AU794" s="1714"/>
      <c r="AV794" s="1714"/>
      <c r="AW794" s="1714"/>
      <c r="AX794" s="1714"/>
      <c r="AY794" s="1714"/>
      <c r="AZ794" s="1714"/>
      <c r="BA794" s="1714"/>
      <c r="BB794" s="1714"/>
      <c r="BC794" s="1714"/>
      <c r="BD794" s="1714"/>
      <c r="BE794" s="1714"/>
      <c r="BF794" s="1714"/>
    </row>
    <row r="795" spans="1:58" ht="0.75" customHeight="1">
      <c r="A795" s="1088" t="s">
        <v>1395</v>
      </c>
      <c r="D795" s="1082"/>
      <c r="E795" s="1092"/>
      <c r="F795" s="3894"/>
      <c r="G795" s="3885"/>
      <c r="H795" s="3898"/>
      <c r="I795" s="3899"/>
      <c r="J795" s="3891"/>
      <c r="K795" s="3891"/>
      <c r="L795" s="3892"/>
      <c r="M795" s="3743"/>
      <c r="N795" s="3900"/>
      <c r="O795" s="3901"/>
      <c r="P795" s="3888"/>
      <c r="Q795" s="3891"/>
      <c r="R795" s="3891"/>
      <c r="S795" s="3891"/>
      <c r="T795" s="3891"/>
      <c r="U795" s="3891"/>
      <c r="V795" s="3891"/>
      <c r="W795" s="3891"/>
      <c r="X795" s="3891"/>
      <c r="Y795" s="3891"/>
      <c r="Z795" s="1923"/>
      <c r="AA795" s="1924"/>
      <c r="AB795" s="1924"/>
      <c r="AC795" s="1925"/>
      <c r="AD795" s="1925"/>
      <c r="AE795" s="1926"/>
      <c r="AF795" s="3897"/>
      <c r="AG795" s="3892"/>
      <c r="AH795" s="3892"/>
      <c r="AI795" s="3897"/>
      <c r="AJ795" s="3892"/>
      <c r="AK795" s="3892"/>
      <c r="AL795" s="1874"/>
      <c r="AM795" s="1714"/>
      <c r="AN795" s="1714"/>
      <c r="AO795" s="1714"/>
      <c r="AP795" s="1714"/>
      <c r="AQ795" s="1714"/>
      <c r="AR795" s="1714"/>
      <c r="AS795" s="1714"/>
      <c r="AT795" s="1714"/>
      <c r="AU795" s="1714"/>
      <c r="AV795" s="1714"/>
      <c r="AW795" s="1714"/>
      <c r="AX795" s="1714"/>
      <c r="AY795" s="1714"/>
      <c r="AZ795" s="1714"/>
      <c r="BA795" s="1714"/>
      <c r="BB795" s="1714"/>
      <c r="BC795" s="1714"/>
      <c r="BD795" s="1714"/>
      <c r="BE795" s="1714"/>
      <c r="BF795" s="1714"/>
    </row>
    <row r="796" spans="1:58" ht="0.75" customHeight="1">
      <c r="A796" s="1088" t="s">
        <v>1395</v>
      </c>
      <c r="D796" s="1082"/>
      <c r="E796" s="1092"/>
      <c r="F796" s="3894"/>
      <c r="G796" s="3885"/>
      <c r="H796" s="3898"/>
      <c r="I796" s="3899"/>
      <c r="J796" s="3891"/>
      <c r="K796" s="3891"/>
      <c r="L796" s="3892"/>
      <c r="M796" s="3743"/>
      <c r="N796" s="3900"/>
      <c r="O796" s="3901"/>
      <c r="P796" s="3889"/>
      <c r="Q796" s="3891"/>
      <c r="R796" s="3891"/>
      <c r="S796" s="3891"/>
      <c r="T796" s="3891"/>
      <c r="U796" s="3891"/>
      <c r="V796" s="3891"/>
      <c r="W796" s="3891"/>
      <c r="X796" s="3891"/>
      <c r="Y796" s="3891"/>
      <c r="Z796" s="1927"/>
      <c r="AA796" s="1928"/>
      <c r="AB796" s="1929"/>
      <c r="AC796" s="1930"/>
      <c r="AD796" s="1929"/>
      <c r="AE796" s="1930"/>
      <c r="AF796" s="3897"/>
      <c r="AG796" s="3892"/>
      <c r="AH796" s="3892"/>
      <c r="AI796" s="3897"/>
      <c r="AJ796" s="3892"/>
      <c r="AK796" s="3892"/>
      <c r="AL796" s="1874"/>
      <c r="AM796" s="1714"/>
      <c r="AN796" s="1714"/>
      <c r="AO796" s="1714"/>
      <c r="AP796" s="1714"/>
      <c r="AQ796" s="1714"/>
      <c r="AR796" s="1714"/>
      <c r="AS796" s="1714"/>
      <c r="AT796" s="1714"/>
      <c r="AU796" s="1714"/>
      <c r="AV796" s="1714"/>
      <c r="AW796" s="1714"/>
      <c r="AX796" s="1714"/>
      <c r="AY796" s="1714"/>
      <c r="AZ796" s="1714"/>
      <c r="BA796" s="1714"/>
      <c r="BB796" s="1714"/>
      <c r="BC796" s="1714"/>
      <c r="BD796" s="1714"/>
      <c r="BE796" s="1714"/>
      <c r="BF796" s="1714"/>
    </row>
    <row r="797" spans="1:58" ht="0.75" customHeight="1">
      <c r="A797" s="1088" t="s">
        <v>1395</v>
      </c>
      <c r="D797" s="1082"/>
      <c r="E797" s="1092"/>
      <c r="F797" s="3894"/>
      <c r="G797" s="3885"/>
      <c r="H797" s="3898"/>
      <c r="I797" s="3899"/>
      <c r="J797" s="3891"/>
      <c r="K797" s="3891"/>
      <c r="L797" s="3892"/>
      <c r="M797" s="3743"/>
      <c r="N797" s="3900"/>
      <c r="O797" s="3901"/>
      <c r="P797" s="3890"/>
      <c r="Q797" s="3891"/>
      <c r="R797" s="3891"/>
      <c r="S797" s="3891"/>
      <c r="T797" s="3891"/>
      <c r="U797" s="3891"/>
      <c r="V797" s="3891"/>
      <c r="W797" s="3891"/>
      <c r="X797" s="3891"/>
      <c r="Y797" s="3891"/>
      <c r="Z797" s="1923"/>
      <c r="AA797" s="1924"/>
      <c r="AB797" s="1931"/>
      <c r="AC797" s="1925"/>
      <c r="AD797" s="1925"/>
      <c r="AE797" s="1932"/>
      <c r="AF797" s="3897"/>
      <c r="AG797" s="3892"/>
      <c r="AH797" s="3892"/>
      <c r="AI797" s="3897"/>
      <c r="AJ797" s="3892"/>
      <c r="AK797" s="3892"/>
      <c r="AL797" s="1874"/>
      <c r="AM797" s="1714"/>
      <c r="AN797" s="1714"/>
      <c r="AO797" s="1714"/>
      <c r="AP797" s="1714"/>
      <c r="AQ797" s="1714"/>
      <c r="AR797" s="1714"/>
      <c r="AS797" s="1714"/>
      <c r="AT797" s="1714"/>
      <c r="AU797" s="1714"/>
      <c r="AV797" s="1714"/>
      <c r="AW797" s="1714"/>
      <c r="AX797" s="1714"/>
      <c r="AY797" s="1714"/>
      <c r="AZ797" s="1714"/>
      <c r="BA797" s="1714"/>
      <c r="BB797" s="1714"/>
      <c r="BC797" s="1714"/>
      <c r="BD797" s="1714"/>
      <c r="BE797" s="1714"/>
      <c r="BF797" s="1714"/>
    </row>
    <row r="798" spans="1:58" ht="0.75" customHeight="1">
      <c r="A798" s="1088" t="s">
        <v>1395</v>
      </c>
      <c r="D798" s="1082"/>
      <c r="E798" s="1092"/>
      <c r="F798" s="3894"/>
      <c r="G798" s="3885"/>
      <c r="H798" s="3898"/>
      <c r="I798" s="3899"/>
      <c r="J798" s="3891"/>
      <c r="K798" s="3891"/>
      <c r="L798" s="3892"/>
      <c r="M798" s="3743"/>
      <c r="N798" s="1924"/>
      <c r="O798" s="1924"/>
      <c r="P798" s="1931"/>
      <c r="Q798" s="1924"/>
      <c r="R798" s="1924"/>
      <c r="S798" s="1924"/>
      <c r="T798" s="1924"/>
      <c r="U798" s="1924"/>
      <c r="V798" s="1924"/>
      <c r="W798" s="1924"/>
      <c r="X798" s="1924"/>
      <c r="Y798" s="1924"/>
      <c r="Z798" s="1924"/>
      <c r="AA798" s="1924"/>
      <c r="AB798" s="1924"/>
      <c r="AC798" s="1924"/>
      <c r="AD798" s="1924"/>
      <c r="AE798" s="1933"/>
      <c r="AF798" s="3897"/>
      <c r="AG798" s="3892"/>
      <c r="AH798" s="3892"/>
      <c r="AI798" s="3897"/>
      <c r="AJ798" s="3892"/>
      <c r="AK798" s="3892"/>
      <c r="AL798" s="1874"/>
      <c r="AM798" s="1714"/>
      <c r="AN798" s="1714"/>
      <c r="AO798" s="1714"/>
      <c r="AP798" s="1714"/>
      <c r="AQ798" s="1714"/>
      <c r="AR798" s="1714"/>
      <c r="AS798" s="1714"/>
      <c r="AT798" s="1714"/>
      <c r="AU798" s="1714"/>
      <c r="AV798" s="1714"/>
      <c r="AW798" s="1714"/>
      <c r="AX798" s="1714"/>
      <c r="AY798" s="1714"/>
      <c r="AZ798" s="1714"/>
      <c r="BA798" s="1714"/>
      <c r="BB798" s="1714"/>
      <c r="BC798" s="1714"/>
      <c r="BD798" s="1714"/>
      <c r="BE798" s="1714"/>
      <c r="BF798" s="1714"/>
    </row>
    <row r="799" spans="1:58" ht="11.25" customHeight="1">
      <c r="A799" s="1088" t="s">
        <v>1395</v>
      </c>
      <c r="D799" s="1082"/>
      <c r="E799" s="1092"/>
      <c r="F799" s="3895"/>
      <c r="G799" s="3853" t="s">
        <v>90</v>
      </c>
      <c r="H799" s="3885" t="s">
        <v>164</v>
      </c>
      <c r="I799" s="3886"/>
      <c r="J799" s="3883"/>
      <c r="K799" s="3887" t="s">
        <v>1521</v>
      </c>
      <c r="L799" s="3599" t="s">
        <v>6</v>
      </c>
      <c r="M799" s="3600"/>
      <c r="N799" s="1872"/>
      <c r="O799" s="1099" t="s">
        <v>421</v>
      </c>
      <c r="P799" s="1100"/>
      <c r="Q799" s="1100"/>
      <c r="R799" s="1100"/>
      <c r="S799" s="1100"/>
      <c r="T799" s="1100"/>
      <c r="U799" s="1100"/>
      <c r="V799" s="1100"/>
      <c r="W799" s="1100"/>
      <c r="X799" s="1100"/>
      <c r="Y799" s="1100"/>
      <c r="Z799" s="1100"/>
      <c r="AA799" s="1100"/>
      <c r="AB799" s="1100"/>
      <c r="AC799" s="1100"/>
      <c r="AD799" s="1100"/>
      <c r="AE799" s="1100"/>
      <c r="AF799" s="3876">
        <v>2035</v>
      </c>
      <c r="AG799" s="3877" t="s">
        <v>1447</v>
      </c>
      <c r="AH799" s="3877" t="s">
        <v>1522</v>
      </c>
      <c r="AI799" s="3876">
        <v>2035</v>
      </c>
      <c r="AJ799" s="3877" t="s">
        <v>1447</v>
      </c>
      <c r="AK799" s="3877" t="s">
        <v>1522</v>
      </c>
      <c r="AL799" s="1874"/>
      <c r="AM799" s="1714"/>
      <c r="AN799" s="1714"/>
      <c r="AO799" s="1714"/>
      <c r="AP799" s="1714"/>
      <c r="AQ799" s="1714"/>
      <c r="AR799" s="1714"/>
      <c r="AS799" s="1714"/>
      <c r="AT799" s="1714"/>
      <c r="AU799" s="1714"/>
      <c r="AV799" s="1714"/>
      <c r="AW799" s="1714"/>
      <c r="AX799" s="1714"/>
      <c r="AY799" s="1714"/>
      <c r="AZ799" s="1714"/>
      <c r="BA799" s="1714"/>
      <c r="BB799" s="1714"/>
      <c r="BC799" s="1714"/>
      <c r="BD799" s="1714"/>
      <c r="BE799" s="1714"/>
      <c r="BF799" s="1714"/>
    </row>
    <row r="800" spans="1:58" ht="11.25" customHeight="1">
      <c r="A800" s="1088" t="s">
        <v>1395</v>
      </c>
      <c r="D800" s="1082"/>
      <c r="E800" s="1092"/>
      <c r="F800" s="3895"/>
      <c r="G800" s="3875"/>
      <c r="H800" s="3885" t="s">
        <v>421</v>
      </c>
      <c r="I800" s="3886"/>
      <c r="J800" s="3883"/>
      <c r="K800" s="3887"/>
      <c r="L800" s="3599"/>
      <c r="M800" s="3600"/>
      <c r="N800" s="3878"/>
      <c r="O800" s="3879">
        <v>1</v>
      </c>
      <c r="P800" s="3880" t="s">
        <v>50</v>
      </c>
      <c r="Q800" s="3883" t="s">
        <v>1449</v>
      </c>
      <c r="R800" s="3884" t="s">
        <v>1438</v>
      </c>
      <c r="S800" s="3884" t="s">
        <v>147</v>
      </c>
      <c r="T800" s="3884" t="s">
        <v>147</v>
      </c>
      <c r="U800" s="3884" t="s">
        <v>148</v>
      </c>
      <c r="V800" s="3884" t="s">
        <v>1523</v>
      </c>
      <c r="W800" s="3884" t="s">
        <v>1524</v>
      </c>
      <c r="X800" s="3884" t="s">
        <v>1525</v>
      </c>
      <c r="Y800" s="3884" t="s">
        <v>1442</v>
      </c>
      <c r="Z800" s="1097"/>
      <c r="AA800" s="1098"/>
      <c r="AB800" s="1098"/>
      <c r="AC800" s="1102"/>
      <c r="AD800" s="1102"/>
      <c r="AE800" s="1103"/>
      <c r="AF800" s="3876"/>
      <c r="AG800" s="3877"/>
      <c r="AH800" s="3877"/>
      <c r="AI800" s="3876"/>
      <c r="AJ800" s="3877"/>
      <c r="AK800" s="3877"/>
      <c r="AL800" s="1874"/>
      <c r="AM800" s="1714"/>
      <c r="AN800" s="1714"/>
      <c r="AO800" s="1714"/>
      <c r="AP800" s="1714"/>
      <c r="AQ800" s="1714"/>
      <c r="AR800" s="1714"/>
      <c r="AS800" s="1714"/>
      <c r="AT800" s="1714"/>
      <c r="AU800" s="1714"/>
      <c r="AV800" s="1714"/>
      <c r="AW800" s="1714"/>
      <c r="AX800" s="1714"/>
      <c r="AY800" s="1714"/>
      <c r="AZ800" s="1714"/>
      <c r="BA800" s="1714"/>
      <c r="BB800" s="1714"/>
      <c r="BC800" s="1714"/>
      <c r="BD800" s="1714"/>
      <c r="BE800" s="1714"/>
      <c r="BF800" s="1714"/>
    </row>
    <row r="801" spans="1:58" ht="11.25" customHeight="1">
      <c r="A801" s="1088" t="s">
        <v>1395</v>
      </c>
      <c r="D801" s="1082"/>
      <c r="E801" s="1092"/>
      <c r="F801" s="3895"/>
      <c r="G801" s="3875"/>
      <c r="H801" s="3885" t="s">
        <v>421</v>
      </c>
      <c r="I801" s="3886"/>
      <c r="J801" s="3883"/>
      <c r="K801" s="3887"/>
      <c r="L801" s="3599"/>
      <c r="M801" s="3600"/>
      <c r="N801" s="3878"/>
      <c r="O801" s="3879"/>
      <c r="P801" s="3881"/>
      <c r="Q801" s="3883"/>
      <c r="R801" s="3874"/>
      <c r="S801" s="3884"/>
      <c r="T801" s="3874"/>
      <c r="U801" s="3874"/>
      <c r="V801" s="3874"/>
      <c r="W801" s="3874"/>
      <c r="X801" s="3874"/>
      <c r="Y801" s="3874"/>
      <c r="Z801" s="1719"/>
      <c r="AA801" s="1686">
        <v>1</v>
      </c>
      <c r="AB801" s="1101" t="s">
        <v>1443</v>
      </c>
      <c r="AC801" s="1091">
        <v>50</v>
      </c>
      <c r="AD801" s="1101" t="str">
        <f>AB801</f>
        <v xml:space="preserve">  Прибыль направляемая на инвестиции</v>
      </c>
      <c r="AE801" s="1091">
        <v>0</v>
      </c>
      <c r="AF801" s="3876"/>
      <c r="AG801" s="3877"/>
      <c r="AH801" s="3877"/>
      <c r="AI801" s="3876"/>
      <c r="AJ801" s="3877"/>
      <c r="AK801" s="3877"/>
      <c r="AL801" s="1874"/>
      <c r="AM801" s="1714"/>
      <c r="AN801" s="1714"/>
      <c r="AO801" s="1714"/>
      <c r="AP801" s="1714"/>
      <c r="AQ801" s="1714"/>
      <c r="AR801" s="1714"/>
      <c r="AS801" s="1714"/>
      <c r="AT801" s="1714"/>
      <c r="AU801" s="1714"/>
      <c r="AV801" s="1714"/>
      <c r="AW801" s="1714"/>
      <c r="AX801" s="1714"/>
      <c r="AY801" s="1714"/>
      <c r="AZ801" s="1714"/>
      <c r="BA801" s="1714"/>
      <c r="BB801" s="1714"/>
      <c r="BC801" s="1714"/>
      <c r="BD801" s="1714"/>
      <c r="BE801" s="1714"/>
      <c r="BF801" s="1714"/>
    </row>
    <row r="802" spans="1:58" ht="11.25" customHeight="1">
      <c r="A802" s="1088" t="s">
        <v>1395</v>
      </c>
      <c r="D802" s="1082"/>
      <c r="E802" s="1092"/>
      <c r="F802" s="3895"/>
      <c r="G802" s="3875"/>
      <c r="H802" s="3885" t="s">
        <v>421</v>
      </c>
      <c r="I802" s="3886"/>
      <c r="J802" s="3883"/>
      <c r="K802" s="3887"/>
      <c r="L802" s="3599"/>
      <c r="M802" s="3600"/>
      <c r="N802" s="3878"/>
      <c r="O802" s="3879"/>
      <c r="P802" s="3882"/>
      <c r="Q802" s="3883"/>
      <c r="R802" s="3874"/>
      <c r="S802" s="3884"/>
      <c r="T802" s="3874"/>
      <c r="U802" s="3874"/>
      <c r="V802" s="3874"/>
      <c r="W802" s="3874"/>
      <c r="X802" s="3874"/>
      <c r="Y802" s="3874"/>
      <c r="Z802" s="1097"/>
      <c r="AA802" s="1098"/>
      <c r="AB802" s="1163" t="s">
        <v>1444</v>
      </c>
      <c r="AC802" s="1102"/>
      <c r="AD802" s="1102"/>
      <c r="AE802" s="1104"/>
      <c r="AF802" s="3876"/>
      <c r="AG802" s="3877"/>
      <c r="AH802" s="3877"/>
      <c r="AI802" s="3876"/>
      <c r="AJ802" s="3877"/>
      <c r="AK802" s="3877"/>
      <c r="AL802" s="1874"/>
      <c r="AM802" s="1714"/>
      <c r="AN802" s="1714"/>
      <c r="AO802" s="1714"/>
      <c r="AP802" s="1714"/>
      <c r="AQ802" s="1714"/>
      <c r="AR802" s="1714"/>
      <c r="AS802" s="1714"/>
      <c r="AT802" s="1714"/>
      <c r="AU802" s="1714"/>
      <c r="AV802" s="1714"/>
      <c r="AW802" s="1714"/>
      <c r="AX802" s="1714"/>
      <c r="AY802" s="1714"/>
      <c r="AZ802" s="1714"/>
      <c r="BA802" s="1714"/>
      <c r="BB802" s="1714"/>
      <c r="BC802" s="1714"/>
      <c r="BD802" s="1714"/>
      <c r="BE802" s="1714"/>
      <c r="BF802" s="1714"/>
    </row>
    <row r="803" spans="1:58" ht="11.25" customHeight="1">
      <c r="A803" s="1088" t="s">
        <v>1395</v>
      </c>
      <c r="D803" s="1082"/>
      <c r="E803" s="1092"/>
      <c r="F803" s="3895"/>
      <c r="G803" s="3875"/>
      <c r="H803" s="3885" t="s">
        <v>421</v>
      </c>
      <c r="I803" s="3886"/>
      <c r="J803" s="3883"/>
      <c r="K803" s="3887"/>
      <c r="L803" s="3599"/>
      <c r="M803" s="3600"/>
      <c r="N803" s="1097"/>
      <c r="O803" s="1098"/>
      <c r="P803" s="1090" t="s">
        <v>1445</v>
      </c>
      <c r="Q803" s="1098"/>
      <c r="R803" s="1098"/>
      <c r="S803" s="1098"/>
      <c r="T803" s="1098"/>
      <c r="U803" s="1098"/>
      <c r="V803" s="1098"/>
      <c r="W803" s="1098"/>
      <c r="X803" s="1098"/>
      <c r="Y803" s="1098"/>
      <c r="Z803" s="1098"/>
      <c r="AA803" s="1098"/>
      <c r="AB803" s="1098"/>
      <c r="AC803" s="1098"/>
      <c r="AD803" s="1098"/>
      <c r="AE803" s="1105"/>
      <c r="AF803" s="3876"/>
      <c r="AG803" s="3877"/>
      <c r="AH803" s="3877"/>
      <c r="AI803" s="3876"/>
      <c r="AJ803" s="3877"/>
      <c r="AK803" s="3877"/>
      <c r="AL803" s="1874"/>
      <c r="AM803" s="1714"/>
      <c r="AN803" s="1714"/>
      <c r="AO803" s="1714"/>
      <c r="AP803" s="1714"/>
      <c r="AQ803" s="1714"/>
      <c r="AR803" s="1714"/>
      <c r="AS803" s="1714"/>
      <c r="AT803" s="1714"/>
      <c r="AU803" s="1714"/>
      <c r="AV803" s="1714"/>
      <c r="AW803" s="1714"/>
      <c r="AX803" s="1714"/>
      <c r="AY803" s="1714"/>
      <c r="AZ803" s="1714"/>
      <c r="BA803" s="1714"/>
      <c r="BB803" s="1714"/>
      <c r="BC803" s="1714"/>
      <c r="BD803" s="1714"/>
      <c r="BE803" s="1714"/>
      <c r="BF803" s="1714"/>
    </row>
    <row r="804" spans="1:58" ht="12" customHeight="1">
      <c r="A804" s="1088" t="s">
        <v>1395</v>
      </c>
      <c r="D804" s="1082"/>
      <c r="E804" s="1092"/>
      <c r="F804" s="3896"/>
      <c r="G804" s="1112"/>
      <c r="H804" s="1112"/>
      <c r="I804" s="3893" t="s">
        <v>1451</v>
      </c>
      <c r="J804" s="3893"/>
      <c r="K804" s="3893"/>
      <c r="L804" s="1095"/>
      <c r="M804" s="1095"/>
      <c r="N804" s="1096"/>
      <c r="O804" s="1096"/>
      <c r="P804" s="1096"/>
      <c r="Q804" s="1096"/>
      <c r="R804" s="1096"/>
      <c r="S804" s="1096"/>
      <c r="T804" s="1096"/>
      <c r="U804" s="1096"/>
      <c r="V804" s="1096"/>
      <c r="W804" s="1096"/>
      <c r="X804" s="1096"/>
      <c r="Y804" s="1096"/>
      <c r="Z804" s="1096"/>
      <c r="AA804" s="1096"/>
      <c r="AB804" s="1096"/>
      <c r="AC804" s="1096"/>
      <c r="AD804" s="1096"/>
      <c r="AE804" s="1096"/>
      <c r="AF804" s="1096"/>
      <c r="AG804" s="1095"/>
      <c r="AH804" s="1095"/>
      <c r="AI804" s="1096"/>
      <c r="AJ804" s="1095"/>
      <c r="AK804" s="1096"/>
      <c r="AL804" s="1874"/>
      <c r="AM804" s="1714"/>
      <c r="AN804" s="1714"/>
      <c r="AO804" s="1714"/>
      <c r="AP804" s="1714"/>
      <c r="AQ804" s="1714"/>
      <c r="AR804" s="1714"/>
      <c r="AS804" s="1714"/>
      <c r="AT804" s="1714"/>
      <c r="AU804" s="1714"/>
      <c r="AV804" s="1714"/>
      <c r="AW804" s="1714"/>
      <c r="AX804" s="1714"/>
      <c r="AY804" s="1714"/>
      <c r="AZ804" s="1714"/>
      <c r="BA804" s="1714"/>
      <c r="BB804" s="1714"/>
      <c r="BC804" s="1714"/>
      <c r="BD804" s="1714"/>
      <c r="BE804" s="1714"/>
      <c r="BF804" s="1714"/>
    </row>
    <row r="805" spans="1:58" ht="0.75" customHeight="1">
      <c r="A805" s="1088" t="s">
        <v>1395</v>
      </c>
      <c r="D805" s="1082"/>
      <c r="E805" s="1092"/>
      <c r="F805" s="3894">
        <v>2025</v>
      </c>
      <c r="G805" s="3885"/>
      <c r="H805" s="3898" t="s">
        <v>421</v>
      </c>
      <c r="I805" s="3899"/>
      <c r="J805" s="3891"/>
      <c r="K805" s="3891"/>
      <c r="L805" s="3892"/>
      <c r="M805" s="3743"/>
      <c r="N805" s="1922"/>
      <c r="O805" s="1921"/>
      <c r="P805" s="1922"/>
      <c r="Q805" s="1922"/>
      <c r="R805" s="1922"/>
      <c r="S805" s="1922"/>
      <c r="T805" s="1922"/>
      <c r="U805" s="1922"/>
      <c r="V805" s="1922"/>
      <c r="W805" s="1922"/>
      <c r="X805" s="1922"/>
      <c r="Y805" s="1922"/>
      <c r="Z805" s="1922"/>
      <c r="AA805" s="1922"/>
      <c r="AB805" s="1922"/>
      <c r="AC805" s="1922"/>
      <c r="AD805" s="1922"/>
      <c r="AE805" s="1922"/>
      <c r="AF805" s="3897"/>
      <c r="AG805" s="3892"/>
      <c r="AH805" s="3892"/>
      <c r="AI805" s="3897"/>
      <c r="AJ805" s="3892"/>
      <c r="AK805" s="3892"/>
      <c r="AL805" s="1874"/>
      <c r="AM805" s="1714"/>
      <c r="AN805" s="1714"/>
      <c r="AO805" s="1714"/>
      <c r="AP805" s="1714"/>
      <c r="AQ805" s="1714"/>
      <c r="AR805" s="1714"/>
      <c r="AS805" s="1714"/>
      <c r="AT805" s="1714"/>
      <c r="AU805" s="1714"/>
      <c r="AV805" s="1714"/>
      <c r="AW805" s="1714"/>
      <c r="AX805" s="1714"/>
      <c r="AY805" s="1714"/>
      <c r="AZ805" s="1714"/>
      <c r="BA805" s="1714"/>
      <c r="BB805" s="1714"/>
      <c r="BC805" s="1714"/>
      <c r="BD805" s="1714"/>
      <c r="BE805" s="1714"/>
      <c r="BF805" s="1714"/>
    </row>
    <row r="806" spans="1:58" ht="0.75" customHeight="1">
      <c r="A806" s="1088" t="s">
        <v>1395</v>
      </c>
      <c r="D806" s="1082"/>
      <c r="E806" s="1092"/>
      <c r="F806" s="3894"/>
      <c r="G806" s="3885"/>
      <c r="H806" s="3898"/>
      <c r="I806" s="3899"/>
      <c r="J806" s="3891"/>
      <c r="K806" s="3891"/>
      <c r="L806" s="3892"/>
      <c r="M806" s="3743"/>
      <c r="N806" s="3900"/>
      <c r="O806" s="3901"/>
      <c r="P806" s="3888"/>
      <c r="Q806" s="3891"/>
      <c r="R806" s="3891"/>
      <c r="S806" s="3891"/>
      <c r="T806" s="3891"/>
      <c r="U806" s="3891"/>
      <c r="V806" s="3891"/>
      <c r="W806" s="3891"/>
      <c r="X806" s="3891"/>
      <c r="Y806" s="3891"/>
      <c r="Z806" s="1923"/>
      <c r="AA806" s="1924"/>
      <c r="AB806" s="1924"/>
      <c r="AC806" s="1925"/>
      <c r="AD806" s="1925"/>
      <c r="AE806" s="1926"/>
      <c r="AF806" s="3897"/>
      <c r="AG806" s="3892"/>
      <c r="AH806" s="3892"/>
      <c r="AI806" s="3897"/>
      <c r="AJ806" s="3892"/>
      <c r="AK806" s="3892"/>
      <c r="AL806" s="1874"/>
      <c r="AM806" s="1714"/>
      <c r="AN806" s="1714"/>
      <c r="AO806" s="1714"/>
      <c r="AP806" s="1714"/>
      <c r="AQ806" s="1714"/>
      <c r="AR806" s="1714"/>
      <c r="AS806" s="1714"/>
      <c r="AT806" s="1714"/>
      <c r="AU806" s="1714"/>
      <c r="AV806" s="1714"/>
      <c r="AW806" s="1714"/>
      <c r="AX806" s="1714"/>
      <c r="AY806" s="1714"/>
      <c r="AZ806" s="1714"/>
      <c r="BA806" s="1714"/>
      <c r="BB806" s="1714"/>
      <c r="BC806" s="1714"/>
      <c r="BD806" s="1714"/>
      <c r="BE806" s="1714"/>
      <c r="BF806" s="1714"/>
    </row>
    <row r="807" spans="1:58" ht="0.75" customHeight="1">
      <c r="A807" s="1088" t="s">
        <v>1395</v>
      </c>
      <c r="D807" s="1082"/>
      <c r="E807" s="1092"/>
      <c r="F807" s="3894"/>
      <c r="G807" s="3885"/>
      <c r="H807" s="3898"/>
      <c r="I807" s="3899"/>
      <c r="J807" s="3891"/>
      <c r="K807" s="3891"/>
      <c r="L807" s="3892"/>
      <c r="M807" s="3743"/>
      <c r="N807" s="3900"/>
      <c r="O807" s="3901"/>
      <c r="P807" s="3889"/>
      <c r="Q807" s="3891"/>
      <c r="R807" s="3891"/>
      <c r="S807" s="3891"/>
      <c r="T807" s="3891"/>
      <c r="U807" s="3891"/>
      <c r="V807" s="3891"/>
      <c r="W807" s="3891"/>
      <c r="X807" s="3891"/>
      <c r="Y807" s="3891"/>
      <c r="Z807" s="1927"/>
      <c r="AA807" s="1928"/>
      <c r="AB807" s="1929"/>
      <c r="AC807" s="1930"/>
      <c r="AD807" s="1929"/>
      <c r="AE807" s="1930"/>
      <c r="AF807" s="3897"/>
      <c r="AG807" s="3892"/>
      <c r="AH807" s="3892"/>
      <c r="AI807" s="3897"/>
      <c r="AJ807" s="3892"/>
      <c r="AK807" s="3892"/>
      <c r="AL807" s="1874"/>
      <c r="AM807" s="1714"/>
      <c r="AN807" s="1714"/>
      <c r="AO807" s="1714"/>
      <c r="AP807" s="1714"/>
      <c r="AQ807" s="1714"/>
      <c r="AR807" s="1714"/>
      <c r="AS807" s="1714"/>
      <c r="AT807" s="1714"/>
      <c r="AU807" s="1714"/>
      <c r="AV807" s="1714"/>
      <c r="AW807" s="1714"/>
      <c r="AX807" s="1714"/>
      <c r="AY807" s="1714"/>
      <c r="AZ807" s="1714"/>
      <c r="BA807" s="1714"/>
      <c r="BB807" s="1714"/>
      <c r="BC807" s="1714"/>
      <c r="BD807" s="1714"/>
      <c r="BE807" s="1714"/>
      <c r="BF807" s="1714"/>
    </row>
    <row r="808" spans="1:58" ht="0.75" customHeight="1">
      <c r="A808" s="1088" t="s">
        <v>1395</v>
      </c>
      <c r="D808" s="1082"/>
      <c r="E808" s="1092"/>
      <c r="F808" s="3894"/>
      <c r="G808" s="3885"/>
      <c r="H808" s="3898"/>
      <c r="I808" s="3899"/>
      <c r="J808" s="3891"/>
      <c r="K808" s="3891"/>
      <c r="L808" s="3892"/>
      <c r="M808" s="3743"/>
      <c r="N808" s="3900"/>
      <c r="O808" s="3901"/>
      <c r="P808" s="3890"/>
      <c r="Q808" s="3891"/>
      <c r="R808" s="3891"/>
      <c r="S808" s="3891"/>
      <c r="T808" s="3891"/>
      <c r="U808" s="3891"/>
      <c r="V808" s="3891"/>
      <c r="W808" s="3891"/>
      <c r="X808" s="3891"/>
      <c r="Y808" s="3891"/>
      <c r="Z808" s="1923"/>
      <c r="AA808" s="1924"/>
      <c r="AB808" s="1931"/>
      <c r="AC808" s="1925"/>
      <c r="AD808" s="1925"/>
      <c r="AE808" s="1932"/>
      <c r="AF808" s="3897"/>
      <c r="AG808" s="3892"/>
      <c r="AH808" s="3892"/>
      <c r="AI808" s="3897"/>
      <c r="AJ808" s="3892"/>
      <c r="AK808" s="3892"/>
      <c r="AL808" s="1874"/>
      <c r="AM808" s="1714"/>
      <c r="AN808" s="1714"/>
      <c r="AO808" s="1714"/>
      <c r="AP808" s="1714"/>
      <c r="AQ808" s="1714"/>
      <c r="AR808" s="1714"/>
      <c r="AS808" s="1714"/>
      <c r="AT808" s="1714"/>
      <c r="AU808" s="1714"/>
      <c r="AV808" s="1714"/>
      <c r="AW808" s="1714"/>
      <c r="AX808" s="1714"/>
      <c r="AY808" s="1714"/>
      <c r="AZ808" s="1714"/>
      <c r="BA808" s="1714"/>
      <c r="BB808" s="1714"/>
      <c r="BC808" s="1714"/>
      <c r="BD808" s="1714"/>
      <c r="BE808" s="1714"/>
      <c r="BF808" s="1714"/>
    </row>
    <row r="809" spans="1:58" ht="0.75" customHeight="1">
      <c r="A809" s="1088" t="s">
        <v>1395</v>
      </c>
      <c r="D809" s="1082"/>
      <c r="E809" s="1092"/>
      <c r="F809" s="3894"/>
      <c r="G809" s="3885"/>
      <c r="H809" s="3898"/>
      <c r="I809" s="3899"/>
      <c r="J809" s="3891"/>
      <c r="K809" s="3891"/>
      <c r="L809" s="3892"/>
      <c r="M809" s="3743"/>
      <c r="N809" s="1924"/>
      <c r="O809" s="1924"/>
      <c r="P809" s="1931"/>
      <c r="Q809" s="1924"/>
      <c r="R809" s="1924"/>
      <c r="S809" s="1924"/>
      <c r="T809" s="1924"/>
      <c r="U809" s="1924"/>
      <c r="V809" s="1924"/>
      <c r="W809" s="1924"/>
      <c r="X809" s="1924"/>
      <c r="Y809" s="1924"/>
      <c r="Z809" s="1924"/>
      <c r="AA809" s="1924"/>
      <c r="AB809" s="1924"/>
      <c r="AC809" s="1924"/>
      <c r="AD809" s="1924"/>
      <c r="AE809" s="1933"/>
      <c r="AF809" s="3897"/>
      <c r="AG809" s="3892"/>
      <c r="AH809" s="3892"/>
      <c r="AI809" s="3897"/>
      <c r="AJ809" s="3892"/>
      <c r="AK809" s="3892"/>
      <c r="AL809" s="1874"/>
      <c r="AM809" s="1714"/>
      <c r="AN809" s="1714"/>
      <c r="AO809" s="1714"/>
      <c r="AP809" s="1714"/>
      <c r="AQ809" s="1714"/>
      <c r="AR809" s="1714"/>
      <c r="AS809" s="1714"/>
      <c r="AT809" s="1714"/>
      <c r="AU809" s="1714"/>
      <c r="AV809" s="1714"/>
      <c r="AW809" s="1714"/>
      <c r="AX809" s="1714"/>
      <c r="AY809" s="1714"/>
      <c r="AZ809" s="1714"/>
      <c r="BA809" s="1714"/>
      <c r="BB809" s="1714"/>
      <c r="BC809" s="1714"/>
      <c r="BD809" s="1714"/>
      <c r="BE809" s="1714"/>
      <c r="BF809" s="1714"/>
    </row>
    <row r="810" spans="1:58" ht="11.25" customHeight="1">
      <c r="A810" s="1088" t="s">
        <v>1395</v>
      </c>
      <c r="D810" s="1082"/>
      <c r="E810" s="1092"/>
      <c r="F810" s="3895"/>
      <c r="G810" s="3853" t="s">
        <v>90</v>
      </c>
      <c r="H810" s="3885" t="s">
        <v>164</v>
      </c>
      <c r="I810" s="3886"/>
      <c r="J810" s="3883"/>
      <c r="K810" s="3887" t="s">
        <v>1521</v>
      </c>
      <c r="L810" s="3599" t="s">
        <v>6</v>
      </c>
      <c r="M810" s="3600"/>
      <c r="N810" s="1872"/>
      <c r="O810" s="1099" t="s">
        <v>421</v>
      </c>
      <c r="P810" s="1100"/>
      <c r="Q810" s="1100"/>
      <c r="R810" s="1100"/>
      <c r="S810" s="1100"/>
      <c r="T810" s="1100"/>
      <c r="U810" s="1100"/>
      <c r="V810" s="1100"/>
      <c r="W810" s="1100"/>
      <c r="X810" s="1100"/>
      <c r="Y810" s="1100"/>
      <c r="Z810" s="1100"/>
      <c r="AA810" s="1100"/>
      <c r="AB810" s="1100"/>
      <c r="AC810" s="1100"/>
      <c r="AD810" s="1100"/>
      <c r="AE810" s="1100"/>
      <c r="AF810" s="3876">
        <v>2035</v>
      </c>
      <c r="AG810" s="3877" t="s">
        <v>1447</v>
      </c>
      <c r="AH810" s="3877" t="s">
        <v>1522</v>
      </c>
      <c r="AI810" s="3876">
        <v>2035</v>
      </c>
      <c r="AJ810" s="3877" t="s">
        <v>1447</v>
      </c>
      <c r="AK810" s="3877" t="s">
        <v>1522</v>
      </c>
      <c r="AL810" s="1874"/>
      <c r="AM810" s="1714"/>
      <c r="AN810" s="1714"/>
      <c r="AO810" s="1714"/>
      <c r="AP810" s="1714"/>
      <c r="AQ810" s="1714"/>
      <c r="AR810" s="1714"/>
      <c r="AS810" s="1714"/>
      <c r="AT810" s="1714"/>
      <c r="AU810" s="1714"/>
      <c r="AV810" s="1714"/>
      <c r="AW810" s="1714"/>
      <c r="AX810" s="1714"/>
      <c r="AY810" s="1714"/>
      <c r="AZ810" s="1714"/>
      <c r="BA810" s="1714"/>
      <c r="BB810" s="1714"/>
      <c r="BC810" s="1714"/>
      <c r="BD810" s="1714"/>
      <c r="BE810" s="1714"/>
      <c r="BF810" s="1714"/>
    </row>
    <row r="811" spans="1:58" ht="11.25" customHeight="1">
      <c r="A811" s="1088" t="s">
        <v>1395</v>
      </c>
      <c r="D811" s="1082"/>
      <c r="E811" s="1092"/>
      <c r="F811" s="3895"/>
      <c r="G811" s="3875"/>
      <c r="H811" s="3885" t="s">
        <v>421</v>
      </c>
      <c r="I811" s="3886"/>
      <c r="J811" s="3883"/>
      <c r="K811" s="3887"/>
      <c r="L811" s="3599"/>
      <c r="M811" s="3600"/>
      <c r="N811" s="3878"/>
      <c r="O811" s="3879">
        <v>1</v>
      </c>
      <c r="P811" s="3880" t="s">
        <v>50</v>
      </c>
      <c r="Q811" s="3883" t="s">
        <v>1449</v>
      </c>
      <c r="R811" s="3884" t="s">
        <v>1438</v>
      </c>
      <c r="S811" s="3884" t="s">
        <v>147</v>
      </c>
      <c r="T811" s="3884" t="s">
        <v>147</v>
      </c>
      <c r="U811" s="3884" t="s">
        <v>148</v>
      </c>
      <c r="V811" s="3884" t="s">
        <v>1523</v>
      </c>
      <c r="W811" s="3884" t="s">
        <v>1524</v>
      </c>
      <c r="X811" s="3884" t="s">
        <v>1525</v>
      </c>
      <c r="Y811" s="3884" t="s">
        <v>1442</v>
      </c>
      <c r="Z811" s="1097"/>
      <c r="AA811" s="1098"/>
      <c r="AB811" s="1098"/>
      <c r="AC811" s="1102"/>
      <c r="AD811" s="1102"/>
      <c r="AE811" s="1103"/>
      <c r="AF811" s="3876"/>
      <c r="AG811" s="3877"/>
      <c r="AH811" s="3877"/>
      <c r="AI811" s="3876"/>
      <c r="AJ811" s="3877"/>
      <c r="AK811" s="3877"/>
      <c r="AL811" s="1874"/>
      <c r="AM811" s="1714"/>
      <c r="AN811" s="1714"/>
      <c r="AO811" s="1714"/>
      <c r="AP811" s="1714"/>
      <c r="AQ811" s="1714"/>
      <c r="AR811" s="1714"/>
      <c r="AS811" s="1714"/>
      <c r="AT811" s="1714"/>
      <c r="AU811" s="1714"/>
      <c r="AV811" s="1714"/>
      <c r="AW811" s="1714"/>
      <c r="AX811" s="1714"/>
      <c r="AY811" s="1714"/>
      <c r="AZ811" s="1714"/>
      <c r="BA811" s="1714"/>
      <c r="BB811" s="1714"/>
      <c r="BC811" s="1714"/>
      <c r="BD811" s="1714"/>
      <c r="BE811" s="1714"/>
      <c r="BF811" s="1714"/>
    </row>
    <row r="812" spans="1:58" ht="11.25" customHeight="1">
      <c r="A812" s="1088" t="s">
        <v>1395</v>
      </c>
      <c r="D812" s="1082"/>
      <c r="E812" s="1092"/>
      <c r="F812" s="3895"/>
      <c r="G812" s="3875"/>
      <c r="H812" s="3885" t="s">
        <v>421</v>
      </c>
      <c r="I812" s="3886"/>
      <c r="J812" s="3883"/>
      <c r="K812" s="3887"/>
      <c r="L812" s="3599"/>
      <c r="M812" s="3600"/>
      <c r="N812" s="3878"/>
      <c r="O812" s="3879"/>
      <c r="P812" s="3881"/>
      <c r="Q812" s="3883"/>
      <c r="R812" s="3874"/>
      <c r="S812" s="3884"/>
      <c r="T812" s="3874"/>
      <c r="U812" s="3874"/>
      <c r="V812" s="3874"/>
      <c r="W812" s="3874"/>
      <c r="X812" s="3874"/>
      <c r="Y812" s="3874"/>
      <c r="Z812" s="1719"/>
      <c r="AA812" s="1686">
        <v>1</v>
      </c>
      <c r="AB812" s="1101" t="s">
        <v>1443</v>
      </c>
      <c r="AC812" s="1091">
        <v>50</v>
      </c>
      <c r="AD812" s="1101" t="str">
        <f>AB812</f>
        <v xml:space="preserve">  Прибыль направляемая на инвестиции</v>
      </c>
      <c r="AE812" s="1091">
        <v>0</v>
      </c>
      <c r="AF812" s="3876"/>
      <c r="AG812" s="3877"/>
      <c r="AH812" s="3877"/>
      <c r="AI812" s="3876"/>
      <c r="AJ812" s="3877"/>
      <c r="AK812" s="3877"/>
      <c r="AL812" s="1874"/>
      <c r="AM812" s="1714"/>
      <c r="AN812" s="1714"/>
      <c r="AO812" s="1714"/>
      <c r="AP812" s="1714"/>
      <c r="AQ812" s="1714"/>
      <c r="AR812" s="1714"/>
      <c r="AS812" s="1714"/>
      <c r="AT812" s="1714"/>
      <c r="AU812" s="1714"/>
      <c r="AV812" s="1714"/>
      <c r="AW812" s="1714"/>
      <c r="AX812" s="1714"/>
      <c r="AY812" s="1714"/>
      <c r="AZ812" s="1714"/>
      <c r="BA812" s="1714"/>
      <c r="BB812" s="1714"/>
      <c r="BC812" s="1714"/>
      <c r="BD812" s="1714"/>
      <c r="BE812" s="1714"/>
      <c r="BF812" s="1714"/>
    </row>
    <row r="813" spans="1:58" ht="11.25" customHeight="1">
      <c r="A813" s="1088" t="s">
        <v>1395</v>
      </c>
      <c r="D813" s="1082"/>
      <c r="E813" s="1092"/>
      <c r="F813" s="3895"/>
      <c r="G813" s="3875"/>
      <c r="H813" s="3885" t="s">
        <v>421</v>
      </c>
      <c r="I813" s="3886"/>
      <c r="J813" s="3883"/>
      <c r="K813" s="3887"/>
      <c r="L813" s="3599"/>
      <c r="M813" s="3600"/>
      <c r="N813" s="3878"/>
      <c r="O813" s="3879"/>
      <c r="P813" s="3882"/>
      <c r="Q813" s="3883"/>
      <c r="R813" s="3874"/>
      <c r="S813" s="3884"/>
      <c r="T813" s="3874"/>
      <c r="U813" s="3874"/>
      <c r="V813" s="3874"/>
      <c r="W813" s="3874"/>
      <c r="X813" s="3874"/>
      <c r="Y813" s="3874"/>
      <c r="Z813" s="1097"/>
      <c r="AA813" s="1098"/>
      <c r="AB813" s="1163" t="s">
        <v>1444</v>
      </c>
      <c r="AC813" s="1102"/>
      <c r="AD813" s="1102"/>
      <c r="AE813" s="1104"/>
      <c r="AF813" s="3876"/>
      <c r="AG813" s="3877"/>
      <c r="AH813" s="3877"/>
      <c r="AI813" s="3876"/>
      <c r="AJ813" s="3877"/>
      <c r="AK813" s="3877"/>
      <c r="AL813" s="1874"/>
      <c r="AM813" s="1714"/>
      <c r="AN813" s="1714"/>
      <c r="AO813" s="1714"/>
      <c r="AP813" s="1714"/>
      <c r="AQ813" s="1714"/>
      <c r="AR813" s="1714"/>
      <c r="AS813" s="1714"/>
      <c r="AT813" s="1714"/>
      <c r="AU813" s="1714"/>
      <c r="AV813" s="1714"/>
      <c r="AW813" s="1714"/>
      <c r="AX813" s="1714"/>
      <c r="AY813" s="1714"/>
      <c r="AZ813" s="1714"/>
      <c r="BA813" s="1714"/>
      <c r="BB813" s="1714"/>
      <c r="BC813" s="1714"/>
      <c r="BD813" s="1714"/>
      <c r="BE813" s="1714"/>
      <c r="BF813" s="1714"/>
    </row>
    <row r="814" spans="1:58" ht="11.25" customHeight="1">
      <c r="A814" s="1088" t="s">
        <v>1395</v>
      </c>
      <c r="D814" s="1082"/>
      <c r="E814" s="1092"/>
      <c r="F814" s="3895"/>
      <c r="G814" s="3875"/>
      <c r="H814" s="3885" t="s">
        <v>421</v>
      </c>
      <c r="I814" s="3886"/>
      <c r="J814" s="3883"/>
      <c r="K814" s="3887"/>
      <c r="L814" s="3599"/>
      <c r="M814" s="3600"/>
      <c r="N814" s="1097"/>
      <c r="O814" s="1098"/>
      <c r="P814" s="1090" t="s">
        <v>1445</v>
      </c>
      <c r="Q814" s="1098"/>
      <c r="R814" s="1098"/>
      <c r="S814" s="1098"/>
      <c r="T814" s="1098"/>
      <c r="U814" s="1098"/>
      <c r="V814" s="1098"/>
      <c r="W814" s="1098"/>
      <c r="X814" s="1098"/>
      <c r="Y814" s="1098"/>
      <c r="Z814" s="1098"/>
      <c r="AA814" s="1098"/>
      <c r="AB814" s="1098"/>
      <c r="AC814" s="1098"/>
      <c r="AD814" s="1098"/>
      <c r="AE814" s="1105"/>
      <c r="AF814" s="3876"/>
      <c r="AG814" s="3877"/>
      <c r="AH814" s="3877"/>
      <c r="AI814" s="3876"/>
      <c r="AJ814" s="3877"/>
      <c r="AK814" s="3877"/>
      <c r="AL814" s="1874"/>
      <c r="AM814" s="1714"/>
      <c r="AN814" s="1714"/>
      <c r="AO814" s="1714"/>
      <c r="AP814" s="1714"/>
      <c r="AQ814" s="1714"/>
      <c r="AR814" s="1714"/>
      <c r="AS814" s="1714"/>
      <c r="AT814" s="1714"/>
      <c r="AU814" s="1714"/>
      <c r="AV814" s="1714"/>
      <c r="AW814" s="1714"/>
      <c r="AX814" s="1714"/>
      <c r="AY814" s="1714"/>
      <c r="AZ814" s="1714"/>
      <c r="BA814" s="1714"/>
      <c r="BB814" s="1714"/>
      <c r="BC814" s="1714"/>
      <c r="BD814" s="1714"/>
      <c r="BE814" s="1714"/>
      <c r="BF814" s="1714"/>
    </row>
    <row r="815" spans="1:58" ht="12" customHeight="1">
      <c r="A815" s="1088" t="s">
        <v>1395</v>
      </c>
      <c r="D815" s="1082"/>
      <c r="E815" s="1092"/>
      <c r="F815" s="3896"/>
      <c r="G815" s="1112"/>
      <c r="H815" s="1112"/>
      <c r="I815" s="3893" t="s">
        <v>1451</v>
      </c>
      <c r="J815" s="3893"/>
      <c r="K815" s="3893"/>
      <c r="L815" s="1095"/>
      <c r="M815" s="1095"/>
      <c r="N815" s="1096"/>
      <c r="O815" s="1096"/>
      <c r="P815" s="1096"/>
      <c r="Q815" s="1096"/>
      <c r="R815" s="1096"/>
      <c r="S815" s="1096"/>
      <c r="T815" s="1096"/>
      <c r="U815" s="1096"/>
      <c r="V815" s="1096"/>
      <c r="W815" s="1096"/>
      <c r="X815" s="1096"/>
      <c r="Y815" s="1096"/>
      <c r="Z815" s="1096"/>
      <c r="AA815" s="1096"/>
      <c r="AB815" s="1096"/>
      <c r="AC815" s="1096"/>
      <c r="AD815" s="1096"/>
      <c r="AE815" s="1096"/>
      <c r="AF815" s="1096"/>
      <c r="AG815" s="1095"/>
      <c r="AH815" s="1095"/>
      <c r="AI815" s="1096"/>
      <c r="AJ815" s="1095"/>
      <c r="AK815" s="1096"/>
      <c r="AL815" s="1874"/>
      <c r="AM815" s="1714"/>
      <c r="AN815" s="1714"/>
      <c r="AO815" s="1714"/>
      <c r="AP815" s="1714"/>
      <c r="AQ815" s="1714"/>
      <c r="AR815" s="1714"/>
      <c r="AS815" s="1714"/>
      <c r="AT815" s="1714"/>
      <c r="AU815" s="1714"/>
      <c r="AV815" s="1714"/>
      <c r="AW815" s="1714"/>
      <c r="AX815" s="1714"/>
      <c r="AY815" s="1714"/>
      <c r="AZ815" s="1714"/>
      <c r="BA815" s="1714"/>
      <c r="BB815" s="1714"/>
      <c r="BC815" s="1714"/>
      <c r="BD815" s="1714"/>
      <c r="BE815" s="1714"/>
      <c r="BF815" s="1714"/>
    </row>
    <row r="816" spans="1:58" ht="0.75" customHeight="1">
      <c r="A816" s="1088" t="s">
        <v>1395</v>
      </c>
      <c r="D816" s="1082"/>
      <c r="E816" s="1092"/>
      <c r="F816" s="3894">
        <v>2026</v>
      </c>
      <c r="G816" s="3885"/>
      <c r="H816" s="3898" t="s">
        <v>421</v>
      </c>
      <c r="I816" s="3899"/>
      <c r="J816" s="3891"/>
      <c r="K816" s="3891"/>
      <c r="L816" s="3892"/>
      <c r="M816" s="3743"/>
      <c r="N816" s="1922"/>
      <c r="O816" s="1921"/>
      <c r="P816" s="1922"/>
      <c r="Q816" s="1922"/>
      <c r="R816" s="1922"/>
      <c r="S816" s="1922"/>
      <c r="T816" s="1922"/>
      <c r="U816" s="1922"/>
      <c r="V816" s="1922"/>
      <c r="W816" s="1922"/>
      <c r="X816" s="1922"/>
      <c r="Y816" s="1922"/>
      <c r="Z816" s="1922"/>
      <c r="AA816" s="1922"/>
      <c r="AB816" s="1922"/>
      <c r="AC816" s="1922"/>
      <c r="AD816" s="1922"/>
      <c r="AE816" s="1922"/>
      <c r="AF816" s="3897"/>
      <c r="AG816" s="3892"/>
      <c r="AH816" s="3892"/>
      <c r="AI816" s="3897"/>
      <c r="AJ816" s="3892"/>
      <c r="AK816" s="3892"/>
      <c r="AL816" s="1874"/>
      <c r="AM816" s="1714"/>
      <c r="AN816" s="1714"/>
      <c r="AO816" s="1714"/>
      <c r="AP816" s="1714"/>
      <c r="AQ816" s="1714"/>
      <c r="AR816" s="1714"/>
      <c r="AS816" s="1714"/>
      <c r="AT816" s="1714"/>
      <c r="AU816" s="1714"/>
      <c r="AV816" s="1714"/>
      <c r="AW816" s="1714"/>
      <c r="AX816" s="1714"/>
      <c r="AY816" s="1714"/>
      <c r="AZ816" s="1714"/>
      <c r="BA816" s="1714"/>
      <c r="BB816" s="1714"/>
      <c r="BC816" s="1714"/>
      <c r="BD816" s="1714"/>
      <c r="BE816" s="1714"/>
      <c r="BF816" s="1714"/>
    </row>
    <row r="817" spans="1:58" ht="0.75" customHeight="1">
      <c r="A817" s="1088" t="s">
        <v>1395</v>
      </c>
      <c r="D817" s="1082"/>
      <c r="E817" s="1092"/>
      <c r="F817" s="3894"/>
      <c r="G817" s="3885"/>
      <c r="H817" s="3898"/>
      <c r="I817" s="3899"/>
      <c r="J817" s="3891"/>
      <c r="K817" s="3891"/>
      <c r="L817" s="3892"/>
      <c r="M817" s="3743"/>
      <c r="N817" s="3900"/>
      <c r="O817" s="3901"/>
      <c r="P817" s="3888"/>
      <c r="Q817" s="3891"/>
      <c r="R817" s="3891"/>
      <c r="S817" s="3891"/>
      <c r="T817" s="3891"/>
      <c r="U817" s="3891"/>
      <c r="V817" s="3891"/>
      <c r="W817" s="3891"/>
      <c r="X817" s="3891"/>
      <c r="Y817" s="3891"/>
      <c r="Z817" s="1923"/>
      <c r="AA817" s="1924"/>
      <c r="AB817" s="1924"/>
      <c r="AC817" s="1925"/>
      <c r="AD817" s="1925"/>
      <c r="AE817" s="1926"/>
      <c r="AF817" s="3897"/>
      <c r="AG817" s="3892"/>
      <c r="AH817" s="3892"/>
      <c r="AI817" s="3897"/>
      <c r="AJ817" s="3892"/>
      <c r="AK817" s="3892"/>
      <c r="AL817" s="1874"/>
      <c r="AM817" s="1714"/>
      <c r="AN817" s="1714"/>
      <c r="AO817" s="1714"/>
      <c r="AP817" s="1714"/>
      <c r="AQ817" s="1714"/>
      <c r="AR817" s="1714"/>
      <c r="AS817" s="1714"/>
      <c r="AT817" s="1714"/>
      <c r="AU817" s="1714"/>
      <c r="AV817" s="1714"/>
      <c r="AW817" s="1714"/>
      <c r="AX817" s="1714"/>
      <c r="AY817" s="1714"/>
      <c r="AZ817" s="1714"/>
      <c r="BA817" s="1714"/>
      <c r="BB817" s="1714"/>
      <c r="BC817" s="1714"/>
      <c r="BD817" s="1714"/>
      <c r="BE817" s="1714"/>
      <c r="BF817" s="1714"/>
    </row>
    <row r="818" spans="1:58" ht="0.75" customHeight="1">
      <c r="A818" s="1088" t="s">
        <v>1395</v>
      </c>
      <c r="D818" s="1082"/>
      <c r="E818" s="1092"/>
      <c r="F818" s="3894"/>
      <c r="G818" s="3885"/>
      <c r="H818" s="3898"/>
      <c r="I818" s="3899"/>
      <c r="J818" s="3891"/>
      <c r="K818" s="3891"/>
      <c r="L818" s="3892"/>
      <c r="M818" s="3743"/>
      <c r="N818" s="3900"/>
      <c r="O818" s="3901"/>
      <c r="P818" s="3889"/>
      <c r="Q818" s="3891"/>
      <c r="R818" s="3891"/>
      <c r="S818" s="3891"/>
      <c r="T818" s="3891"/>
      <c r="U818" s="3891"/>
      <c r="V818" s="3891"/>
      <c r="W818" s="3891"/>
      <c r="X818" s="3891"/>
      <c r="Y818" s="3891"/>
      <c r="Z818" s="1927"/>
      <c r="AA818" s="1928"/>
      <c r="AB818" s="1929"/>
      <c r="AC818" s="1930"/>
      <c r="AD818" s="1929"/>
      <c r="AE818" s="1930"/>
      <c r="AF818" s="3897"/>
      <c r="AG818" s="3892"/>
      <c r="AH818" s="3892"/>
      <c r="AI818" s="3897"/>
      <c r="AJ818" s="3892"/>
      <c r="AK818" s="3892"/>
      <c r="AL818" s="1874"/>
      <c r="AM818" s="1714"/>
      <c r="AN818" s="1714"/>
      <c r="AO818" s="1714"/>
      <c r="AP818" s="1714"/>
      <c r="AQ818" s="1714"/>
      <c r="AR818" s="1714"/>
      <c r="AS818" s="1714"/>
      <c r="AT818" s="1714"/>
      <c r="AU818" s="1714"/>
      <c r="AV818" s="1714"/>
      <c r="AW818" s="1714"/>
      <c r="AX818" s="1714"/>
      <c r="AY818" s="1714"/>
      <c r="AZ818" s="1714"/>
      <c r="BA818" s="1714"/>
      <c r="BB818" s="1714"/>
      <c r="BC818" s="1714"/>
      <c r="BD818" s="1714"/>
      <c r="BE818" s="1714"/>
      <c r="BF818" s="1714"/>
    </row>
    <row r="819" spans="1:58" ht="0.75" customHeight="1">
      <c r="A819" s="1088" t="s">
        <v>1395</v>
      </c>
      <c r="D819" s="1082"/>
      <c r="E819" s="1092"/>
      <c r="F819" s="3894"/>
      <c r="G819" s="3885"/>
      <c r="H819" s="3898"/>
      <c r="I819" s="3899"/>
      <c r="J819" s="3891"/>
      <c r="K819" s="3891"/>
      <c r="L819" s="3892"/>
      <c r="M819" s="3743"/>
      <c r="N819" s="3900"/>
      <c r="O819" s="3901"/>
      <c r="P819" s="3890"/>
      <c r="Q819" s="3891"/>
      <c r="R819" s="3891"/>
      <c r="S819" s="3891"/>
      <c r="T819" s="3891"/>
      <c r="U819" s="3891"/>
      <c r="V819" s="3891"/>
      <c r="W819" s="3891"/>
      <c r="X819" s="3891"/>
      <c r="Y819" s="3891"/>
      <c r="Z819" s="1923"/>
      <c r="AA819" s="1924"/>
      <c r="AB819" s="1931"/>
      <c r="AC819" s="1925"/>
      <c r="AD819" s="1925"/>
      <c r="AE819" s="1932"/>
      <c r="AF819" s="3897"/>
      <c r="AG819" s="3892"/>
      <c r="AH819" s="3892"/>
      <c r="AI819" s="3897"/>
      <c r="AJ819" s="3892"/>
      <c r="AK819" s="3892"/>
      <c r="AL819" s="1874"/>
      <c r="AM819" s="1714"/>
      <c r="AN819" s="1714"/>
      <c r="AO819" s="1714"/>
      <c r="AP819" s="1714"/>
      <c r="AQ819" s="1714"/>
      <c r="AR819" s="1714"/>
      <c r="AS819" s="1714"/>
      <c r="AT819" s="1714"/>
      <c r="AU819" s="1714"/>
      <c r="AV819" s="1714"/>
      <c r="AW819" s="1714"/>
      <c r="AX819" s="1714"/>
      <c r="AY819" s="1714"/>
      <c r="AZ819" s="1714"/>
      <c r="BA819" s="1714"/>
      <c r="BB819" s="1714"/>
      <c r="BC819" s="1714"/>
      <c r="BD819" s="1714"/>
      <c r="BE819" s="1714"/>
      <c r="BF819" s="1714"/>
    </row>
    <row r="820" spans="1:58" ht="0.75" customHeight="1">
      <c r="A820" s="1088" t="s">
        <v>1395</v>
      </c>
      <c r="D820" s="1082"/>
      <c r="E820" s="1092"/>
      <c r="F820" s="3894"/>
      <c r="G820" s="3885"/>
      <c r="H820" s="3898"/>
      <c r="I820" s="3899"/>
      <c r="J820" s="3891"/>
      <c r="K820" s="3891"/>
      <c r="L820" s="3892"/>
      <c r="M820" s="3743"/>
      <c r="N820" s="1924"/>
      <c r="O820" s="1924"/>
      <c r="P820" s="1931"/>
      <c r="Q820" s="1924"/>
      <c r="R820" s="1924"/>
      <c r="S820" s="1924"/>
      <c r="T820" s="1924"/>
      <c r="U820" s="1924"/>
      <c r="V820" s="1924"/>
      <c r="W820" s="1924"/>
      <c r="X820" s="1924"/>
      <c r="Y820" s="1924"/>
      <c r="Z820" s="1924"/>
      <c r="AA820" s="1924"/>
      <c r="AB820" s="1924"/>
      <c r="AC820" s="1924"/>
      <c r="AD820" s="1924"/>
      <c r="AE820" s="1933"/>
      <c r="AF820" s="3897"/>
      <c r="AG820" s="3892"/>
      <c r="AH820" s="3892"/>
      <c r="AI820" s="3897"/>
      <c r="AJ820" s="3892"/>
      <c r="AK820" s="3892"/>
      <c r="AL820" s="1874"/>
      <c r="AM820" s="1714"/>
      <c r="AN820" s="1714"/>
      <c r="AO820" s="1714"/>
      <c r="AP820" s="1714"/>
      <c r="AQ820" s="1714"/>
      <c r="AR820" s="1714"/>
      <c r="AS820" s="1714"/>
      <c r="AT820" s="1714"/>
      <c r="AU820" s="1714"/>
      <c r="AV820" s="1714"/>
      <c r="AW820" s="1714"/>
      <c r="AX820" s="1714"/>
      <c r="AY820" s="1714"/>
      <c r="AZ820" s="1714"/>
      <c r="BA820" s="1714"/>
      <c r="BB820" s="1714"/>
      <c r="BC820" s="1714"/>
      <c r="BD820" s="1714"/>
      <c r="BE820" s="1714"/>
      <c r="BF820" s="1714"/>
    </row>
    <row r="821" spans="1:58" ht="11.25" customHeight="1">
      <c r="A821" s="1088" t="s">
        <v>1395</v>
      </c>
      <c r="D821" s="1082"/>
      <c r="E821" s="1092"/>
      <c r="F821" s="3895"/>
      <c r="G821" s="3853" t="s">
        <v>90</v>
      </c>
      <c r="H821" s="3885" t="s">
        <v>164</v>
      </c>
      <c r="I821" s="3886"/>
      <c r="J821" s="3883"/>
      <c r="K821" s="3887" t="s">
        <v>1521</v>
      </c>
      <c r="L821" s="3599" t="s">
        <v>6</v>
      </c>
      <c r="M821" s="3600"/>
      <c r="N821" s="1872"/>
      <c r="O821" s="1099" t="s">
        <v>421</v>
      </c>
      <c r="P821" s="1100"/>
      <c r="Q821" s="1100"/>
      <c r="R821" s="1100"/>
      <c r="S821" s="1100"/>
      <c r="T821" s="1100"/>
      <c r="U821" s="1100"/>
      <c r="V821" s="1100"/>
      <c r="W821" s="1100"/>
      <c r="X821" s="1100"/>
      <c r="Y821" s="1100"/>
      <c r="Z821" s="1100"/>
      <c r="AA821" s="1100"/>
      <c r="AB821" s="1100"/>
      <c r="AC821" s="1100"/>
      <c r="AD821" s="1100"/>
      <c r="AE821" s="1100"/>
      <c r="AF821" s="3876">
        <v>2035</v>
      </c>
      <c r="AG821" s="3877" t="s">
        <v>1447</v>
      </c>
      <c r="AH821" s="3877" t="s">
        <v>1522</v>
      </c>
      <c r="AI821" s="3876">
        <v>2035</v>
      </c>
      <c r="AJ821" s="3877" t="s">
        <v>1447</v>
      </c>
      <c r="AK821" s="3877" t="s">
        <v>1522</v>
      </c>
      <c r="AL821" s="1874"/>
      <c r="AM821" s="1714"/>
      <c r="AN821" s="1714"/>
      <c r="AO821" s="1714"/>
      <c r="AP821" s="1714"/>
      <c r="AQ821" s="1714"/>
      <c r="AR821" s="1714"/>
      <c r="AS821" s="1714"/>
      <c r="AT821" s="1714"/>
      <c r="AU821" s="1714"/>
      <c r="AV821" s="1714"/>
      <c r="AW821" s="1714"/>
      <c r="AX821" s="1714"/>
      <c r="AY821" s="1714"/>
      <c r="AZ821" s="1714"/>
      <c r="BA821" s="1714"/>
      <c r="BB821" s="1714"/>
      <c r="BC821" s="1714"/>
      <c r="BD821" s="1714"/>
      <c r="BE821" s="1714"/>
      <c r="BF821" s="1714"/>
    </row>
    <row r="822" spans="1:58" ht="11.25" customHeight="1">
      <c r="A822" s="1088" t="s">
        <v>1395</v>
      </c>
      <c r="D822" s="1082"/>
      <c r="E822" s="1092"/>
      <c r="F822" s="3895"/>
      <c r="G822" s="3875"/>
      <c r="H822" s="3885" t="s">
        <v>421</v>
      </c>
      <c r="I822" s="3886"/>
      <c r="J822" s="3883"/>
      <c r="K822" s="3887"/>
      <c r="L822" s="3599"/>
      <c r="M822" s="3600"/>
      <c r="N822" s="3878"/>
      <c r="O822" s="3879">
        <v>1</v>
      </c>
      <c r="P822" s="3880" t="s">
        <v>50</v>
      </c>
      <c r="Q822" s="3883" t="s">
        <v>1449</v>
      </c>
      <c r="R822" s="3884" t="s">
        <v>1438</v>
      </c>
      <c r="S822" s="3884" t="s">
        <v>147</v>
      </c>
      <c r="T822" s="3884" t="s">
        <v>147</v>
      </c>
      <c r="U822" s="3884" t="s">
        <v>148</v>
      </c>
      <c r="V822" s="3884" t="s">
        <v>1523</v>
      </c>
      <c r="W822" s="3884" t="s">
        <v>1524</v>
      </c>
      <c r="X822" s="3884" t="s">
        <v>1525</v>
      </c>
      <c r="Y822" s="3884" t="s">
        <v>1442</v>
      </c>
      <c r="Z822" s="1097"/>
      <c r="AA822" s="1098"/>
      <c r="AB822" s="1098"/>
      <c r="AC822" s="1102"/>
      <c r="AD822" s="1102"/>
      <c r="AE822" s="1103"/>
      <c r="AF822" s="3876"/>
      <c r="AG822" s="3877"/>
      <c r="AH822" s="3877"/>
      <c r="AI822" s="3876"/>
      <c r="AJ822" s="3877"/>
      <c r="AK822" s="3877"/>
      <c r="AL822" s="1874"/>
      <c r="AM822" s="1714"/>
      <c r="AN822" s="1714"/>
      <c r="AO822" s="1714"/>
      <c r="AP822" s="1714"/>
      <c r="AQ822" s="1714"/>
      <c r="AR822" s="1714"/>
      <c r="AS822" s="1714"/>
      <c r="AT822" s="1714"/>
      <c r="AU822" s="1714"/>
      <c r="AV822" s="1714"/>
      <c r="AW822" s="1714"/>
      <c r="AX822" s="1714"/>
      <c r="AY822" s="1714"/>
      <c r="AZ822" s="1714"/>
      <c r="BA822" s="1714"/>
      <c r="BB822" s="1714"/>
      <c r="BC822" s="1714"/>
      <c r="BD822" s="1714"/>
      <c r="BE822" s="1714"/>
      <c r="BF822" s="1714"/>
    </row>
    <row r="823" spans="1:58" ht="11.25" customHeight="1">
      <c r="A823" s="1088" t="s">
        <v>1395</v>
      </c>
      <c r="D823" s="1082"/>
      <c r="E823" s="1092"/>
      <c r="F823" s="3895"/>
      <c r="G823" s="3875"/>
      <c r="H823" s="3885" t="s">
        <v>421</v>
      </c>
      <c r="I823" s="3886"/>
      <c r="J823" s="3883"/>
      <c r="K823" s="3887"/>
      <c r="L823" s="3599"/>
      <c r="M823" s="3600"/>
      <c r="N823" s="3878"/>
      <c r="O823" s="3879"/>
      <c r="P823" s="3881"/>
      <c r="Q823" s="3883"/>
      <c r="R823" s="3874"/>
      <c r="S823" s="3884"/>
      <c r="T823" s="3874"/>
      <c r="U823" s="3874"/>
      <c r="V823" s="3874"/>
      <c r="W823" s="3874"/>
      <c r="X823" s="3874"/>
      <c r="Y823" s="3874"/>
      <c r="Z823" s="1719"/>
      <c r="AA823" s="1686">
        <v>1</v>
      </c>
      <c r="AB823" s="1101" t="s">
        <v>1443</v>
      </c>
      <c r="AC823" s="1091">
        <v>200</v>
      </c>
      <c r="AD823" s="1101" t="str">
        <f>AB823</f>
        <v xml:space="preserve">  Прибыль направляемая на инвестиции</v>
      </c>
      <c r="AE823" s="1091">
        <v>0</v>
      </c>
      <c r="AF823" s="3876"/>
      <c r="AG823" s="3877"/>
      <c r="AH823" s="3877"/>
      <c r="AI823" s="3876"/>
      <c r="AJ823" s="3877"/>
      <c r="AK823" s="3877"/>
      <c r="AL823" s="1874"/>
      <c r="AM823" s="1714"/>
      <c r="AN823" s="1714"/>
      <c r="AO823" s="1714"/>
      <c r="AP823" s="1714"/>
      <c r="AQ823" s="1714"/>
      <c r="AR823" s="1714"/>
      <c r="AS823" s="1714"/>
      <c r="AT823" s="1714"/>
      <c r="AU823" s="1714"/>
      <c r="AV823" s="1714"/>
      <c r="AW823" s="1714"/>
      <c r="AX823" s="1714"/>
      <c r="AY823" s="1714"/>
      <c r="AZ823" s="1714"/>
      <c r="BA823" s="1714"/>
      <c r="BB823" s="1714"/>
      <c r="BC823" s="1714"/>
      <c r="BD823" s="1714"/>
      <c r="BE823" s="1714"/>
      <c r="BF823" s="1714"/>
    </row>
    <row r="824" spans="1:58" ht="11.25" customHeight="1">
      <c r="A824" s="1088" t="s">
        <v>1395</v>
      </c>
      <c r="D824" s="1082"/>
      <c r="E824" s="1092"/>
      <c r="F824" s="3895"/>
      <c r="G824" s="3875"/>
      <c r="H824" s="3885" t="s">
        <v>421</v>
      </c>
      <c r="I824" s="3886"/>
      <c r="J824" s="3883"/>
      <c r="K824" s="3887"/>
      <c r="L824" s="3599"/>
      <c r="M824" s="3600"/>
      <c r="N824" s="3878"/>
      <c r="O824" s="3879"/>
      <c r="P824" s="3882"/>
      <c r="Q824" s="3883"/>
      <c r="R824" s="3874"/>
      <c r="S824" s="3884"/>
      <c r="T824" s="3874"/>
      <c r="U824" s="3874"/>
      <c r="V824" s="3874"/>
      <c r="W824" s="3874"/>
      <c r="X824" s="3874"/>
      <c r="Y824" s="3874"/>
      <c r="Z824" s="1097"/>
      <c r="AA824" s="1098"/>
      <c r="AB824" s="1163" t="s">
        <v>1444</v>
      </c>
      <c r="AC824" s="1102"/>
      <c r="AD824" s="1102"/>
      <c r="AE824" s="1104"/>
      <c r="AF824" s="3876"/>
      <c r="AG824" s="3877"/>
      <c r="AH824" s="3877"/>
      <c r="AI824" s="3876"/>
      <c r="AJ824" s="3877"/>
      <c r="AK824" s="3877"/>
      <c r="AL824" s="1874"/>
      <c r="AM824" s="1714"/>
      <c r="AN824" s="1714"/>
      <c r="AO824" s="1714"/>
      <c r="AP824" s="1714"/>
      <c r="AQ824" s="1714"/>
      <c r="AR824" s="1714"/>
      <c r="AS824" s="1714"/>
      <c r="AT824" s="1714"/>
      <c r="AU824" s="1714"/>
      <c r="AV824" s="1714"/>
      <c r="AW824" s="1714"/>
      <c r="AX824" s="1714"/>
      <c r="AY824" s="1714"/>
      <c r="AZ824" s="1714"/>
      <c r="BA824" s="1714"/>
      <c r="BB824" s="1714"/>
      <c r="BC824" s="1714"/>
      <c r="BD824" s="1714"/>
      <c r="BE824" s="1714"/>
      <c r="BF824" s="1714"/>
    </row>
    <row r="825" spans="1:58" ht="11.25" customHeight="1">
      <c r="A825" s="1088" t="s">
        <v>1395</v>
      </c>
      <c r="D825" s="1082"/>
      <c r="E825" s="1092"/>
      <c r="F825" s="3895"/>
      <c r="G825" s="3875"/>
      <c r="H825" s="3885" t="s">
        <v>421</v>
      </c>
      <c r="I825" s="3886"/>
      <c r="J825" s="3883"/>
      <c r="K825" s="3887"/>
      <c r="L825" s="3599"/>
      <c r="M825" s="3600"/>
      <c r="N825" s="1097"/>
      <c r="O825" s="1098"/>
      <c r="P825" s="1090" t="s">
        <v>1445</v>
      </c>
      <c r="Q825" s="1098"/>
      <c r="R825" s="1098"/>
      <c r="S825" s="1098"/>
      <c r="T825" s="1098"/>
      <c r="U825" s="1098"/>
      <c r="V825" s="1098"/>
      <c r="W825" s="1098"/>
      <c r="X825" s="1098"/>
      <c r="Y825" s="1098"/>
      <c r="Z825" s="1098"/>
      <c r="AA825" s="1098"/>
      <c r="AB825" s="1098"/>
      <c r="AC825" s="1098"/>
      <c r="AD825" s="1098"/>
      <c r="AE825" s="1105"/>
      <c r="AF825" s="3876"/>
      <c r="AG825" s="3877"/>
      <c r="AH825" s="3877"/>
      <c r="AI825" s="3876"/>
      <c r="AJ825" s="3877"/>
      <c r="AK825" s="3877"/>
      <c r="AL825" s="1874"/>
      <c r="AM825" s="1714"/>
      <c r="AN825" s="1714"/>
      <c r="AO825" s="1714"/>
      <c r="AP825" s="1714"/>
      <c r="AQ825" s="1714"/>
      <c r="AR825" s="1714"/>
      <c r="AS825" s="1714"/>
      <c r="AT825" s="1714"/>
      <c r="AU825" s="1714"/>
      <c r="AV825" s="1714"/>
      <c r="AW825" s="1714"/>
      <c r="AX825" s="1714"/>
      <c r="AY825" s="1714"/>
      <c r="AZ825" s="1714"/>
      <c r="BA825" s="1714"/>
      <c r="BB825" s="1714"/>
      <c r="BC825" s="1714"/>
      <c r="BD825" s="1714"/>
      <c r="BE825" s="1714"/>
      <c r="BF825" s="1714"/>
    </row>
    <row r="826" spans="1:58" ht="12" customHeight="1">
      <c r="A826" s="1088" t="s">
        <v>1395</v>
      </c>
      <c r="D826" s="1082"/>
      <c r="E826" s="1092"/>
      <c r="F826" s="3896"/>
      <c r="G826" s="1112"/>
      <c r="H826" s="1112"/>
      <c r="I826" s="3893" t="s">
        <v>1451</v>
      </c>
      <c r="J826" s="3893"/>
      <c r="K826" s="3893"/>
      <c r="L826" s="1095"/>
      <c r="M826" s="1095"/>
      <c r="N826" s="1096"/>
      <c r="O826" s="1096"/>
      <c r="P826" s="1096"/>
      <c r="Q826" s="1096"/>
      <c r="R826" s="1096"/>
      <c r="S826" s="1096"/>
      <c r="T826" s="1096"/>
      <c r="U826" s="1096"/>
      <c r="V826" s="1096"/>
      <c r="W826" s="1096"/>
      <c r="X826" s="1096"/>
      <c r="Y826" s="1096"/>
      <c r="Z826" s="1096"/>
      <c r="AA826" s="1096"/>
      <c r="AB826" s="1096"/>
      <c r="AC826" s="1096"/>
      <c r="AD826" s="1096"/>
      <c r="AE826" s="1096"/>
      <c r="AF826" s="1096"/>
      <c r="AG826" s="1095"/>
      <c r="AH826" s="1095"/>
      <c r="AI826" s="1096"/>
      <c r="AJ826" s="1095"/>
      <c r="AK826" s="1096"/>
      <c r="AL826" s="1874"/>
      <c r="AM826" s="1714"/>
      <c r="AN826" s="1714"/>
      <c r="AO826" s="1714"/>
      <c r="AP826" s="1714"/>
      <c r="AQ826" s="1714"/>
      <c r="AR826" s="1714"/>
      <c r="AS826" s="1714"/>
      <c r="AT826" s="1714"/>
      <c r="AU826" s="1714"/>
      <c r="AV826" s="1714"/>
      <c r="AW826" s="1714"/>
      <c r="AX826" s="1714"/>
      <c r="AY826" s="1714"/>
      <c r="AZ826" s="1714"/>
      <c r="BA826" s="1714"/>
      <c r="BB826" s="1714"/>
      <c r="BC826" s="1714"/>
      <c r="BD826" s="1714"/>
      <c r="BE826" s="1714"/>
      <c r="BF826" s="1714"/>
    </row>
    <row r="827" spans="1:58" ht="0.75" customHeight="1">
      <c r="A827" s="1088" t="s">
        <v>1395</v>
      </c>
      <c r="D827" s="1082"/>
      <c r="E827" s="1092"/>
      <c r="F827" s="3894">
        <v>2027</v>
      </c>
      <c r="G827" s="3885"/>
      <c r="H827" s="3898" t="s">
        <v>421</v>
      </c>
      <c r="I827" s="3899"/>
      <c r="J827" s="3891"/>
      <c r="K827" s="3891"/>
      <c r="L827" s="3892"/>
      <c r="M827" s="3743"/>
      <c r="N827" s="1922"/>
      <c r="O827" s="1921"/>
      <c r="P827" s="1922"/>
      <c r="Q827" s="1922"/>
      <c r="R827" s="1922"/>
      <c r="S827" s="1922"/>
      <c r="T827" s="1922"/>
      <c r="U827" s="1922"/>
      <c r="V827" s="1922"/>
      <c r="W827" s="1922"/>
      <c r="X827" s="1922"/>
      <c r="Y827" s="1922"/>
      <c r="Z827" s="1922"/>
      <c r="AA827" s="1922"/>
      <c r="AB827" s="1922"/>
      <c r="AC827" s="1922"/>
      <c r="AD827" s="1922"/>
      <c r="AE827" s="1922"/>
      <c r="AF827" s="3897"/>
      <c r="AG827" s="3892"/>
      <c r="AH827" s="3892"/>
      <c r="AI827" s="3897"/>
      <c r="AJ827" s="3892"/>
      <c r="AK827" s="3892"/>
      <c r="AL827" s="1874"/>
      <c r="AM827" s="1714"/>
      <c r="AN827" s="1714"/>
      <c r="AO827" s="1714"/>
      <c r="AP827" s="1714"/>
      <c r="AQ827" s="1714"/>
      <c r="AR827" s="1714"/>
      <c r="AS827" s="1714"/>
      <c r="AT827" s="1714"/>
      <c r="AU827" s="1714"/>
      <c r="AV827" s="1714"/>
      <c r="AW827" s="1714"/>
      <c r="AX827" s="1714"/>
      <c r="AY827" s="1714"/>
      <c r="AZ827" s="1714"/>
      <c r="BA827" s="1714"/>
      <c r="BB827" s="1714"/>
      <c r="BC827" s="1714"/>
      <c r="BD827" s="1714"/>
      <c r="BE827" s="1714"/>
      <c r="BF827" s="1714"/>
    </row>
    <row r="828" spans="1:58" ht="0.75" customHeight="1">
      <c r="A828" s="1088" t="s">
        <v>1395</v>
      </c>
      <c r="D828" s="1082"/>
      <c r="E828" s="1092"/>
      <c r="F828" s="3894"/>
      <c r="G828" s="3885"/>
      <c r="H828" s="3898"/>
      <c r="I828" s="3899"/>
      <c r="J828" s="3891"/>
      <c r="K828" s="3891"/>
      <c r="L828" s="3892"/>
      <c r="M828" s="3743"/>
      <c r="N828" s="3900"/>
      <c r="O828" s="3901"/>
      <c r="P828" s="3888"/>
      <c r="Q828" s="3891"/>
      <c r="R828" s="3891"/>
      <c r="S828" s="3891"/>
      <c r="T828" s="3891"/>
      <c r="U828" s="3891"/>
      <c r="V828" s="3891"/>
      <c r="W828" s="3891"/>
      <c r="X828" s="3891"/>
      <c r="Y828" s="3891"/>
      <c r="Z828" s="1923"/>
      <c r="AA828" s="1924"/>
      <c r="AB828" s="1924"/>
      <c r="AC828" s="1925"/>
      <c r="AD828" s="1925"/>
      <c r="AE828" s="1926"/>
      <c r="AF828" s="3897"/>
      <c r="AG828" s="3892"/>
      <c r="AH828" s="3892"/>
      <c r="AI828" s="3897"/>
      <c r="AJ828" s="3892"/>
      <c r="AK828" s="3892"/>
      <c r="AL828" s="1874"/>
      <c r="AM828" s="1714"/>
      <c r="AN828" s="1714"/>
      <c r="AO828" s="1714"/>
      <c r="AP828" s="1714"/>
      <c r="AQ828" s="1714"/>
      <c r="AR828" s="1714"/>
      <c r="AS828" s="1714"/>
      <c r="AT828" s="1714"/>
      <c r="AU828" s="1714"/>
      <c r="AV828" s="1714"/>
      <c r="AW828" s="1714"/>
      <c r="AX828" s="1714"/>
      <c r="AY828" s="1714"/>
      <c r="AZ828" s="1714"/>
      <c r="BA828" s="1714"/>
      <c r="BB828" s="1714"/>
      <c r="BC828" s="1714"/>
      <c r="BD828" s="1714"/>
      <c r="BE828" s="1714"/>
      <c r="BF828" s="1714"/>
    </row>
    <row r="829" spans="1:58" ht="0.75" customHeight="1">
      <c r="A829" s="1088" t="s">
        <v>1395</v>
      </c>
      <c r="D829" s="1082"/>
      <c r="E829" s="1092"/>
      <c r="F829" s="3894"/>
      <c r="G829" s="3885"/>
      <c r="H829" s="3898"/>
      <c r="I829" s="3899"/>
      <c r="J829" s="3891"/>
      <c r="K829" s="3891"/>
      <c r="L829" s="3892"/>
      <c r="M829" s="3743"/>
      <c r="N829" s="3900"/>
      <c r="O829" s="3901"/>
      <c r="P829" s="3889"/>
      <c r="Q829" s="3891"/>
      <c r="R829" s="3891"/>
      <c r="S829" s="3891"/>
      <c r="T829" s="3891"/>
      <c r="U829" s="3891"/>
      <c r="V829" s="3891"/>
      <c r="W829" s="3891"/>
      <c r="X829" s="3891"/>
      <c r="Y829" s="3891"/>
      <c r="Z829" s="1927"/>
      <c r="AA829" s="1928"/>
      <c r="AB829" s="1929"/>
      <c r="AC829" s="1930"/>
      <c r="AD829" s="1929"/>
      <c r="AE829" s="1930"/>
      <c r="AF829" s="3897"/>
      <c r="AG829" s="3892"/>
      <c r="AH829" s="3892"/>
      <c r="AI829" s="3897"/>
      <c r="AJ829" s="3892"/>
      <c r="AK829" s="3892"/>
      <c r="AL829" s="1874"/>
      <c r="AM829" s="1714"/>
      <c r="AN829" s="1714"/>
      <c r="AO829" s="1714"/>
      <c r="AP829" s="1714"/>
      <c r="AQ829" s="1714"/>
      <c r="AR829" s="1714"/>
      <c r="AS829" s="1714"/>
      <c r="AT829" s="1714"/>
      <c r="AU829" s="1714"/>
      <c r="AV829" s="1714"/>
      <c r="AW829" s="1714"/>
      <c r="AX829" s="1714"/>
      <c r="AY829" s="1714"/>
      <c r="AZ829" s="1714"/>
      <c r="BA829" s="1714"/>
      <c r="BB829" s="1714"/>
      <c r="BC829" s="1714"/>
      <c r="BD829" s="1714"/>
      <c r="BE829" s="1714"/>
      <c r="BF829" s="1714"/>
    </row>
    <row r="830" spans="1:58" ht="0.75" customHeight="1">
      <c r="A830" s="1088" t="s">
        <v>1395</v>
      </c>
      <c r="D830" s="1082"/>
      <c r="E830" s="1092"/>
      <c r="F830" s="3894"/>
      <c r="G830" s="3885"/>
      <c r="H830" s="3898"/>
      <c r="I830" s="3899"/>
      <c r="J830" s="3891"/>
      <c r="K830" s="3891"/>
      <c r="L830" s="3892"/>
      <c r="M830" s="3743"/>
      <c r="N830" s="3900"/>
      <c r="O830" s="3901"/>
      <c r="P830" s="3890"/>
      <c r="Q830" s="3891"/>
      <c r="R830" s="3891"/>
      <c r="S830" s="3891"/>
      <c r="T830" s="3891"/>
      <c r="U830" s="3891"/>
      <c r="V830" s="3891"/>
      <c r="W830" s="3891"/>
      <c r="X830" s="3891"/>
      <c r="Y830" s="3891"/>
      <c r="Z830" s="1923"/>
      <c r="AA830" s="1924"/>
      <c r="AB830" s="1931"/>
      <c r="AC830" s="1925"/>
      <c r="AD830" s="1925"/>
      <c r="AE830" s="1932"/>
      <c r="AF830" s="3897"/>
      <c r="AG830" s="3892"/>
      <c r="AH830" s="3892"/>
      <c r="AI830" s="3897"/>
      <c r="AJ830" s="3892"/>
      <c r="AK830" s="3892"/>
      <c r="AL830" s="1874"/>
      <c r="AM830" s="1714"/>
      <c r="AN830" s="1714"/>
      <c r="AO830" s="1714"/>
      <c r="AP830" s="1714"/>
      <c r="AQ830" s="1714"/>
      <c r="AR830" s="1714"/>
      <c r="AS830" s="1714"/>
      <c r="AT830" s="1714"/>
      <c r="AU830" s="1714"/>
      <c r="AV830" s="1714"/>
      <c r="AW830" s="1714"/>
      <c r="AX830" s="1714"/>
      <c r="AY830" s="1714"/>
      <c r="AZ830" s="1714"/>
      <c r="BA830" s="1714"/>
      <c r="BB830" s="1714"/>
      <c r="BC830" s="1714"/>
      <c r="BD830" s="1714"/>
      <c r="BE830" s="1714"/>
      <c r="BF830" s="1714"/>
    </row>
    <row r="831" spans="1:58" ht="0.75" customHeight="1">
      <c r="A831" s="1088" t="s">
        <v>1395</v>
      </c>
      <c r="D831" s="1082"/>
      <c r="E831" s="1092"/>
      <c r="F831" s="3894"/>
      <c r="G831" s="3885"/>
      <c r="H831" s="3898"/>
      <c r="I831" s="3899"/>
      <c r="J831" s="3891"/>
      <c r="K831" s="3891"/>
      <c r="L831" s="3892"/>
      <c r="M831" s="3743"/>
      <c r="N831" s="1924"/>
      <c r="O831" s="1924"/>
      <c r="P831" s="1931"/>
      <c r="Q831" s="1924"/>
      <c r="R831" s="1924"/>
      <c r="S831" s="1924"/>
      <c r="T831" s="1924"/>
      <c r="U831" s="1924"/>
      <c r="V831" s="1924"/>
      <c r="W831" s="1924"/>
      <c r="X831" s="1924"/>
      <c r="Y831" s="1924"/>
      <c r="Z831" s="1924"/>
      <c r="AA831" s="1924"/>
      <c r="AB831" s="1924"/>
      <c r="AC831" s="1924"/>
      <c r="AD831" s="1924"/>
      <c r="AE831" s="1933"/>
      <c r="AF831" s="3897"/>
      <c r="AG831" s="3892"/>
      <c r="AH831" s="3892"/>
      <c r="AI831" s="3897"/>
      <c r="AJ831" s="3892"/>
      <c r="AK831" s="3892"/>
      <c r="AL831" s="1874"/>
      <c r="AM831" s="1714"/>
      <c r="AN831" s="1714"/>
      <c r="AO831" s="1714"/>
      <c r="AP831" s="1714"/>
      <c r="AQ831" s="1714"/>
      <c r="AR831" s="1714"/>
      <c r="AS831" s="1714"/>
      <c r="AT831" s="1714"/>
      <c r="AU831" s="1714"/>
      <c r="AV831" s="1714"/>
      <c r="AW831" s="1714"/>
      <c r="AX831" s="1714"/>
      <c r="AY831" s="1714"/>
      <c r="AZ831" s="1714"/>
      <c r="BA831" s="1714"/>
      <c r="BB831" s="1714"/>
      <c r="BC831" s="1714"/>
      <c r="BD831" s="1714"/>
      <c r="BE831" s="1714"/>
      <c r="BF831" s="1714"/>
    </row>
    <row r="832" spans="1:58" ht="11.25" customHeight="1">
      <c r="A832" s="1088" t="s">
        <v>1395</v>
      </c>
      <c r="D832" s="1082"/>
      <c r="E832" s="1092"/>
      <c r="F832" s="3895"/>
      <c r="G832" s="3853" t="s">
        <v>90</v>
      </c>
      <c r="H832" s="3885" t="s">
        <v>164</v>
      </c>
      <c r="I832" s="3886"/>
      <c r="J832" s="3883"/>
      <c r="K832" s="3887" t="s">
        <v>1521</v>
      </c>
      <c r="L832" s="3599" t="s">
        <v>6</v>
      </c>
      <c r="M832" s="3600"/>
      <c r="N832" s="1872"/>
      <c r="O832" s="1099" t="s">
        <v>421</v>
      </c>
      <c r="P832" s="1100"/>
      <c r="Q832" s="1100"/>
      <c r="R832" s="1100"/>
      <c r="S832" s="1100"/>
      <c r="T832" s="1100"/>
      <c r="U832" s="1100"/>
      <c r="V832" s="1100"/>
      <c r="W832" s="1100"/>
      <c r="X832" s="1100"/>
      <c r="Y832" s="1100"/>
      <c r="Z832" s="1100"/>
      <c r="AA832" s="1100"/>
      <c r="AB832" s="1100"/>
      <c r="AC832" s="1100"/>
      <c r="AD832" s="1100"/>
      <c r="AE832" s="1100"/>
      <c r="AF832" s="3876">
        <v>2035</v>
      </c>
      <c r="AG832" s="3877" t="s">
        <v>1447</v>
      </c>
      <c r="AH832" s="3877" t="s">
        <v>1522</v>
      </c>
      <c r="AI832" s="3876">
        <v>2035</v>
      </c>
      <c r="AJ832" s="3877" t="s">
        <v>1447</v>
      </c>
      <c r="AK832" s="3877" t="s">
        <v>1522</v>
      </c>
      <c r="AL832" s="1874"/>
      <c r="AM832" s="1714"/>
      <c r="AN832" s="1714"/>
      <c r="AO832" s="1714"/>
      <c r="AP832" s="1714"/>
      <c r="AQ832" s="1714"/>
      <c r="AR832" s="1714"/>
      <c r="AS832" s="1714"/>
      <c r="AT832" s="1714"/>
      <c r="AU832" s="1714"/>
      <c r="AV832" s="1714"/>
      <c r="AW832" s="1714"/>
      <c r="AX832" s="1714"/>
      <c r="AY832" s="1714"/>
      <c r="AZ832" s="1714"/>
      <c r="BA832" s="1714"/>
      <c r="BB832" s="1714"/>
      <c r="BC832" s="1714"/>
      <c r="BD832" s="1714"/>
      <c r="BE832" s="1714"/>
      <c r="BF832" s="1714"/>
    </row>
    <row r="833" spans="1:58" ht="11.25" customHeight="1">
      <c r="A833" s="1088" t="s">
        <v>1395</v>
      </c>
      <c r="D833" s="1082"/>
      <c r="E833" s="1092"/>
      <c r="F833" s="3895"/>
      <c r="G833" s="3875"/>
      <c r="H833" s="3885" t="s">
        <v>421</v>
      </c>
      <c r="I833" s="3886"/>
      <c r="J833" s="3883"/>
      <c r="K833" s="3887"/>
      <c r="L833" s="3599"/>
      <c r="M833" s="3600"/>
      <c r="N833" s="3878"/>
      <c r="O833" s="3879">
        <v>1</v>
      </c>
      <c r="P833" s="3880" t="s">
        <v>50</v>
      </c>
      <c r="Q833" s="3883" t="s">
        <v>1449</v>
      </c>
      <c r="R833" s="3884" t="s">
        <v>1438</v>
      </c>
      <c r="S833" s="3884" t="s">
        <v>147</v>
      </c>
      <c r="T833" s="3884" t="s">
        <v>147</v>
      </c>
      <c r="U833" s="3884" t="s">
        <v>148</v>
      </c>
      <c r="V833" s="3884" t="s">
        <v>1523</v>
      </c>
      <c r="W833" s="3884" t="s">
        <v>1524</v>
      </c>
      <c r="X833" s="3884" t="s">
        <v>1525</v>
      </c>
      <c r="Y833" s="3884" t="s">
        <v>1442</v>
      </c>
      <c r="Z833" s="1097"/>
      <c r="AA833" s="1098"/>
      <c r="AB833" s="1098"/>
      <c r="AC833" s="1102"/>
      <c r="AD833" s="1102"/>
      <c r="AE833" s="1103"/>
      <c r="AF833" s="3876"/>
      <c r="AG833" s="3877"/>
      <c r="AH833" s="3877"/>
      <c r="AI833" s="3876"/>
      <c r="AJ833" s="3877"/>
      <c r="AK833" s="3877"/>
      <c r="AL833" s="1874"/>
      <c r="AM833" s="1714"/>
      <c r="AN833" s="1714"/>
      <c r="AO833" s="1714"/>
      <c r="AP833" s="1714"/>
      <c r="AQ833" s="1714"/>
      <c r="AR833" s="1714"/>
      <c r="AS833" s="1714"/>
      <c r="AT833" s="1714"/>
      <c r="AU833" s="1714"/>
      <c r="AV833" s="1714"/>
      <c r="AW833" s="1714"/>
      <c r="AX833" s="1714"/>
      <c r="AY833" s="1714"/>
      <c r="AZ833" s="1714"/>
      <c r="BA833" s="1714"/>
      <c r="BB833" s="1714"/>
      <c r="BC833" s="1714"/>
      <c r="BD833" s="1714"/>
      <c r="BE833" s="1714"/>
      <c r="BF833" s="1714"/>
    </row>
    <row r="834" spans="1:58" ht="11.25" customHeight="1">
      <c r="A834" s="1088" t="s">
        <v>1395</v>
      </c>
      <c r="D834" s="1082"/>
      <c r="E834" s="1092"/>
      <c r="F834" s="3895"/>
      <c r="G834" s="3875"/>
      <c r="H834" s="3885" t="s">
        <v>421</v>
      </c>
      <c r="I834" s="3886"/>
      <c r="J834" s="3883"/>
      <c r="K834" s="3887"/>
      <c r="L834" s="3599"/>
      <c r="M834" s="3600"/>
      <c r="N834" s="3878"/>
      <c r="O834" s="3879"/>
      <c r="P834" s="3881"/>
      <c r="Q834" s="3883"/>
      <c r="R834" s="3874"/>
      <c r="S834" s="3884"/>
      <c r="T834" s="3874"/>
      <c r="U834" s="3874"/>
      <c r="V834" s="3874"/>
      <c r="W834" s="3874"/>
      <c r="X834" s="3874"/>
      <c r="Y834" s="3874"/>
      <c r="Z834" s="1719"/>
      <c r="AA834" s="1686">
        <v>1</v>
      </c>
      <c r="AB834" s="1101" t="s">
        <v>1443</v>
      </c>
      <c r="AC834" s="1091">
        <v>200</v>
      </c>
      <c r="AD834" s="1101" t="str">
        <f>AB834</f>
        <v xml:space="preserve">  Прибыль направляемая на инвестиции</v>
      </c>
      <c r="AE834" s="1091">
        <v>0</v>
      </c>
      <c r="AF834" s="3876"/>
      <c r="AG834" s="3877"/>
      <c r="AH834" s="3877"/>
      <c r="AI834" s="3876"/>
      <c r="AJ834" s="3877"/>
      <c r="AK834" s="3877"/>
      <c r="AL834" s="1874"/>
      <c r="AM834" s="1714"/>
      <c r="AN834" s="1714"/>
      <c r="AO834" s="1714"/>
      <c r="AP834" s="1714"/>
      <c r="AQ834" s="1714"/>
      <c r="AR834" s="1714"/>
      <c r="AS834" s="1714"/>
      <c r="AT834" s="1714"/>
      <c r="AU834" s="1714"/>
      <c r="AV834" s="1714"/>
      <c r="AW834" s="1714"/>
      <c r="AX834" s="1714"/>
      <c r="AY834" s="1714"/>
      <c r="AZ834" s="1714"/>
      <c r="BA834" s="1714"/>
      <c r="BB834" s="1714"/>
      <c r="BC834" s="1714"/>
      <c r="BD834" s="1714"/>
      <c r="BE834" s="1714"/>
      <c r="BF834" s="1714"/>
    </row>
    <row r="835" spans="1:58" ht="11.25" customHeight="1">
      <c r="A835" s="1088" t="s">
        <v>1395</v>
      </c>
      <c r="D835" s="1082"/>
      <c r="E835" s="1092"/>
      <c r="F835" s="3895"/>
      <c r="G835" s="3875"/>
      <c r="H835" s="3885" t="s">
        <v>421</v>
      </c>
      <c r="I835" s="3886"/>
      <c r="J835" s="3883"/>
      <c r="K835" s="3887"/>
      <c r="L835" s="3599"/>
      <c r="M835" s="3600"/>
      <c r="N835" s="3878"/>
      <c r="O835" s="3879"/>
      <c r="P835" s="3882"/>
      <c r="Q835" s="3883"/>
      <c r="R835" s="3874"/>
      <c r="S835" s="3884"/>
      <c r="T835" s="3874"/>
      <c r="U835" s="3874"/>
      <c r="V835" s="3874"/>
      <c r="W835" s="3874"/>
      <c r="X835" s="3874"/>
      <c r="Y835" s="3874"/>
      <c r="Z835" s="1097"/>
      <c r="AA835" s="1098"/>
      <c r="AB835" s="1163" t="s">
        <v>1444</v>
      </c>
      <c r="AC835" s="1102"/>
      <c r="AD835" s="1102"/>
      <c r="AE835" s="1104"/>
      <c r="AF835" s="3876"/>
      <c r="AG835" s="3877"/>
      <c r="AH835" s="3877"/>
      <c r="AI835" s="3876"/>
      <c r="AJ835" s="3877"/>
      <c r="AK835" s="3877"/>
      <c r="AL835" s="1874"/>
      <c r="AM835" s="1714"/>
      <c r="AN835" s="1714"/>
      <c r="AO835" s="1714"/>
      <c r="AP835" s="1714"/>
      <c r="AQ835" s="1714"/>
      <c r="AR835" s="1714"/>
      <c r="AS835" s="1714"/>
      <c r="AT835" s="1714"/>
      <c r="AU835" s="1714"/>
      <c r="AV835" s="1714"/>
      <c r="AW835" s="1714"/>
      <c r="AX835" s="1714"/>
      <c r="AY835" s="1714"/>
      <c r="AZ835" s="1714"/>
      <c r="BA835" s="1714"/>
      <c r="BB835" s="1714"/>
      <c r="BC835" s="1714"/>
      <c r="BD835" s="1714"/>
      <c r="BE835" s="1714"/>
      <c r="BF835" s="1714"/>
    </row>
    <row r="836" spans="1:58" ht="11.25" customHeight="1">
      <c r="A836" s="1088" t="s">
        <v>1395</v>
      </c>
      <c r="D836" s="1082"/>
      <c r="E836" s="1092"/>
      <c r="F836" s="3895"/>
      <c r="G836" s="3875"/>
      <c r="H836" s="3885" t="s">
        <v>421</v>
      </c>
      <c r="I836" s="3886"/>
      <c r="J836" s="3883"/>
      <c r="K836" s="3887"/>
      <c r="L836" s="3599"/>
      <c r="M836" s="3600"/>
      <c r="N836" s="1097"/>
      <c r="O836" s="1098"/>
      <c r="P836" s="1090" t="s">
        <v>1445</v>
      </c>
      <c r="Q836" s="1098"/>
      <c r="R836" s="1098"/>
      <c r="S836" s="1098"/>
      <c r="T836" s="1098"/>
      <c r="U836" s="1098"/>
      <c r="V836" s="1098"/>
      <c r="W836" s="1098"/>
      <c r="X836" s="1098"/>
      <c r="Y836" s="1098"/>
      <c r="Z836" s="1098"/>
      <c r="AA836" s="1098"/>
      <c r="AB836" s="1098"/>
      <c r="AC836" s="1098"/>
      <c r="AD836" s="1098"/>
      <c r="AE836" s="1105"/>
      <c r="AF836" s="3876"/>
      <c r="AG836" s="3877"/>
      <c r="AH836" s="3877"/>
      <c r="AI836" s="3876"/>
      <c r="AJ836" s="3877"/>
      <c r="AK836" s="3877"/>
      <c r="AL836" s="1874"/>
      <c r="AM836" s="1714"/>
      <c r="AN836" s="1714"/>
      <c r="AO836" s="1714"/>
      <c r="AP836" s="1714"/>
      <c r="AQ836" s="1714"/>
      <c r="AR836" s="1714"/>
      <c r="AS836" s="1714"/>
      <c r="AT836" s="1714"/>
      <c r="AU836" s="1714"/>
      <c r="AV836" s="1714"/>
      <c r="AW836" s="1714"/>
      <c r="AX836" s="1714"/>
      <c r="AY836" s="1714"/>
      <c r="AZ836" s="1714"/>
      <c r="BA836" s="1714"/>
      <c r="BB836" s="1714"/>
      <c r="BC836" s="1714"/>
      <c r="BD836" s="1714"/>
      <c r="BE836" s="1714"/>
      <c r="BF836" s="1714"/>
    </row>
    <row r="837" spans="1:58" ht="12" customHeight="1">
      <c r="A837" s="1088" t="s">
        <v>1395</v>
      </c>
      <c r="D837" s="1082"/>
      <c r="E837" s="1092"/>
      <c r="F837" s="3896"/>
      <c r="G837" s="1112"/>
      <c r="H837" s="1112"/>
      <c r="I837" s="3893" t="s">
        <v>1451</v>
      </c>
      <c r="J837" s="3893"/>
      <c r="K837" s="3893"/>
      <c r="L837" s="1095"/>
      <c r="M837" s="1095"/>
      <c r="N837" s="1096"/>
      <c r="O837" s="1096"/>
      <c r="P837" s="1096"/>
      <c r="Q837" s="1096"/>
      <c r="R837" s="1096"/>
      <c r="S837" s="1096"/>
      <c r="T837" s="1096"/>
      <c r="U837" s="1096"/>
      <c r="V837" s="1096"/>
      <c r="W837" s="1096"/>
      <c r="X837" s="1096"/>
      <c r="Y837" s="1096"/>
      <c r="Z837" s="1096"/>
      <c r="AA837" s="1096"/>
      <c r="AB837" s="1096"/>
      <c r="AC837" s="1096"/>
      <c r="AD837" s="1096"/>
      <c r="AE837" s="1096"/>
      <c r="AF837" s="1096"/>
      <c r="AG837" s="1095"/>
      <c r="AH837" s="1095"/>
      <c r="AI837" s="1096"/>
      <c r="AJ837" s="1095"/>
      <c r="AK837" s="1096"/>
      <c r="AL837" s="1874"/>
      <c r="AM837" s="1714"/>
      <c r="AN837" s="1714"/>
      <c r="AO837" s="1714"/>
      <c r="AP837" s="1714"/>
      <c r="AQ837" s="1714"/>
      <c r="AR837" s="1714"/>
      <c r="AS837" s="1714"/>
      <c r="AT837" s="1714"/>
      <c r="AU837" s="1714"/>
      <c r="AV837" s="1714"/>
      <c r="AW837" s="1714"/>
      <c r="AX837" s="1714"/>
      <c r="AY837" s="1714"/>
      <c r="AZ837" s="1714"/>
      <c r="BA837" s="1714"/>
      <c r="BB837" s="1714"/>
      <c r="BC837" s="1714"/>
      <c r="BD837" s="1714"/>
      <c r="BE837" s="1714"/>
      <c r="BF837" s="1714"/>
    </row>
    <row r="838" spans="1:58" ht="0.75" customHeight="1">
      <c r="A838" s="1088" t="s">
        <v>1395</v>
      </c>
      <c r="D838" s="1082"/>
      <c r="E838" s="1092"/>
      <c r="F838" s="3894">
        <v>2028</v>
      </c>
      <c r="G838" s="3885"/>
      <c r="H838" s="3898" t="s">
        <v>421</v>
      </c>
      <c r="I838" s="3899"/>
      <c r="J838" s="3891"/>
      <c r="K838" s="3891"/>
      <c r="L838" s="3892"/>
      <c r="M838" s="3743"/>
      <c r="N838" s="1922"/>
      <c r="O838" s="1921"/>
      <c r="P838" s="1922"/>
      <c r="Q838" s="1922"/>
      <c r="R838" s="1922"/>
      <c r="S838" s="1922"/>
      <c r="T838" s="1922"/>
      <c r="U838" s="1922"/>
      <c r="V838" s="1922"/>
      <c r="W838" s="1922"/>
      <c r="X838" s="1922"/>
      <c r="Y838" s="1922"/>
      <c r="Z838" s="1922"/>
      <c r="AA838" s="1922"/>
      <c r="AB838" s="1922"/>
      <c r="AC838" s="1922"/>
      <c r="AD838" s="1922"/>
      <c r="AE838" s="1922"/>
      <c r="AF838" s="3897"/>
      <c r="AG838" s="3892"/>
      <c r="AH838" s="3892"/>
      <c r="AI838" s="3897"/>
      <c r="AJ838" s="3892"/>
      <c r="AK838" s="3892"/>
      <c r="AL838" s="1874"/>
      <c r="AM838" s="1714"/>
      <c r="AN838" s="1714"/>
      <c r="AO838" s="1714"/>
      <c r="AP838" s="1714"/>
      <c r="AQ838" s="1714"/>
      <c r="AR838" s="1714"/>
      <c r="AS838" s="1714"/>
      <c r="AT838" s="1714"/>
      <c r="AU838" s="1714"/>
      <c r="AV838" s="1714"/>
      <c r="AW838" s="1714"/>
      <c r="AX838" s="1714"/>
      <c r="AY838" s="1714"/>
      <c r="AZ838" s="1714"/>
      <c r="BA838" s="1714"/>
      <c r="BB838" s="1714"/>
      <c r="BC838" s="1714"/>
      <c r="BD838" s="1714"/>
      <c r="BE838" s="1714"/>
      <c r="BF838" s="1714"/>
    </row>
    <row r="839" spans="1:58" ht="0.75" customHeight="1">
      <c r="A839" s="1088" t="s">
        <v>1395</v>
      </c>
      <c r="D839" s="1082"/>
      <c r="E839" s="1092"/>
      <c r="F839" s="3894"/>
      <c r="G839" s="3885"/>
      <c r="H839" s="3898"/>
      <c r="I839" s="3899"/>
      <c r="J839" s="3891"/>
      <c r="K839" s="3891"/>
      <c r="L839" s="3892"/>
      <c r="M839" s="3743"/>
      <c r="N839" s="3900"/>
      <c r="O839" s="3901"/>
      <c r="P839" s="3888"/>
      <c r="Q839" s="3891"/>
      <c r="R839" s="3891"/>
      <c r="S839" s="3891"/>
      <c r="T839" s="3891"/>
      <c r="U839" s="3891"/>
      <c r="V839" s="3891"/>
      <c r="W839" s="3891"/>
      <c r="X839" s="3891"/>
      <c r="Y839" s="3891"/>
      <c r="Z839" s="1923"/>
      <c r="AA839" s="1924"/>
      <c r="AB839" s="1924"/>
      <c r="AC839" s="1925"/>
      <c r="AD839" s="1925"/>
      <c r="AE839" s="1926"/>
      <c r="AF839" s="3897"/>
      <c r="AG839" s="3892"/>
      <c r="AH839" s="3892"/>
      <c r="AI839" s="3897"/>
      <c r="AJ839" s="3892"/>
      <c r="AK839" s="3892"/>
      <c r="AL839" s="1874"/>
      <c r="AM839" s="1714"/>
      <c r="AN839" s="1714"/>
      <c r="AO839" s="1714"/>
      <c r="AP839" s="1714"/>
      <c r="AQ839" s="1714"/>
      <c r="AR839" s="1714"/>
      <c r="AS839" s="1714"/>
      <c r="AT839" s="1714"/>
      <c r="AU839" s="1714"/>
      <c r="AV839" s="1714"/>
      <c r="AW839" s="1714"/>
      <c r="AX839" s="1714"/>
      <c r="AY839" s="1714"/>
      <c r="AZ839" s="1714"/>
      <c r="BA839" s="1714"/>
      <c r="BB839" s="1714"/>
      <c r="BC839" s="1714"/>
      <c r="BD839" s="1714"/>
      <c r="BE839" s="1714"/>
      <c r="BF839" s="1714"/>
    </row>
    <row r="840" spans="1:58" ht="0.75" customHeight="1">
      <c r="A840" s="1088" t="s">
        <v>1395</v>
      </c>
      <c r="D840" s="1082"/>
      <c r="E840" s="1092"/>
      <c r="F840" s="3894"/>
      <c r="G840" s="3885"/>
      <c r="H840" s="3898"/>
      <c r="I840" s="3899"/>
      <c r="J840" s="3891"/>
      <c r="K840" s="3891"/>
      <c r="L840" s="3892"/>
      <c r="M840" s="3743"/>
      <c r="N840" s="3900"/>
      <c r="O840" s="3901"/>
      <c r="P840" s="3889"/>
      <c r="Q840" s="3891"/>
      <c r="R840" s="3891"/>
      <c r="S840" s="3891"/>
      <c r="T840" s="3891"/>
      <c r="U840" s="3891"/>
      <c r="V840" s="3891"/>
      <c r="W840" s="3891"/>
      <c r="X840" s="3891"/>
      <c r="Y840" s="3891"/>
      <c r="Z840" s="1927"/>
      <c r="AA840" s="1928"/>
      <c r="AB840" s="1929"/>
      <c r="AC840" s="1930"/>
      <c r="AD840" s="1929"/>
      <c r="AE840" s="1930"/>
      <c r="AF840" s="3897"/>
      <c r="AG840" s="3892"/>
      <c r="AH840" s="3892"/>
      <c r="AI840" s="3897"/>
      <c r="AJ840" s="3892"/>
      <c r="AK840" s="3892"/>
      <c r="AL840" s="1874"/>
      <c r="AM840" s="1714"/>
      <c r="AN840" s="1714"/>
      <c r="AO840" s="1714"/>
      <c r="AP840" s="1714"/>
      <c r="AQ840" s="1714"/>
      <c r="AR840" s="1714"/>
      <c r="AS840" s="1714"/>
      <c r="AT840" s="1714"/>
      <c r="AU840" s="1714"/>
      <c r="AV840" s="1714"/>
      <c r="AW840" s="1714"/>
      <c r="AX840" s="1714"/>
      <c r="AY840" s="1714"/>
      <c r="AZ840" s="1714"/>
      <c r="BA840" s="1714"/>
      <c r="BB840" s="1714"/>
      <c r="BC840" s="1714"/>
      <c r="BD840" s="1714"/>
      <c r="BE840" s="1714"/>
      <c r="BF840" s="1714"/>
    </row>
    <row r="841" spans="1:58" ht="0.75" customHeight="1">
      <c r="A841" s="1088" t="s">
        <v>1395</v>
      </c>
      <c r="D841" s="1082"/>
      <c r="E841" s="1092"/>
      <c r="F841" s="3894"/>
      <c r="G841" s="3885"/>
      <c r="H841" s="3898"/>
      <c r="I841" s="3899"/>
      <c r="J841" s="3891"/>
      <c r="K841" s="3891"/>
      <c r="L841" s="3892"/>
      <c r="M841" s="3743"/>
      <c r="N841" s="3900"/>
      <c r="O841" s="3901"/>
      <c r="P841" s="3890"/>
      <c r="Q841" s="3891"/>
      <c r="R841" s="3891"/>
      <c r="S841" s="3891"/>
      <c r="T841" s="3891"/>
      <c r="U841" s="3891"/>
      <c r="V841" s="3891"/>
      <c r="W841" s="3891"/>
      <c r="X841" s="3891"/>
      <c r="Y841" s="3891"/>
      <c r="Z841" s="1923"/>
      <c r="AA841" s="1924"/>
      <c r="AB841" s="1931"/>
      <c r="AC841" s="1925"/>
      <c r="AD841" s="1925"/>
      <c r="AE841" s="1932"/>
      <c r="AF841" s="3897"/>
      <c r="AG841" s="3892"/>
      <c r="AH841" s="3892"/>
      <c r="AI841" s="3897"/>
      <c r="AJ841" s="3892"/>
      <c r="AK841" s="3892"/>
      <c r="AL841" s="1874"/>
      <c r="AM841" s="1714"/>
      <c r="AN841" s="1714"/>
      <c r="AO841" s="1714"/>
      <c r="AP841" s="1714"/>
      <c r="AQ841" s="1714"/>
      <c r="AR841" s="1714"/>
      <c r="AS841" s="1714"/>
      <c r="AT841" s="1714"/>
      <c r="AU841" s="1714"/>
      <c r="AV841" s="1714"/>
      <c r="AW841" s="1714"/>
      <c r="AX841" s="1714"/>
      <c r="AY841" s="1714"/>
      <c r="AZ841" s="1714"/>
      <c r="BA841" s="1714"/>
      <c r="BB841" s="1714"/>
      <c r="BC841" s="1714"/>
      <c r="BD841" s="1714"/>
      <c r="BE841" s="1714"/>
      <c r="BF841" s="1714"/>
    </row>
    <row r="842" spans="1:58" ht="0.75" customHeight="1">
      <c r="A842" s="1088" t="s">
        <v>1395</v>
      </c>
      <c r="D842" s="1082"/>
      <c r="E842" s="1092"/>
      <c r="F842" s="3894"/>
      <c r="G842" s="3885"/>
      <c r="H842" s="3898"/>
      <c r="I842" s="3899"/>
      <c r="J842" s="3891"/>
      <c r="K842" s="3891"/>
      <c r="L842" s="3892"/>
      <c r="M842" s="3743"/>
      <c r="N842" s="1924"/>
      <c r="O842" s="1924"/>
      <c r="P842" s="1931"/>
      <c r="Q842" s="1924"/>
      <c r="R842" s="1924"/>
      <c r="S842" s="1924"/>
      <c r="T842" s="1924"/>
      <c r="U842" s="1924"/>
      <c r="V842" s="1924"/>
      <c r="W842" s="1924"/>
      <c r="X842" s="1924"/>
      <c r="Y842" s="1924"/>
      <c r="Z842" s="1924"/>
      <c r="AA842" s="1924"/>
      <c r="AB842" s="1924"/>
      <c r="AC842" s="1924"/>
      <c r="AD842" s="1924"/>
      <c r="AE842" s="1933"/>
      <c r="AF842" s="3897"/>
      <c r="AG842" s="3892"/>
      <c r="AH842" s="3892"/>
      <c r="AI842" s="3897"/>
      <c r="AJ842" s="3892"/>
      <c r="AK842" s="3892"/>
      <c r="AL842" s="1874"/>
      <c r="AM842" s="1714"/>
      <c r="AN842" s="1714"/>
      <c r="AO842" s="1714"/>
      <c r="AP842" s="1714"/>
      <c r="AQ842" s="1714"/>
      <c r="AR842" s="1714"/>
      <c r="AS842" s="1714"/>
      <c r="AT842" s="1714"/>
      <c r="AU842" s="1714"/>
      <c r="AV842" s="1714"/>
      <c r="AW842" s="1714"/>
      <c r="AX842" s="1714"/>
      <c r="AY842" s="1714"/>
      <c r="AZ842" s="1714"/>
      <c r="BA842" s="1714"/>
      <c r="BB842" s="1714"/>
      <c r="BC842" s="1714"/>
      <c r="BD842" s="1714"/>
      <c r="BE842" s="1714"/>
      <c r="BF842" s="1714"/>
    </row>
    <row r="843" spans="1:58" ht="11.25" customHeight="1">
      <c r="A843" s="1088" t="s">
        <v>1395</v>
      </c>
      <c r="D843" s="1082"/>
      <c r="E843" s="1092"/>
      <c r="F843" s="3895"/>
      <c r="G843" s="3853" t="s">
        <v>90</v>
      </c>
      <c r="H843" s="3885" t="s">
        <v>164</v>
      </c>
      <c r="I843" s="3886"/>
      <c r="J843" s="3883"/>
      <c r="K843" s="3887" t="s">
        <v>1521</v>
      </c>
      <c r="L843" s="3599" t="s">
        <v>6</v>
      </c>
      <c r="M843" s="3600"/>
      <c r="N843" s="1872"/>
      <c r="O843" s="1099" t="s">
        <v>421</v>
      </c>
      <c r="P843" s="1100"/>
      <c r="Q843" s="1100"/>
      <c r="R843" s="1100"/>
      <c r="S843" s="1100"/>
      <c r="T843" s="1100"/>
      <c r="U843" s="1100"/>
      <c r="V843" s="1100"/>
      <c r="W843" s="1100"/>
      <c r="X843" s="1100"/>
      <c r="Y843" s="1100"/>
      <c r="Z843" s="1100"/>
      <c r="AA843" s="1100"/>
      <c r="AB843" s="1100"/>
      <c r="AC843" s="1100"/>
      <c r="AD843" s="1100"/>
      <c r="AE843" s="1100"/>
      <c r="AF843" s="3876">
        <v>2035</v>
      </c>
      <c r="AG843" s="3877" t="s">
        <v>1447</v>
      </c>
      <c r="AH843" s="3877" t="s">
        <v>1522</v>
      </c>
      <c r="AI843" s="3876">
        <v>2035</v>
      </c>
      <c r="AJ843" s="3877" t="s">
        <v>1447</v>
      </c>
      <c r="AK843" s="3877" t="s">
        <v>1522</v>
      </c>
      <c r="AL843" s="1874"/>
      <c r="AM843" s="1714"/>
      <c r="AN843" s="1714"/>
      <c r="AO843" s="1714"/>
      <c r="AP843" s="1714"/>
      <c r="AQ843" s="1714"/>
      <c r="AR843" s="1714"/>
      <c r="AS843" s="1714"/>
      <c r="AT843" s="1714"/>
      <c r="AU843" s="1714"/>
      <c r="AV843" s="1714"/>
      <c r="AW843" s="1714"/>
      <c r="AX843" s="1714"/>
      <c r="AY843" s="1714"/>
      <c r="AZ843" s="1714"/>
      <c r="BA843" s="1714"/>
      <c r="BB843" s="1714"/>
      <c r="BC843" s="1714"/>
      <c r="BD843" s="1714"/>
      <c r="BE843" s="1714"/>
      <c r="BF843" s="1714"/>
    </row>
    <row r="844" spans="1:58" ht="11.25" customHeight="1">
      <c r="A844" s="1088" t="s">
        <v>1395</v>
      </c>
      <c r="D844" s="1082"/>
      <c r="E844" s="1092"/>
      <c r="F844" s="3895"/>
      <c r="G844" s="3875"/>
      <c r="H844" s="3885" t="s">
        <v>421</v>
      </c>
      <c r="I844" s="3886"/>
      <c r="J844" s="3883"/>
      <c r="K844" s="3887"/>
      <c r="L844" s="3599"/>
      <c r="M844" s="3600"/>
      <c r="N844" s="3878"/>
      <c r="O844" s="3879">
        <v>1</v>
      </c>
      <c r="P844" s="3880" t="s">
        <v>50</v>
      </c>
      <c r="Q844" s="3883" t="s">
        <v>1449</v>
      </c>
      <c r="R844" s="3884" t="s">
        <v>1438</v>
      </c>
      <c r="S844" s="3884" t="s">
        <v>147</v>
      </c>
      <c r="T844" s="3884" t="s">
        <v>147</v>
      </c>
      <c r="U844" s="3884" t="s">
        <v>148</v>
      </c>
      <c r="V844" s="3884" t="s">
        <v>1523</v>
      </c>
      <c r="W844" s="3884" t="s">
        <v>1524</v>
      </c>
      <c r="X844" s="3884" t="s">
        <v>1525</v>
      </c>
      <c r="Y844" s="3884" t="s">
        <v>1442</v>
      </c>
      <c r="Z844" s="1097"/>
      <c r="AA844" s="1098"/>
      <c r="AB844" s="1098"/>
      <c r="AC844" s="1102"/>
      <c r="AD844" s="1102"/>
      <c r="AE844" s="1103"/>
      <c r="AF844" s="3876"/>
      <c r="AG844" s="3877"/>
      <c r="AH844" s="3877"/>
      <c r="AI844" s="3876"/>
      <c r="AJ844" s="3877"/>
      <c r="AK844" s="3877"/>
      <c r="AL844" s="1874"/>
      <c r="AM844" s="1714"/>
      <c r="AN844" s="1714"/>
      <c r="AO844" s="1714"/>
      <c r="AP844" s="1714"/>
      <c r="AQ844" s="1714"/>
      <c r="AR844" s="1714"/>
      <c r="AS844" s="1714"/>
      <c r="AT844" s="1714"/>
      <c r="AU844" s="1714"/>
      <c r="AV844" s="1714"/>
      <c r="AW844" s="1714"/>
      <c r="AX844" s="1714"/>
      <c r="AY844" s="1714"/>
      <c r="AZ844" s="1714"/>
      <c r="BA844" s="1714"/>
      <c r="BB844" s="1714"/>
      <c r="BC844" s="1714"/>
      <c r="BD844" s="1714"/>
      <c r="BE844" s="1714"/>
      <c r="BF844" s="1714"/>
    </row>
    <row r="845" spans="1:58" ht="11.25" customHeight="1">
      <c r="A845" s="1088" t="s">
        <v>1395</v>
      </c>
      <c r="D845" s="1082"/>
      <c r="E845" s="1092"/>
      <c r="F845" s="3895"/>
      <c r="G845" s="3875"/>
      <c r="H845" s="3885" t="s">
        <v>421</v>
      </c>
      <c r="I845" s="3886"/>
      <c r="J845" s="3883"/>
      <c r="K845" s="3887"/>
      <c r="L845" s="3599"/>
      <c r="M845" s="3600"/>
      <c r="N845" s="3878"/>
      <c r="O845" s="3879"/>
      <c r="P845" s="3881"/>
      <c r="Q845" s="3883"/>
      <c r="R845" s="3874"/>
      <c r="S845" s="3884"/>
      <c r="T845" s="3874"/>
      <c r="U845" s="3874"/>
      <c r="V845" s="3874"/>
      <c r="W845" s="3874"/>
      <c r="X845" s="3874"/>
      <c r="Y845" s="3874"/>
      <c r="Z845" s="1719"/>
      <c r="AA845" s="1686">
        <v>1</v>
      </c>
      <c r="AB845" s="1101" t="s">
        <v>1443</v>
      </c>
      <c r="AC845" s="1091">
        <v>200</v>
      </c>
      <c r="AD845" s="1101" t="str">
        <f>AB845</f>
        <v xml:space="preserve">  Прибыль направляемая на инвестиции</v>
      </c>
      <c r="AE845" s="1091">
        <v>0</v>
      </c>
      <c r="AF845" s="3876"/>
      <c r="AG845" s="3877"/>
      <c r="AH845" s="3877"/>
      <c r="AI845" s="3876"/>
      <c r="AJ845" s="3877"/>
      <c r="AK845" s="3877"/>
      <c r="AL845" s="1874"/>
      <c r="AM845" s="1714"/>
      <c r="AN845" s="1714"/>
      <c r="AO845" s="1714"/>
      <c r="AP845" s="1714"/>
      <c r="AQ845" s="1714"/>
      <c r="AR845" s="1714"/>
      <c r="AS845" s="1714"/>
      <c r="AT845" s="1714"/>
      <c r="AU845" s="1714"/>
      <c r="AV845" s="1714"/>
      <c r="AW845" s="1714"/>
      <c r="AX845" s="1714"/>
      <c r="AY845" s="1714"/>
      <c r="AZ845" s="1714"/>
      <c r="BA845" s="1714"/>
      <c r="BB845" s="1714"/>
      <c r="BC845" s="1714"/>
      <c r="BD845" s="1714"/>
      <c r="BE845" s="1714"/>
      <c r="BF845" s="1714"/>
    </row>
    <row r="846" spans="1:58" ht="11.25" customHeight="1">
      <c r="A846" s="1088" t="s">
        <v>1395</v>
      </c>
      <c r="D846" s="1082"/>
      <c r="E846" s="1092"/>
      <c r="F846" s="3895"/>
      <c r="G846" s="3875"/>
      <c r="H846" s="3885" t="s">
        <v>421</v>
      </c>
      <c r="I846" s="3886"/>
      <c r="J846" s="3883"/>
      <c r="K846" s="3887"/>
      <c r="L846" s="3599"/>
      <c r="M846" s="3600"/>
      <c r="N846" s="3878"/>
      <c r="O846" s="3879"/>
      <c r="P846" s="3882"/>
      <c r="Q846" s="3883"/>
      <c r="R846" s="3874"/>
      <c r="S846" s="3884"/>
      <c r="T846" s="3874"/>
      <c r="U846" s="3874"/>
      <c r="V846" s="3874"/>
      <c r="W846" s="3874"/>
      <c r="X846" s="3874"/>
      <c r="Y846" s="3874"/>
      <c r="Z846" s="1097"/>
      <c r="AA846" s="1098"/>
      <c r="AB846" s="1163" t="s">
        <v>1444</v>
      </c>
      <c r="AC846" s="1102"/>
      <c r="AD846" s="1102"/>
      <c r="AE846" s="1104"/>
      <c r="AF846" s="3876"/>
      <c r="AG846" s="3877"/>
      <c r="AH846" s="3877"/>
      <c r="AI846" s="3876"/>
      <c r="AJ846" s="3877"/>
      <c r="AK846" s="3877"/>
      <c r="AL846" s="1874"/>
      <c r="AM846" s="1714"/>
      <c r="AN846" s="1714"/>
      <c r="AO846" s="1714"/>
      <c r="AP846" s="1714"/>
      <c r="AQ846" s="1714"/>
      <c r="AR846" s="1714"/>
      <c r="AS846" s="1714"/>
      <c r="AT846" s="1714"/>
      <c r="AU846" s="1714"/>
      <c r="AV846" s="1714"/>
      <c r="AW846" s="1714"/>
      <c r="AX846" s="1714"/>
      <c r="AY846" s="1714"/>
      <c r="AZ846" s="1714"/>
      <c r="BA846" s="1714"/>
      <c r="BB846" s="1714"/>
      <c r="BC846" s="1714"/>
      <c r="BD846" s="1714"/>
      <c r="BE846" s="1714"/>
      <c r="BF846" s="1714"/>
    </row>
    <row r="847" spans="1:58" ht="11.25" customHeight="1">
      <c r="A847" s="1088" t="s">
        <v>1395</v>
      </c>
      <c r="D847" s="1082"/>
      <c r="E847" s="1092"/>
      <c r="F847" s="3895"/>
      <c r="G847" s="3875"/>
      <c r="H847" s="3885" t="s">
        <v>421</v>
      </c>
      <c r="I847" s="3886"/>
      <c r="J847" s="3883"/>
      <c r="K847" s="3887"/>
      <c r="L847" s="3599"/>
      <c r="M847" s="3600"/>
      <c r="N847" s="1097"/>
      <c r="O847" s="1098"/>
      <c r="P847" s="1090" t="s">
        <v>1445</v>
      </c>
      <c r="Q847" s="1098"/>
      <c r="R847" s="1098"/>
      <c r="S847" s="1098"/>
      <c r="T847" s="1098"/>
      <c r="U847" s="1098"/>
      <c r="V847" s="1098"/>
      <c r="W847" s="1098"/>
      <c r="X847" s="1098"/>
      <c r="Y847" s="1098"/>
      <c r="Z847" s="1098"/>
      <c r="AA847" s="1098"/>
      <c r="AB847" s="1098"/>
      <c r="AC847" s="1098"/>
      <c r="AD847" s="1098"/>
      <c r="AE847" s="1105"/>
      <c r="AF847" s="3876"/>
      <c r="AG847" s="3877"/>
      <c r="AH847" s="3877"/>
      <c r="AI847" s="3876"/>
      <c r="AJ847" s="3877"/>
      <c r="AK847" s="3877"/>
      <c r="AL847" s="1874"/>
      <c r="AM847" s="1714"/>
      <c r="AN847" s="1714"/>
      <c r="AO847" s="1714"/>
      <c r="AP847" s="1714"/>
      <c r="AQ847" s="1714"/>
      <c r="AR847" s="1714"/>
      <c r="AS847" s="1714"/>
      <c r="AT847" s="1714"/>
      <c r="AU847" s="1714"/>
      <c r="AV847" s="1714"/>
      <c r="AW847" s="1714"/>
      <c r="AX847" s="1714"/>
      <c r="AY847" s="1714"/>
      <c r="AZ847" s="1714"/>
      <c r="BA847" s="1714"/>
      <c r="BB847" s="1714"/>
      <c r="BC847" s="1714"/>
      <c r="BD847" s="1714"/>
      <c r="BE847" s="1714"/>
      <c r="BF847" s="1714"/>
    </row>
    <row r="848" spans="1:58" ht="12" customHeight="1">
      <c r="A848" s="1088" t="s">
        <v>1395</v>
      </c>
      <c r="D848" s="1082"/>
      <c r="E848" s="1092"/>
      <c r="F848" s="3896"/>
      <c r="G848" s="1112"/>
      <c r="H848" s="1112"/>
      <c r="I848" s="3893" t="s">
        <v>1451</v>
      </c>
      <c r="J848" s="3893"/>
      <c r="K848" s="3893"/>
      <c r="L848" s="1095"/>
      <c r="M848" s="1095"/>
      <c r="N848" s="1096"/>
      <c r="O848" s="1096"/>
      <c r="P848" s="1096"/>
      <c r="Q848" s="1096"/>
      <c r="R848" s="1096"/>
      <c r="S848" s="1096"/>
      <c r="T848" s="1096"/>
      <c r="U848" s="1096"/>
      <c r="V848" s="1096"/>
      <c r="W848" s="1096"/>
      <c r="X848" s="1096"/>
      <c r="Y848" s="1096"/>
      <c r="Z848" s="1096"/>
      <c r="AA848" s="1096"/>
      <c r="AB848" s="1096"/>
      <c r="AC848" s="1096"/>
      <c r="AD848" s="1096"/>
      <c r="AE848" s="1096"/>
      <c r="AF848" s="1096"/>
      <c r="AG848" s="1095"/>
      <c r="AH848" s="1095"/>
      <c r="AI848" s="1096"/>
      <c r="AJ848" s="1095"/>
      <c r="AK848" s="1096"/>
      <c r="AL848" s="1874"/>
      <c r="AM848" s="1714"/>
      <c r="AN848" s="1714"/>
      <c r="AO848" s="1714"/>
      <c r="AP848" s="1714"/>
      <c r="AQ848" s="1714"/>
      <c r="AR848" s="1714"/>
      <c r="AS848" s="1714"/>
      <c r="AT848" s="1714"/>
      <c r="AU848" s="1714"/>
      <c r="AV848" s="1714"/>
      <c r="AW848" s="1714"/>
      <c r="AX848" s="1714"/>
      <c r="AY848" s="1714"/>
      <c r="AZ848" s="1714"/>
      <c r="BA848" s="1714"/>
      <c r="BB848" s="1714"/>
      <c r="BC848" s="1714"/>
      <c r="BD848" s="1714"/>
      <c r="BE848" s="1714"/>
      <c r="BF848" s="1714"/>
    </row>
    <row r="849" spans="1:58" ht="0.75" customHeight="1">
      <c r="A849" s="1088" t="s">
        <v>1395</v>
      </c>
      <c r="D849" s="1082"/>
      <c r="E849" s="1092"/>
      <c r="F849" s="3894">
        <v>2029</v>
      </c>
      <c r="G849" s="3885"/>
      <c r="H849" s="3898" t="s">
        <v>421</v>
      </c>
      <c r="I849" s="3899"/>
      <c r="J849" s="3891"/>
      <c r="K849" s="3891"/>
      <c r="L849" s="3892"/>
      <c r="M849" s="3743"/>
      <c r="N849" s="1922"/>
      <c r="O849" s="1921"/>
      <c r="P849" s="1922"/>
      <c r="Q849" s="1922"/>
      <c r="R849" s="1922"/>
      <c r="S849" s="1922"/>
      <c r="T849" s="1922"/>
      <c r="U849" s="1922"/>
      <c r="V849" s="1922"/>
      <c r="W849" s="1922"/>
      <c r="X849" s="1922"/>
      <c r="Y849" s="1922"/>
      <c r="Z849" s="1922"/>
      <c r="AA849" s="1922"/>
      <c r="AB849" s="1922"/>
      <c r="AC849" s="1922"/>
      <c r="AD849" s="1922"/>
      <c r="AE849" s="1922"/>
      <c r="AF849" s="3897"/>
      <c r="AG849" s="3892"/>
      <c r="AH849" s="3892"/>
      <c r="AI849" s="3897"/>
      <c r="AJ849" s="3892"/>
      <c r="AK849" s="3892"/>
      <c r="AL849" s="1874"/>
      <c r="AM849" s="1714"/>
      <c r="AN849" s="1714"/>
      <c r="AO849" s="1714"/>
      <c r="AP849" s="1714"/>
      <c r="AQ849" s="1714"/>
      <c r="AR849" s="1714"/>
      <c r="AS849" s="1714"/>
      <c r="AT849" s="1714"/>
      <c r="AU849" s="1714"/>
      <c r="AV849" s="1714"/>
      <c r="AW849" s="1714"/>
      <c r="AX849" s="1714"/>
      <c r="AY849" s="1714"/>
      <c r="AZ849" s="1714"/>
      <c r="BA849" s="1714"/>
      <c r="BB849" s="1714"/>
      <c r="BC849" s="1714"/>
      <c r="BD849" s="1714"/>
      <c r="BE849" s="1714"/>
      <c r="BF849" s="1714"/>
    </row>
    <row r="850" spans="1:58" ht="0.75" customHeight="1">
      <c r="A850" s="1088" t="s">
        <v>1395</v>
      </c>
      <c r="D850" s="1082"/>
      <c r="E850" s="1092"/>
      <c r="F850" s="3894"/>
      <c r="G850" s="3885"/>
      <c r="H850" s="3898"/>
      <c r="I850" s="3899"/>
      <c r="J850" s="3891"/>
      <c r="K850" s="3891"/>
      <c r="L850" s="3892"/>
      <c r="M850" s="3743"/>
      <c r="N850" s="3900"/>
      <c r="O850" s="3901"/>
      <c r="P850" s="3888"/>
      <c r="Q850" s="3891"/>
      <c r="R850" s="3891"/>
      <c r="S850" s="3891"/>
      <c r="T850" s="3891"/>
      <c r="U850" s="3891"/>
      <c r="V850" s="3891"/>
      <c r="W850" s="3891"/>
      <c r="X850" s="3891"/>
      <c r="Y850" s="3891"/>
      <c r="Z850" s="1923"/>
      <c r="AA850" s="1924"/>
      <c r="AB850" s="1924"/>
      <c r="AC850" s="1925"/>
      <c r="AD850" s="1925"/>
      <c r="AE850" s="1926"/>
      <c r="AF850" s="3897"/>
      <c r="AG850" s="3892"/>
      <c r="AH850" s="3892"/>
      <c r="AI850" s="3897"/>
      <c r="AJ850" s="3892"/>
      <c r="AK850" s="3892"/>
      <c r="AL850" s="1874"/>
      <c r="AM850" s="1714"/>
      <c r="AN850" s="1714"/>
      <c r="AO850" s="1714"/>
      <c r="AP850" s="1714"/>
      <c r="AQ850" s="1714"/>
      <c r="AR850" s="1714"/>
      <c r="AS850" s="1714"/>
      <c r="AT850" s="1714"/>
      <c r="AU850" s="1714"/>
      <c r="AV850" s="1714"/>
      <c r="AW850" s="1714"/>
      <c r="AX850" s="1714"/>
      <c r="AY850" s="1714"/>
      <c r="AZ850" s="1714"/>
      <c r="BA850" s="1714"/>
      <c r="BB850" s="1714"/>
      <c r="BC850" s="1714"/>
      <c r="BD850" s="1714"/>
      <c r="BE850" s="1714"/>
      <c r="BF850" s="1714"/>
    </row>
    <row r="851" spans="1:58" ht="0.75" customHeight="1">
      <c r="A851" s="1088" t="s">
        <v>1395</v>
      </c>
      <c r="D851" s="1082"/>
      <c r="E851" s="1092"/>
      <c r="F851" s="3894"/>
      <c r="G851" s="3885"/>
      <c r="H851" s="3898"/>
      <c r="I851" s="3899"/>
      <c r="J851" s="3891"/>
      <c r="K851" s="3891"/>
      <c r="L851" s="3892"/>
      <c r="M851" s="3743"/>
      <c r="N851" s="3900"/>
      <c r="O851" s="3901"/>
      <c r="P851" s="3889"/>
      <c r="Q851" s="3891"/>
      <c r="R851" s="3891"/>
      <c r="S851" s="3891"/>
      <c r="T851" s="3891"/>
      <c r="U851" s="3891"/>
      <c r="V851" s="3891"/>
      <c r="W851" s="3891"/>
      <c r="X851" s="3891"/>
      <c r="Y851" s="3891"/>
      <c r="Z851" s="1927"/>
      <c r="AA851" s="1928"/>
      <c r="AB851" s="1929"/>
      <c r="AC851" s="1930"/>
      <c r="AD851" s="1929"/>
      <c r="AE851" s="1930"/>
      <c r="AF851" s="3897"/>
      <c r="AG851" s="3892"/>
      <c r="AH851" s="3892"/>
      <c r="AI851" s="3897"/>
      <c r="AJ851" s="3892"/>
      <c r="AK851" s="3892"/>
      <c r="AL851" s="1874"/>
      <c r="AM851" s="1714"/>
      <c r="AN851" s="1714"/>
      <c r="AO851" s="1714"/>
      <c r="AP851" s="1714"/>
      <c r="AQ851" s="1714"/>
      <c r="AR851" s="1714"/>
      <c r="AS851" s="1714"/>
      <c r="AT851" s="1714"/>
      <c r="AU851" s="1714"/>
      <c r="AV851" s="1714"/>
      <c r="AW851" s="1714"/>
      <c r="AX851" s="1714"/>
      <c r="AY851" s="1714"/>
      <c r="AZ851" s="1714"/>
      <c r="BA851" s="1714"/>
      <c r="BB851" s="1714"/>
      <c r="BC851" s="1714"/>
      <c r="BD851" s="1714"/>
      <c r="BE851" s="1714"/>
      <c r="BF851" s="1714"/>
    </row>
    <row r="852" spans="1:58" ht="0.75" customHeight="1">
      <c r="A852" s="1088" t="s">
        <v>1395</v>
      </c>
      <c r="D852" s="1082"/>
      <c r="E852" s="1092"/>
      <c r="F852" s="3894"/>
      <c r="G852" s="3885"/>
      <c r="H852" s="3898"/>
      <c r="I852" s="3899"/>
      <c r="J852" s="3891"/>
      <c r="K852" s="3891"/>
      <c r="L852" s="3892"/>
      <c r="M852" s="3743"/>
      <c r="N852" s="3900"/>
      <c r="O852" s="3901"/>
      <c r="P852" s="3890"/>
      <c r="Q852" s="3891"/>
      <c r="R852" s="3891"/>
      <c r="S852" s="3891"/>
      <c r="T852" s="3891"/>
      <c r="U852" s="3891"/>
      <c r="V852" s="3891"/>
      <c r="W852" s="3891"/>
      <c r="X852" s="3891"/>
      <c r="Y852" s="3891"/>
      <c r="Z852" s="1923"/>
      <c r="AA852" s="1924"/>
      <c r="AB852" s="1931"/>
      <c r="AC852" s="1925"/>
      <c r="AD852" s="1925"/>
      <c r="AE852" s="1932"/>
      <c r="AF852" s="3897"/>
      <c r="AG852" s="3892"/>
      <c r="AH852" s="3892"/>
      <c r="AI852" s="3897"/>
      <c r="AJ852" s="3892"/>
      <c r="AK852" s="3892"/>
      <c r="AL852" s="1874"/>
      <c r="AM852" s="1714"/>
      <c r="AN852" s="1714"/>
      <c r="AO852" s="1714"/>
      <c r="AP852" s="1714"/>
      <c r="AQ852" s="1714"/>
      <c r="AR852" s="1714"/>
      <c r="AS852" s="1714"/>
      <c r="AT852" s="1714"/>
      <c r="AU852" s="1714"/>
      <c r="AV852" s="1714"/>
      <c r="AW852" s="1714"/>
      <c r="AX852" s="1714"/>
      <c r="AY852" s="1714"/>
      <c r="AZ852" s="1714"/>
      <c r="BA852" s="1714"/>
      <c r="BB852" s="1714"/>
      <c r="BC852" s="1714"/>
      <c r="BD852" s="1714"/>
      <c r="BE852" s="1714"/>
      <c r="BF852" s="1714"/>
    </row>
    <row r="853" spans="1:58" ht="0.75" customHeight="1">
      <c r="A853" s="1088" t="s">
        <v>1395</v>
      </c>
      <c r="D853" s="1082"/>
      <c r="E853" s="1092"/>
      <c r="F853" s="3894"/>
      <c r="G853" s="3885"/>
      <c r="H853" s="3898"/>
      <c r="I853" s="3899"/>
      <c r="J853" s="3891"/>
      <c r="K853" s="3891"/>
      <c r="L853" s="3892"/>
      <c r="M853" s="3743"/>
      <c r="N853" s="1924"/>
      <c r="O853" s="1924"/>
      <c r="P853" s="1931"/>
      <c r="Q853" s="1924"/>
      <c r="R853" s="1924"/>
      <c r="S853" s="1924"/>
      <c r="T853" s="1924"/>
      <c r="U853" s="1924"/>
      <c r="V853" s="1924"/>
      <c r="W853" s="1924"/>
      <c r="X853" s="1924"/>
      <c r="Y853" s="1924"/>
      <c r="Z853" s="1924"/>
      <c r="AA853" s="1924"/>
      <c r="AB853" s="1924"/>
      <c r="AC853" s="1924"/>
      <c r="AD853" s="1924"/>
      <c r="AE853" s="1933"/>
      <c r="AF853" s="3897"/>
      <c r="AG853" s="3892"/>
      <c r="AH853" s="3892"/>
      <c r="AI853" s="3897"/>
      <c r="AJ853" s="3892"/>
      <c r="AK853" s="3892"/>
      <c r="AL853" s="1874"/>
      <c r="AM853" s="1714"/>
      <c r="AN853" s="1714"/>
      <c r="AO853" s="1714"/>
      <c r="AP853" s="1714"/>
      <c r="AQ853" s="1714"/>
      <c r="AR853" s="1714"/>
      <c r="AS853" s="1714"/>
      <c r="AT853" s="1714"/>
      <c r="AU853" s="1714"/>
      <c r="AV853" s="1714"/>
      <c r="AW853" s="1714"/>
      <c r="AX853" s="1714"/>
      <c r="AY853" s="1714"/>
      <c r="AZ853" s="1714"/>
      <c r="BA853" s="1714"/>
      <c r="BB853" s="1714"/>
      <c r="BC853" s="1714"/>
      <c r="BD853" s="1714"/>
      <c r="BE853" s="1714"/>
      <c r="BF853" s="1714"/>
    </row>
    <row r="854" spans="1:58" ht="11.25" customHeight="1">
      <c r="A854" s="1088" t="s">
        <v>1395</v>
      </c>
      <c r="D854" s="1082"/>
      <c r="E854" s="1092"/>
      <c r="F854" s="3895"/>
      <c r="G854" s="3853" t="s">
        <v>90</v>
      </c>
      <c r="H854" s="3885" t="s">
        <v>164</v>
      </c>
      <c r="I854" s="3886"/>
      <c r="J854" s="3883"/>
      <c r="K854" s="3887" t="s">
        <v>1521</v>
      </c>
      <c r="L854" s="3599" t="s">
        <v>6</v>
      </c>
      <c r="M854" s="3600"/>
      <c r="N854" s="1872"/>
      <c r="O854" s="1099" t="s">
        <v>421</v>
      </c>
      <c r="P854" s="1100"/>
      <c r="Q854" s="1100"/>
      <c r="R854" s="1100"/>
      <c r="S854" s="1100"/>
      <c r="T854" s="1100"/>
      <c r="U854" s="1100"/>
      <c r="V854" s="1100"/>
      <c r="W854" s="1100"/>
      <c r="X854" s="1100"/>
      <c r="Y854" s="1100"/>
      <c r="Z854" s="1100"/>
      <c r="AA854" s="1100"/>
      <c r="AB854" s="1100"/>
      <c r="AC854" s="1100"/>
      <c r="AD854" s="1100"/>
      <c r="AE854" s="1100"/>
      <c r="AF854" s="3876">
        <v>2035</v>
      </c>
      <c r="AG854" s="3877" t="s">
        <v>1447</v>
      </c>
      <c r="AH854" s="3877" t="s">
        <v>1522</v>
      </c>
      <c r="AI854" s="3876">
        <v>2035</v>
      </c>
      <c r="AJ854" s="3877" t="s">
        <v>1447</v>
      </c>
      <c r="AK854" s="3877" t="s">
        <v>1522</v>
      </c>
      <c r="AL854" s="1874"/>
      <c r="AM854" s="1714"/>
      <c r="AN854" s="1714"/>
      <c r="AO854" s="1714"/>
      <c r="AP854" s="1714"/>
      <c r="AQ854" s="1714"/>
      <c r="AR854" s="1714"/>
      <c r="AS854" s="1714"/>
      <c r="AT854" s="1714"/>
      <c r="AU854" s="1714"/>
      <c r="AV854" s="1714"/>
      <c r="AW854" s="1714"/>
      <c r="AX854" s="1714"/>
      <c r="AY854" s="1714"/>
      <c r="AZ854" s="1714"/>
      <c r="BA854" s="1714"/>
      <c r="BB854" s="1714"/>
      <c r="BC854" s="1714"/>
      <c r="BD854" s="1714"/>
      <c r="BE854" s="1714"/>
      <c r="BF854" s="1714"/>
    </row>
    <row r="855" spans="1:58" ht="11.25" customHeight="1">
      <c r="A855" s="1088" t="s">
        <v>1395</v>
      </c>
      <c r="D855" s="1082"/>
      <c r="E855" s="1092"/>
      <c r="F855" s="3895"/>
      <c r="G855" s="3875"/>
      <c r="H855" s="3885" t="s">
        <v>421</v>
      </c>
      <c r="I855" s="3886"/>
      <c r="J855" s="3883"/>
      <c r="K855" s="3887"/>
      <c r="L855" s="3599"/>
      <c r="M855" s="3600"/>
      <c r="N855" s="3878"/>
      <c r="O855" s="3879">
        <v>1</v>
      </c>
      <c r="P855" s="3880" t="s">
        <v>50</v>
      </c>
      <c r="Q855" s="3883" t="s">
        <v>1449</v>
      </c>
      <c r="R855" s="3884" t="s">
        <v>1438</v>
      </c>
      <c r="S855" s="3884" t="s">
        <v>147</v>
      </c>
      <c r="T855" s="3884" t="s">
        <v>147</v>
      </c>
      <c r="U855" s="3884" t="s">
        <v>148</v>
      </c>
      <c r="V855" s="3884" t="s">
        <v>1523</v>
      </c>
      <c r="W855" s="3884" t="s">
        <v>1524</v>
      </c>
      <c r="X855" s="3884" t="s">
        <v>1525</v>
      </c>
      <c r="Y855" s="3884" t="s">
        <v>1442</v>
      </c>
      <c r="Z855" s="1097"/>
      <c r="AA855" s="1098"/>
      <c r="AB855" s="1098"/>
      <c r="AC855" s="1102"/>
      <c r="AD855" s="1102"/>
      <c r="AE855" s="1103"/>
      <c r="AF855" s="3876"/>
      <c r="AG855" s="3877"/>
      <c r="AH855" s="3877"/>
      <c r="AI855" s="3876"/>
      <c r="AJ855" s="3877"/>
      <c r="AK855" s="3877"/>
      <c r="AL855" s="1874"/>
      <c r="AM855" s="1714"/>
      <c r="AN855" s="1714"/>
      <c r="AO855" s="1714"/>
      <c r="AP855" s="1714"/>
      <c r="AQ855" s="1714"/>
      <c r="AR855" s="1714"/>
      <c r="AS855" s="1714"/>
      <c r="AT855" s="1714"/>
      <c r="AU855" s="1714"/>
      <c r="AV855" s="1714"/>
      <c r="AW855" s="1714"/>
      <c r="AX855" s="1714"/>
      <c r="AY855" s="1714"/>
      <c r="AZ855" s="1714"/>
      <c r="BA855" s="1714"/>
      <c r="BB855" s="1714"/>
      <c r="BC855" s="1714"/>
      <c r="BD855" s="1714"/>
      <c r="BE855" s="1714"/>
      <c r="BF855" s="1714"/>
    </row>
    <row r="856" spans="1:58" ht="11.25" customHeight="1">
      <c r="A856" s="1088" t="s">
        <v>1395</v>
      </c>
      <c r="D856" s="1082"/>
      <c r="E856" s="1092"/>
      <c r="F856" s="3895"/>
      <c r="G856" s="3875"/>
      <c r="H856" s="3885" t="s">
        <v>421</v>
      </c>
      <c r="I856" s="3886"/>
      <c r="J856" s="3883"/>
      <c r="K856" s="3887"/>
      <c r="L856" s="3599"/>
      <c r="M856" s="3600"/>
      <c r="N856" s="3878"/>
      <c r="O856" s="3879"/>
      <c r="P856" s="3881"/>
      <c r="Q856" s="3883"/>
      <c r="R856" s="3874"/>
      <c r="S856" s="3884"/>
      <c r="T856" s="3874"/>
      <c r="U856" s="3874"/>
      <c r="V856" s="3874"/>
      <c r="W856" s="3874"/>
      <c r="X856" s="3874"/>
      <c r="Y856" s="3874"/>
      <c r="Z856" s="1719"/>
      <c r="AA856" s="1686">
        <v>1</v>
      </c>
      <c r="AB856" s="1101" t="s">
        <v>1443</v>
      </c>
      <c r="AC856" s="1091">
        <v>200</v>
      </c>
      <c r="AD856" s="1101" t="str">
        <f>AB856</f>
        <v xml:space="preserve">  Прибыль направляемая на инвестиции</v>
      </c>
      <c r="AE856" s="1091">
        <v>0</v>
      </c>
      <c r="AF856" s="3876"/>
      <c r="AG856" s="3877"/>
      <c r="AH856" s="3877"/>
      <c r="AI856" s="3876"/>
      <c r="AJ856" s="3877"/>
      <c r="AK856" s="3877"/>
      <c r="AL856" s="1874"/>
      <c r="AM856" s="1714"/>
      <c r="AN856" s="1714"/>
      <c r="AO856" s="1714"/>
      <c r="AP856" s="1714"/>
      <c r="AQ856" s="1714"/>
      <c r="AR856" s="1714"/>
      <c r="AS856" s="1714"/>
      <c r="AT856" s="1714"/>
      <c r="AU856" s="1714"/>
      <c r="AV856" s="1714"/>
      <c r="AW856" s="1714"/>
      <c r="AX856" s="1714"/>
      <c r="AY856" s="1714"/>
      <c r="AZ856" s="1714"/>
      <c r="BA856" s="1714"/>
      <c r="BB856" s="1714"/>
      <c r="BC856" s="1714"/>
      <c r="BD856" s="1714"/>
      <c r="BE856" s="1714"/>
      <c r="BF856" s="1714"/>
    </row>
    <row r="857" spans="1:58" ht="11.25" customHeight="1">
      <c r="A857" s="1088" t="s">
        <v>1395</v>
      </c>
      <c r="D857" s="1082"/>
      <c r="E857" s="1092"/>
      <c r="F857" s="3895"/>
      <c r="G857" s="3875"/>
      <c r="H857" s="3885" t="s">
        <v>421</v>
      </c>
      <c r="I857" s="3886"/>
      <c r="J857" s="3883"/>
      <c r="K857" s="3887"/>
      <c r="L857" s="3599"/>
      <c r="M857" s="3600"/>
      <c r="N857" s="3878"/>
      <c r="O857" s="3879"/>
      <c r="P857" s="3882"/>
      <c r="Q857" s="3883"/>
      <c r="R857" s="3874"/>
      <c r="S857" s="3884"/>
      <c r="T857" s="3874"/>
      <c r="U857" s="3874"/>
      <c r="V857" s="3874"/>
      <c r="W857" s="3874"/>
      <c r="X857" s="3874"/>
      <c r="Y857" s="3874"/>
      <c r="Z857" s="1097"/>
      <c r="AA857" s="1098"/>
      <c r="AB857" s="1163" t="s">
        <v>1444</v>
      </c>
      <c r="AC857" s="1102"/>
      <c r="AD857" s="1102"/>
      <c r="AE857" s="1104"/>
      <c r="AF857" s="3876"/>
      <c r="AG857" s="3877"/>
      <c r="AH857" s="3877"/>
      <c r="AI857" s="3876"/>
      <c r="AJ857" s="3877"/>
      <c r="AK857" s="3877"/>
      <c r="AL857" s="1874"/>
      <c r="AM857" s="1714"/>
      <c r="AN857" s="1714"/>
      <c r="AO857" s="1714"/>
      <c r="AP857" s="1714"/>
      <c r="AQ857" s="1714"/>
      <c r="AR857" s="1714"/>
      <c r="AS857" s="1714"/>
      <c r="AT857" s="1714"/>
      <c r="AU857" s="1714"/>
      <c r="AV857" s="1714"/>
      <c r="AW857" s="1714"/>
      <c r="AX857" s="1714"/>
      <c r="AY857" s="1714"/>
      <c r="AZ857" s="1714"/>
      <c r="BA857" s="1714"/>
      <c r="BB857" s="1714"/>
      <c r="BC857" s="1714"/>
      <c r="BD857" s="1714"/>
      <c r="BE857" s="1714"/>
      <c r="BF857" s="1714"/>
    </row>
    <row r="858" spans="1:58" ht="11.25" customHeight="1">
      <c r="A858" s="1088" t="s">
        <v>1395</v>
      </c>
      <c r="D858" s="1082"/>
      <c r="E858" s="1092"/>
      <c r="F858" s="3895"/>
      <c r="G858" s="3875"/>
      <c r="H858" s="3885" t="s">
        <v>421</v>
      </c>
      <c r="I858" s="3886"/>
      <c r="J858" s="3883"/>
      <c r="K858" s="3887"/>
      <c r="L858" s="3599"/>
      <c r="M858" s="3600"/>
      <c r="N858" s="1097"/>
      <c r="O858" s="1098"/>
      <c r="P858" s="1090" t="s">
        <v>1445</v>
      </c>
      <c r="Q858" s="1098"/>
      <c r="R858" s="1098"/>
      <c r="S858" s="1098"/>
      <c r="T858" s="1098"/>
      <c r="U858" s="1098"/>
      <c r="V858" s="1098"/>
      <c r="W858" s="1098"/>
      <c r="X858" s="1098"/>
      <c r="Y858" s="1098"/>
      <c r="Z858" s="1098"/>
      <c r="AA858" s="1098"/>
      <c r="AB858" s="1098"/>
      <c r="AC858" s="1098"/>
      <c r="AD858" s="1098"/>
      <c r="AE858" s="1105"/>
      <c r="AF858" s="3876"/>
      <c r="AG858" s="3877"/>
      <c r="AH858" s="3877"/>
      <c r="AI858" s="3876"/>
      <c r="AJ858" s="3877"/>
      <c r="AK858" s="3877"/>
      <c r="AL858" s="1874"/>
      <c r="AM858" s="1714"/>
      <c r="AN858" s="1714"/>
      <c r="AO858" s="1714"/>
      <c r="AP858" s="1714"/>
      <c r="AQ858" s="1714"/>
      <c r="AR858" s="1714"/>
      <c r="AS858" s="1714"/>
      <c r="AT858" s="1714"/>
      <c r="AU858" s="1714"/>
      <c r="AV858" s="1714"/>
      <c r="AW858" s="1714"/>
      <c r="AX858" s="1714"/>
      <c r="AY858" s="1714"/>
      <c r="AZ858" s="1714"/>
      <c r="BA858" s="1714"/>
      <c r="BB858" s="1714"/>
      <c r="BC858" s="1714"/>
      <c r="BD858" s="1714"/>
      <c r="BE858" s="1714"/>
      <c r="BF858" s="1714"/>
    </row>
    <row r="859" spans="1:58" ht="12" customHeight="1">
      <c r="A859" s="1088" t="s">
        <v>1395</v>
      </c>
      <c r="D859" s="1082"/>
      <c r="E859" s="1092"/>
      <c r="F859" s="3896"/>
      <c r="G859" s="1112"/>
      <c r="H859" s="1112"/>
      <c r="I859" s="3893" t="s">
        <v>1451</v>
      </c>
      <c r="J859" s="3893"/>
      <c r="K859" s="3893"/>
      <c r="L859" s="1095"/>
      <c r="M859" s="1095"/>
      <c r="N859" s="1096"/>
      <c r="O859" s="1096"/>
      <c r="P859" s="1096"/>
      <c r="Q859" s="1096"/>
      <c r="R859" s="1096"/>
      <c r="S859" s="1096"/>
      <c r="T859" s="1096"/>
      <c r="U859" s="1096"/>
      <c r="V859" s="1096"/>
      <c r="W859" s="1096"/>
      <c r="X859" s="1096"/>
      <c r="Y859" s="1096"/>
      <c r="Z859" s="1096"/>
      <c r="AA859" s="1096"/>
      <c r="AB859" s="1096"/>
      <c r="AC859" s="1096"/>
      <c r="AD859" s="1096"/>
      <c r="AE859" s="1096"/>
      <c r="AF859" s="1096"/>
      <c r="AG859" s="1095"/>
      <c r="AH859" s="1095"/>
      <c r="AI859" s="1096"/>
      <c r="AJ859" s="1095"/>
      <c r="AK859" s="1096"/>
      <c r="AL859" s="1874"/>
      <c r="AM859" s="1714"/>
      <c r="AN859" s="1714"/>
      <c r="AO859" s="1714"/>
      <c r="AP859" s="1714"/>
      <c r="AQ859" s="1714"/>
      <c r="AR859" s="1714"/>
      <c r="AS859" s="1714"/>
      <c r="AT859" s="1714"/>
      <c r="AU859" s="1714"/>
      <c r="AV859" s="1714"/>
      <c r="AW859" s="1714"/>
      <c r="AX859" s="1714"/>
      <c r="AY859" s="1714"/>
      <c r="AZ859" s="1714"/>
      <c r="BA859" s="1714"/>
      <c r="BB859" s="1714"/>
      <c r="BC859" s="1714"/>
      <c r="BD859" s="1714"/>
      <c r="BE859" s="1714"/>
      <c r="BF859" s="1714"/>
    </row>
    <row r="860" spans="1:58" ht="0.75" customHeight="1">
      <c r="A860" s="1088" t="s">
        <v>1395</v>
      </c>
      <c r="D860" s="1082"/>
      <c r="E860" s="1092"/>
      <c r="F860" s="3894">
        <v>2030</v>
      </c>
      <c r="G860" s="3885"/>
      <c r="H860" s="3898" t="s">
        <v>421</v>
      </c>
      <c r="I860" s="3899"/>
      <c r="J860" s="3891"/>
      <c r="K860" s="3891"/>
      <c r="L860" s="3892"/>
      <c r="M860" s="3743"/>
      <c r="N860" s="1922"/>
      <c r="O860" s="1921"/>
      <c r="P860" s="1922"/>
      <c r="Q860" s="1922"/>
      <c r="R860" s="1922"/>
      <c r="S860" s="1922"/>
      <c r="T860" s="1922"/>
      <c r="U860" s="1922"/>
      <c r="V860" s="1922"/>
      <c r="W860" s="1922"/>
      <c r="X860" s="1922"/>
      <c r="Y860" s="1922"/>
      <c r="Z860" s="1922"/>
      <c r="AA860" s="1922"/>
      <c r="AB860" s="1922"/>
      <c r="AC860" s="1922"/>
      <c r="AD860" s="1922"/>
      <c r="AE860" s="1922"/>
      <c r="AF860" s="3897"/>
      <c r="AG860" s="3892"/>
      <c r="AH860" s="3892"/>
      <c r="AI860" s="3897"/>
      <c r="AJ860" s="3892"/>
      <c r="AK860" s="3892"/>
      <c r="AL860" s="1874"/>
      <c r="AM860" s="1714"/>
      <c r="AN860" s="1714"/>
      <c r="AO860" s="1714"/>
      <c r="AP860" s="1714"/>
      <c r="AQ860" s="1714"/>
      <c r="AR860" s="1714"/>
      <c r="AS860" s="1714"/>
      <c r="AT860" s="1714"/>
      <c r="AU860" s="1714"/>
      <c r="AV860" s="1714"/>
      <c r="AW860" s="1714"/>
      <c r="AX860" s="1714"/>
      <c r="AY860" s="1714"/>
      <c r="AZ860" s="1714"/>
      <c r="BA860" s="1714"/>
      <c r="BB860" s="1714"/>
      <c r="BC860" s="1714"/>
      <c r="BD860" s="1714"/>
      <c r="BE860" s="1714"/>
      <c r="BF860" s="1714"/>
    </row>
    <row r="861" spans="1:58" ht="0.75" customHeight="1">
      <c r="A861" s="1088" t="s">
        <v>1395</v>
      </c>
      <c r="D861" s="1082"/>
      <c r="E861" s="1092"/>
      <c r="F861" s="3894"/>
      <c r="G861" s="3885"/>
      <c r="H861" s="3898"/>
      <c r="I861" s="3899"/>
      <c r="J861" s="3891"/>
      <c r="K861" s="3891"/>
      <c r="L861" s="3892"/>
      <c r="M861" s="3743"/>
      <c r="N861" s="3900"/>
      <c r="O861" s="3901"/>
      <c r="P861" s="3888"/>
      <c r="Q861" s="3891"/>
      <c r="R861" s="3891"/>
      <c r="S861" s="3891"/>
      <c r="T861" s="3891"/>
      <c r="U861" s="3891"/>
      <c r="V861" s="3891"/>
      <c r="W861" s="3891"/>
      <c r="X861" s="3891"/>
      <c r="Y861" s="3891"/>
      <c r="Z861" s="1923"/>
      <c r="AA861" s="1924"/>
      <c r="AB861" s="1924"/>
      <c r="AC861" s="1925"/>
      <c r="AD861" s="1925"/>
      <c r="AE861" s="1926"/>
      <c r="AF861" s="3897"/>
      <c r="AG861" s="3892"/>
      <c r="AH861" s="3892"/>
      <c r="AI861" s="3897"/>
      <c r="AJ861" s="3892"/>
      <c r="AK861" s="3892"/>
      <c r="AL861" s="1874"/>
      <c r="AM861" s="1714"/>
      <c r="AN861" s="1714"/>
      <c r="AO861" s="1714"/>
      <c r="AP861" s="1714"/>
      <c r="AQ861" s="1714"/>
      <c r="AR861" s="1714"/>
      <c r="AS861" s="1714"/>
      <c r="AT861" s="1714"/>
      <c r="AU861" s="1714"/>
      <c r="AV861" s="1714"/>
      <c r="AW861" s="1714"/>
      <c r="AX861" s="1714"/>
      <c r="AY861" s="1714"/>
      <c r="AZ861" s="1714"/>
      <c r="BA861" s="1714"/>
      <c r="BB861" s="1714"/>
      <c r="BC861" s="1714"/>
      <c r="BD861" s="1714"/>
      <c r="BE861" s="1714"/>
      <c r="BF861" s="1714"/>
    </row>
    <row r="862" spans="1:58" ht="0.75" customHeight="1">
      <c r="A862" s="1088" t="s">
        <v>1395</v>
      </c>
      <c r="D862" s="1082"/>
      <c r="E862" s="1092"/>
      <c r="F862" s="3894"/>
      <c r="G862" s="3885"/>
      <c r="H862" s="3898"/>
      <c r="I862" s="3899"/>
      <c r="J862" s="3891"/>
      <c r="K862" s="3891"/>
      <c r="L862" s="3892"/>
      <c r="M862" s="3743"/>
      <c r="N862" s="3900"/>
      <c r="O862" s="3901"/>
      <c r="P862" s="3889"/>
      <c r="Q862" s="3891"/>
      <c r="R862" s="3891"/>
      <c r="S862" s="3891"/>
      <c r="T862" s="3891"/>
      <c r="U862" s="3891"/>
      <c r="V862" s="3891"/>
      <c r="W862" s="3891"/>
      <c r="X862" s="3891"/>
      <c r="Y862" s="3891"/>
      <c r="Z862" s="1927"/>
      <c r="AA862" s="1928"/>
      <c r="AB862" s="1929"/>
      <c r="AC862" s="1930"/>
      <c r="AD862" s="1929"/>
      <c r="AE862" s="1930"/>
      <c r="AF862" s="3897"/>
      <c r="AG862" s="3892"/>
      <c r="AH862" s="3892"/>
      <c r="AI862" s="3897"/>
      <c r="AJ862" s="3892"/>
      <c r="AK862" s="3892"/>
      <c r="AL862" s="1874"/>
      <c r="AM862" s="1714"/>
      <c r="AN862" s="1714"/>
      <c r="AO862" s="1714"/>
      <c r="AP862" s="1714"/>
      <c r="AQ862" s="1714"/>
      <c r="AR862" s="1714"/>
      <c r="AS862" s="1714"/>
      <c r="AT862" s="1714"/>
      <c r="AU862" s="1714"/>
      <c r="AV862" s="1714"/>
      <c r="AW862" s="1714"/>
      <c r="AX862" s="1714"/>
      <c r="AY862" s="1714"/>
      <c r="AZ862" s="1714"/>
      <c r="BA862" s="1714"/>
      <c r="BB862" s="1714"/>
      <c r="BC862" s="1714"/>
      <c r="BD862" s="1714"/>
      <c r="BE862" s="1714"/>
      <c r="BF862" s="1714"/>
    </row>
    <row r="863" spans="1:58" ht="0.75" customHeight="1">
      <c r="A863" s="1088" t="s">
        <v>1395</v>
      </c>
      <c r="D863" s="1082"/>
      <c r="E863" s="1092"/>
      <c r="F863" s="3894"/>
      <c r="G863" s="3885"/>
      <c r="H863" s="3898"/>
      <c r="I863" s="3899"/>
      <c r="J863" s="3891"/>
      <c r="K863" s="3891"/>
      <c r="L863" s="3892"/>
      <c r="M863" s="3743"/>
      <c r="N863" s="3900"/>
      <c r="O863" s="3901"/>
      <c r="P863" s="3890"/>
      <c r="Q863" s="3891"/>
      <c r="R863" s="3891"/>
      <c r="S863" s="3891"/>
      <c r="T863" s="3891"/>
      <c r="U863" s="3891"/>
      <c r="V863" s="3891"/>
      <c r="W863" s="3891"/>
      <c r="X863" s="3891"/>
      <c r="Y863" s="3891"/>
      <c r="Z863" s="1923"/>
      <c r="AA863" s="1924"/>
      <c r="AB863" s="1931"/>
      <c r="AC863" s="1925"/>
      <c r="AD863" s="1925"/>
      <c r="AE863" s="1932"/>
      <c r="AF863" s="3897"/>
      <c r="AG863" s="3892"/>
      <c r="AH863" s="3892"/>
      <c r="AI863" s="3897"/>
      <c r="AJ863" s="3892"/>
      <c r="AK863" s="3892"/>
      <c r="AL863" s="1874"/>
      <c r="AM863" s="1714"/>
      <c r="AN863" s="1714"/>
      <c r="AO863" s="1714"/>
      <c r="AP863" s="1714"/>
      <c r="AQ863" s="1714"/>
      <c r="AR863" s="1714"/>
      <c r="AS863" s="1714"/>
      <c r="AT863" s="1714"/>
      <c r="AU863" s="1714"/>
      <c r="AV863" s="1714"/>
      <c r="AW863" s="1714"/>
      <c r="AX863" s="1714"/>
      <c r="AY863" s="1714"/>
      <c r="AZ863" s="1714"/>
      <c r="BA863" s="1714"/>
      <c r="BB863" s="1714"/>
      <c r="BC863" s="1714"/>
      <c r="BD863" s="1714"/>
      <c r="BE863" s="1714"/>
      <c r="BF863" s="1714"/>
    </row>
    <row r="864" spans="1:58" ht="0.75" customHeight="1">
      <c r="A864" s="1088" t="s">
        <v>1395</v>
      </c>
      <c r="D864" s="1082"/>
      <c r="E864" s="1092"/>
      <c r="F864" s="3894"/>
      <c r="G864" s="3885"/>
      <c r="H864" s="3898"/>
      <c r="I864" s="3899"/>
      <c r="J864" s="3891"/>
      <c r="K864" s="3891"/>
      <c r="L864" s="3892"/>
      <c r="M864" s="3743"/>
      <c r="N864" s="1924"/>
      <c r="O864" s="1924"/>
      <c r="P864" s="1931"/>
      <c r="Q864" s="1924"/>
      <c r="R864" s="1924"/>
      <c r="S864" s="1924"/>
      <c r="T864" s="1924"/>
      <c r="U864" s="1924"/>
      <c r="V864" s="1924"/>
      <c r="W864" s="1924"/>
      <c r="X864" s="1924"/>
      <c r="Y864" s="1924"/>
      <c r="Z864" s="1924"/>
      <c r="AA864" s="1924"/>
      <c r="AB864" s="1924"/>
      <c r="AC864" s="1924"/>
      <c r="AD864" s="1924"/>
      <c r="AE864" s="1933"/>
      <c r="AF864" s="3897"/>
      <c r="AG864" s="3892"/>
      <c r="AH864" s="3892"/>
      <c r="AI864" s="3897"/>
      <c r="AJ864" s="3892"/>
      <c r="AK864" s="3892"/>
      <c r="AL864" s="1874"/>
      <c r="AM864" s="1714"/>
      <c r="AN864" s="1714"/>
      <c r="AO864" s="1714"/>
      <c r="AP864" s="1714"/>
      <c r="AQ864" s="1714"/>
      <c r="AR864" s="1714"/>
      <c r="AS864" s="1714"/>
      <c r="AT864" s="1714"/>
      <c r="AU864" s="1714"/>
      <c r="AV864" s="1714"/>
      <c r="AW864" s="1714"/>
      <c r="AX864" s="1714"/>
      <c r="AY864" s="1714"/>
      <c r="AZ864" s="1714"/>
      <c r="BA864" s="1714"/>
      <c r="BB864" s="1714"/>
      <c r="BC864" s="1714"/>
      <c r="BD864" s="1714"/>
      <c r="BE864" s="1714"/>
      <c r="BF864" s="1714"/>
    </row>
    <row r="865" spans="1:58" ht="11.25" customHeight="1">
      <c r="A865" s="1088" t="s">
        <v>1395</v>
      </c>
      <c r="D865" s="1082"/>
      <c r="E865" s="1092"/>
      <c r="F865" s="3895"/>
      <c r="G865" s="3853" t="s">
        <v>90</v>
      </c>
      <c r="H865" s="3885" t="s">
        <v>164</v>
      </c>
      <c r="I865" s="3886"/>
      <c r="J865" s="3883"/>
      <c r="K865" s="3887" t="s">
        <v>1521</v>
      </c>
      <c r="L865" s="3599" t="s">
        <v>6</v>
      </c>
      <c r="M865" s="3600"/>
      <c r="N865" s="1872"/>
      <c r="O865" s="1099" t="s">
        <v>421</v>
      </c>
      <c r="P865" s="1100"/>
      <c r="Q865" s="1100"/>
      <c r="R865" s="1100"/>
      <c r="S865" s="1100"/>
      <c r="T865" s="1100"/>
      <c r="U865" s="1100"/>
      <c r="V865" s="1100"/>
      <c r="W865" s="1100"/>
      <c r="X865" s="1100"/>
      <c r="Y865" s="1100"/>
      <c r="Z865" s="1100"/>
      <c r="AA865" s="1100"/>
      <c r="AB865" s="1100"/>
      <c r="AC865" s="1100"/>
      <c r="AD865" s="1100"/>
      <c r="AE865" s="1100"/>
      <c r="AF865" s="3876">
        <v>2035</v>
      </c>
      <c r="AG865" s="3877" t="s">
        <v>1447</v>
      </c>
      <c r="AH865" s="3877" t="s">
        <v>1522</v>
      </c>
      <c r="AI865" s="3876">
        <v>2035</v>
      </c>
      <c r="AJ865" s="3877" t="s">
        <v>1447</v>
      </c>
      <c r="AK865" s="3877" t="s">
        <v>1522</v>
      </c>
      <c r="AL865" s="1874"/>
      <c r="AM865" s="1714"/>
      <c r="AN865" s="1714"/>
      <c r="AO865" s="1714"/>
      <c r="AP865" s="1714"/>
      <c r="AQ865" s="1714"/>
      <c r="AR865" s="1714"/>
      <c r="AS865" s="1714"/>
      <c r="AT865" s="1714"/>
      <c r="AU865" s="1714"/>
      <c r="AV865" s="1714"/>
      <c r="AW865" s="1714"/>
      <c r="AX865" s="1714"/>
      <c r="AY865" s="1714"/>
      <c r="AZ865" s="1714"/>
      <c r="BA865" s="1714"/>
      <c r="BB865" s="1714"/>
      <c r="BC865" s="1714"/>
      <c r="BD865" s="1714"/>
      <c r="BE865" s="1714"/>
      <c r="BF865" s="1714"/>
    </row>
    <row r="866" spans="1:58" ht="11.25" customHeight="1">
      <c r="A866" s="1088" t="s">
        <v>1395</v>
      </c>
      <c r="D866" s="1082"/>
      <c r="E866" s="1092"/>
      <c r="F866" s="3895"/>
      <c r="G866" s="3875"/>
      <c r="H866" s="3885" t="s">
        <v>421</v>
      </c>
      <c r="I866" s="3886"/>
      <c r="J866" s="3883"/>
      <c r="K866" s="3887"/>
      <c r="L866" s="3599"/>
      <c r="M866" s="3600"/>
      <c r="N866" s="3878"/>
      <c r="O866" s="3879">
        <v>1</v>
      </c>
      <c r="P866" s="3880" t="s">
        <v>50</v>
      </c>
      <c r="Q866" s="3883" t="s">
        <v>1449</v>
      </c>
      <c r="R866" s="3884" t="s">
        <v>1438</v>
      </c>
      <c r="S866" s="3884" t="s">
        <v>147</v>
      </c>
      <c r="T866" s="3884" t="s">
        <v>147</v>
      </c>
      <c r="U866" s="3884" t="s">
        <v>148</v>
      </c>
      <c r="V866" s="3884" t="s">
        <v>1523</v>
      </c>
      <c r="W866" s="3884" t="s">
        <v>1524</v>
      </c>
      <c r="X866" s="3884" t="s">
        <v>1525</v>
      </c>
      <c r="Y866" s="3884" t="s">
        <v>1442</v>
      </c>
      <c r="Z866" s="1097"/>
      <c r="AA866" s="1098"/>
      <c r="AB866" s="1098"/>
      <c r="AC866" s="1102"/>
      <c r="AD866" s="1102"/>
      <c r="AE866" s="1103"/>
      <c r="AF866" s="3876"/>
      <c r="AG866" s="3877"/>
      <c r="AH866" s="3877"/>
      <c r="AI866" s="3876"/>
      <c r="AJ866" s="3877"/>
      <c r="AK866" s="3877"/>
      <c r="AL866" s="1874"/>
      <c r="AM866" s="1714"/>
      <c r="AN866" s="1714"/>
      <c r="AO866" s="1714"/>
      <c r="AP866" s="1714"/>
      <c r="AQ866" s="1714"/>
      <c r="AR866" s="1714"/>
      <c r="AS866" s="1714"/>
      <c r="AT866" s="1714"/>
      <c r="AU866" s="1714"/>
      <c r="AV866" s="1714"/>
      <c r="AW866" s="1714"/>
      <c r="AX866" s="1714"/>
      <c r="AY866" s="1714"/>
      <c r="AZ866" s="1714"/>
      <c r="BA866" s="1714"/>
      <c r="BB866" s="1714"/>
      <c r="BC866" s="1714"/>
      <c r="BD866" s="1714"/>
      <c r="BE866" s="1714"/>
      <c r="BF866" s="1714"/>
    </row>
    <row r="867" spans="1:58" ht="11.25" customHeight="1">
      <c r="A867" s="1088" t="s">
        <v>1395</v>
      </c>
      <c r="D867" s="1082"/>
      <c r="E867" s="1092"/>
      <c r="F867" s="3895"/>
      <c r="G867" s="3875"/>
      <c r="H867" s="3885" t="s">
        <v>421</v>
      </c>
      <c r="I867" s="3886"/>
      <c r="J867" s="3883"/>
      <c r="K867" s="3887"/>
      <c r="L867" s="3599"/>
      <c r="M867" s="3600"/>
      <c r="N867" s="3878"/>
      <c r="O867" s="3879"/>
      <c r="P867" s="3881"/>
      <c r="Q867" s="3883"/>
      <c r="R867" s="3874"/>
      <c r="S867" s="3884"/>
      <c r="T867" s="3874"/>
      <c r="U867" s="3874"/>
      <c r="V867" s="3874"/>
      <c r="W867" s="3874"/>
      <c r="X867" s="3874"/>
      <c r="Y867" s="3874"/>
      <c r="Z867" s="1719"/>
      <c r="AA867" s="1686">
        <v>1</v>
      </c>
      <c r="AB867" s="1101" t="s">
        <v>1443</v>
      </c>
      <c r="AC867" s="1091">
        <v>200</v>
      </c>
      <c r="AD867" s="1101" t="str">
        <f>AB867</f>
        <v xml:space="preserve">  Прибыль направляемая на инвестиции</v>
      </c>
      <c r="AE867" s="1091">
        <v>0</v>
      </c>
      <c r="AF867" s="3876"/>
      <c r="AG867" s="3877"/>
      <c r="AH867" s="3877"/>
      <c r="AI867" s="3876"/>
      <c r="AJ867" s="3877"/>
      <c r="AK867" s="3877"/>
      <c r="AL867" s="1874"/>
      <c r="AM867" s="1714"/>
      <c r="AN867" s="1714"/>
      <c r="AO867" s="1714"/>
      <c r="AP867" s="1714"/>
      <c r="AQ867" s="1714"/>
      <c r="AR867" s="1714"/>
      <c r="AS867" s="1714"/>
      <c r="AT867" s="1714"/>
      <c r="AU867" s="1714"/>
      <c r="AV867" s="1714"/>
      <c r="AW867" s="1714"/>
      <c r="AX867" s="1714"/>
      <c r="AY867" s="1714"/>
      <c r="AZ867" s="1714"/>
      <c r="BA867" s="1714"/>
      <c r="BB867" s="1714"/>
      <c r="BC867" s="1714"/>
      <c r="BD867" s="1714"/>
      <c r="BE867" s="1714"/>
      <c r="BF867" s="1714"/>
    </row>
    <row r="868" spans="1:58" ht="11.25" customHeight="1">
      <c r="A868" s="1088" t="s">
        <v>1395</v>
      </c>
      <c r="D868" s="1082"/>
      <c r="E868" s="1092"/>
      <c r="F868" s="3895"/>
      <c r="G868" s="3875"/>
      <c r="H868" s="3885" t="s">
        <v>421</v>
      </c>
      <c r="I868" s="3886"/>
      <c r="J868" s="3883"/>
      <c r="K868" s="3887"/>
      <c r="L868" s="3599"/>
      <c r="M868" s="3600"/>
      <c r="N868" s="3878"/>
      <c r="O868" s="3879"/>
      <c r="P868" s="3882"/>
      <c r="Q868" s="3883"/>
      <c r="R868" s="3874"/>
      <c r="S868" s="3884"/>
      <c r="T868" s="3874"/>
      <c r="U868" s="3874"/>
      <c r="V868" s="3874"/>
      <c r="W868" s="3874"/>
      <c r="X868" s="3874"/>
      <c r="Y868" s="3874"/>
      <c r="Z868" s="1097"/>
      <c r="AA868" s="1098"/>
      <c r="AB868" s="1163" t="s">
        <v>1444</v>
      </c>
      <c r="AC868" s="1102"/>
      <c r="AD868" s="1102"/>
      <c r="AE868" s="1104"/>
      <c r="AF868" s="3876"/>
      <c r="AG868" s="3877"/>
      <c r="AH868" s="3877"/>
      <c r="AI868" s="3876"/>
      <c r="AJ868" s="3877"/>
      <c r="AK868" s="3877"/>
      <c r="AL868" s="1874"/>
      <c r="AM868" s="1714"/>
      <c r="AN868" s="1714"/>
      <c r="AO868" s="1714"/>
      <c r="AP868" s="1714"/>
      <c r="AQ868" s="1714"/>
      <c r="AR868" s="1714"/>
      <c r="AS868" s="1714"/>
      <c r="AT868" s="1714"/>
      <c r="AU868" s="1714"/>
      <c r="AV868" s="1714"/>
      <c r="AW868" s="1714"/>
      <c r="AX868" s="1714"/>
      <c r="AY868" s="1714"/>
      <c r="AZ868" s="1714"/>
      <c r="BA868" s="1714"/>
      <c r="BB868" s="1714"/>
      <c r="BC868" s="1714"/>
      <c r="BD868" s="1714"/>
      <c r="BE868" s="1714"/>
      <c r="BF868" s="1714"/>
    </row>
    <row r="869" spans="1:58" ht="11.25" customHeight="1">
      <c r="A869" s="1088" t="s">
        <v>1395</v>
      </c>
      <c r="D869" s="1082"/>
      <c r="E869" s="1092"/>
      <c r="F869" s="3895"/>
      <c r="G869" s="3875"/>
      <c r="H869" s="3885" t="s">
        <v>421</v>
      </c>
      <c r="I869" s="3886"/>
      <c r="J869" s="3883"/>
      <c r="K869" s="3887"/>
      <c r="L869" s="3599"/>
      <c r="M869" s="3600"/>
      <c r="N869" s="1097"/>
      <c r="O869" s="1098"/>
      <c r="P869" s="1090" t="s">
        <v>1445</v>
      </c>
      <c r="Q869" s="1098"/>
      <c r="R869" s="1098"/>
      <c r="S869" s="1098"/>
      <c r="T869" s="1098"/>
      <c r="U869" s="1098"/>
      <c r="V869" s="1098"/>
      <c r="W869" s="1098"/>
      <c r="X869" s="1098"/>
      <c r="Y869" s="1098"/>
      <c r="Z869" s="1098"/>
      <c r="AA869" s="1098"/>
      <c r="AB869" s="1098"/>
      <c r="AC869" s="1098"/>
      <c r="AD869" s="1098"/>
      <c r="AE869" s="1105"/>
      <c r="AF869" s="3876"/>
      <c r="AG869" s="3877"/>
      <c r="AH869" s="3877"/>
      <c r="AI869" s="3876"/>
      <c r="AJ869" s="3877"/>
      <c r="AK869" s="3877"/>
      <c r="AL869" s="1874"/>
      <c r="AM869" s="1714"/>
      <c r="AN869" s="1714"/>
      <c r="AO869" s="1714"/>
      <c r="AP869" s="1714"/>
      <c r="AQ869" s="1714"/>
      <c r="AR869" s="1714"/>
      <c r="AS869" s="1714"/>
      <c r="AT869" s="1714"/>
      <c r="AU869" s="1714"/>
      <c r="AV869" s="1714"/>
      <c r="AW869" s="1714"/>
      <c r="AX869" s="1714"/>
      <c r="AY869" s="1714"/>
      <c r="AZ869" s="1714"/>
      <c r="BA869" s="1714"/>
      <c r="BB869" s="1714"/>
      <c r="BC869" s="1714"/>
      <c r="BD869" s="1714"/>
      <c r="BE869" s="1714"/>
      <c r="BF869" s="1714"/>
    </row>
    <row r="870" spans="1:58" ht="12" customHeight="1">
      <c r="A870" s="1088" t="s">
        <v>1395</v>
      </c>
      <c r="D870" s="1082"/>
      <c r="E870" s="1092"/>
      <c r="F870" s="3896"/>
      <c r="G870" s="1112"/>
      <c r="H870" s="1112"/>
      <c r="I870" s="3893" t="s">
        <v>1451</v>
      </c>
      <c r="J870" s="3893"/>
      <c r="K870" s="3893"/>
      <c r="L870" s="1095"/>
      <c r="M870" s="1095"/>
      <c r="N870" s="1096"/>
      <c r="O870" s="1096"/>
      <c r="P870" s="1096"/>
      <c r="Q870" s="1096"/>
      <c r="R870" s="1096"/>
      <c r="S870" s="1096"/>
      <c r="T870" s="1096"/>
      <c r="U870" s="1096"/>
      <c r="V870" s="1096"/>
      <c r="W870" s="1096"/>
      <c r="X870" s="1096"/>
      <c r="Y870" s="1096"/>
      <c r="Z870" s="1096"/>
      <c r="AA870" s="1096"/>
      <c r="AB870" s="1096"/>
      <c r="AC870" s="1096"/>
      <c r="AD870" s="1096"/>
      <c r="AE870" s="1096"/>
      <c r="AF870" s="1096"/>
      <c r="AG870" s="1095"/>
      <c r="AH870" s="1095"/>
      <c r="AI870" s="1096"/>
      <c r="AJ870" s="1095"/>
      <c r="AK870" s="1096"/>
      <c r="AL870" s="1874"/>
      <c r="AM870" s="1714"/>
      <c r="AN870" s="1714"/>
      <c r="AO870" s="1714"/>
      <c r="AP870" s="1714"/>
      <c r="AQ870" s="1714"/>
      <c r="AR870" s="1714"/>
      <c r="AS870" s="1714"/>
      <c r="AT870" s="1714"/>
      <c r="AU870" s="1714"/>
      <c r="AV870" s="1714"/>
      <c r="AW870" s="1714"/>
      <c r="AX870" s="1714"/>
      <c r="AY870" s="1714"/>
      <c r="AZ870" s="1714"/>
      <c r="BA870" s="1714"/>
      <c r="BB870" s="1714"/>
      <c r="BC870" s="1714"/>
      <c r="BD870" s="1714"/>
      <c r="BE870" s="1714"/>
      <c r="BF870" s="1714"/>
    </row>
    <row r="871" spans="1:58" ht="0.75" customHeight="1">
      <c r="A871" s="1088" t="s">
        <v>1395</v>
      </c>
      <c r="D871" s="1082"/>
      <c r="E871" s="1092"/>
      <c r="F871" s="3894">
        <v>2031</v>
      </c>
      <c r="G871" s="3885"/>
      <c r="H871" s="3898" t="s">
        <v>421</v>
      </c>
      <c r="I871" s="3899"/>
      <c r="J871" s="3891"/>
      <c r="K871" s="3891"/>
      <c r="L871" s="3892"/>
      <c r="M871" s="3743"/>
      <c r="N871" s="1922"/>
      <c r="O871" s="1921"/>
      <c r="P871" s="1922"/>
      <c r="Q871" s="1922"/>
      <c r="R871" s="1922"/>
      <c r="S871" s="1922"/>
      <c r="T871" s="1922"/>
      <c r="U871" s="1922"/>
      <c r="V871" s="1922"/>
      <c r="W871" s="1922"/>
      <c r="X871" s="1922"/>
      <c r="Y871" s="1922"/>
      <c r="Z871" s="1922"/>
      <c r="AA871" s="1922"/>
      <c r="AB871" s="1922"/>
      <c r="AC871" s="1922"/>
      <c r="AD871" s="1922"/>
      <c r="AE871" s="1922"/>
      <c r="AF871" s="3897"/>
      <c r="AG871" s="3892"/>
      <c r="AH871" s="3892"/>
      <c r="AI871" s="3897"/>
      <c r="AJ871" s="3892"/>
      <c r="AK871" s="3892"/>
      <c r="AL871" s="1874"/>
      <c r="AM871" s="1714"/>
      <c r="AN871" s="1714"/>
      <c r="AO871" s="1714"/>
      <c r="AP871" s="1714"/>
      <c r="AQ871" s="1714"/>
      <c r="AR871" s="1714"/>
      <c r="AS871" s="1714"/>
      <c r="AT871" s="1714"/>
      <c r="AU871" s="1714"/>
      <c r="AV871" s="1714"/>
      <c r="AW871" s="1714"/>
      <c r="AX871" s="1714"/>
      <c r="AY871" s="1714"/>
      <c r="AZ871" s="1714"/>
      <c r="BA871" s="1714"/>
      <c r="BB871" s="1714"/>
      <c r="BC871" s="1714"/>
      <c r="BD871" s="1714"/>
      <c r="BE871" s="1714"/>
      <c r="BF871" s="1714"/>
    </row>
    <row r="872" spans="1:58" ht="0.75" customHeight="1">
      <c r="A872" s="1088" t="s">
        <v>1395</v>
      </c>
      <c r="D872" s="1082"/>
      <c r="E872" s="1092"/>
      <c r="F872" s="3894"/>
      <c r="G872" s="3885"/>
      <c r="H872" s="3898"/>
      <c r="I872" s="3899"/>
      <c r="J872" s="3891"/>
      <c r="K872" s="3891"/>
      <c r="L872" s="3892"/>
      <c r="M872" s="3743"/>
      <c r="N872" s="3900"/>
      <c r="O872" s="3901"/>
      <c r="P872" s="3888"/>
      <c r="Q872" s="3891"/>
      <c r="R872" s="3891"/>
      <c r="S872" s="3891"/>
      <c r="T872" s="3891"/>
      <c r="U872" s="3891"/>
      <c r="V872" s="3891"/>
      <c r="W872" s="3891"/>
      <c r="X872" s="3891"/>
      <c r="Y872" s="3891"/>
      <c r="Z872" s="1923"/>
      <c r="AA872" s="1924"/>
      <c r="AB872" s="1924"/>
      <c r="AC872" s="1925"/>
      <c r="AD872" s="1925"/>
      <c r="AE872" s="1926"/>
      <c r="AF872" s="3897"/>
      <c r="AG872" s="3892"/>
      <c r="AH872" s="3892"/>
      <c r="AI872" s="3897"/>
      <c r="AJ872" s="3892"/>
      <c r="AK872" s="3892"/>
      <c r="AL872" s="1874"/>
      <c r="AM872" s="1714"/>
      <c r="AN872" s="1714"/>
      <c r="AO872" s="1714"/>
      <c r="AP872" s="1714"/>
      <c r="AQ872" s="1714"/>
      <c r="AR872" s="1714"/>
      <c r="AS872" s="1714"/>
      <c r="AT872" s="1714"/>
      <c r="AU872" s="1714"/>
      <c r="AV872" s="1714"/>
      <c r="AW872" s="1714"/>
      <c r="AX872" s="1714"/>
      <c r="AY872" s="1714"/>
      <c r="AZ872" s="1714"/>
      <c r="BA872" s="1714"/>
      <c r="BB872" s="1714"/>
      <c r="BC872" s="1714"/>
      <c r="BD872" s="1714"/>
      <c r="BE872" s="1714"/>
      <c r="BF872" s="1714"/>
    </row>
    <row r="873" spans="1:58" ht="0.75" customHeight="1">
      <c r="A873" s="1088" t="s">
        <v>1395</v>
      </c>
      <c r="D873" s="1082"/>
      <c r="E873" s="1092"/>
      <c r="F873" s="3894"/>
      <c r="G873" s="3885"/>
      <c r="H873" s="3898"/>
      <c r="I873" s="3899"/>
      <c r="J873" s="3891"/>
      <c r="K873" s="3891"/>
      <c r="L873" s="3892"/>
      <c r="M873" s="3743"/>
      <c r="N873" s="3900"/>
      <c r="O873" s="3901"/>
      <c r="P873" s="3889"/>
      <c r="Q873" s="3891"/>
      <c r="R873" s="3891"/>
      <c r="S873" s="3891"/>
      <c r="T873" s="3891"/>
      <c r="U873" s="3891"/>
      <c r="V873" s="3891"/>
      <c r="W873" s="3891"/>
      <c r="X873" s="3891"/>
      <c r="Y873" s="3891"/>
      <c r="Z873" s="1927"/>
      <c r="AA873" s="1928"/>
      <c r="AB873" s="1929"/>
      <c r="AC873" s="1930"/>
      <c r="AD873" s="1929"/>
      <c r="AE873" s="1930"/>
      <c r="AF873" s="3897"/>
      <c r="AG873" s="3892"/>
      <c r="AH873" s="3892"/>
      <c r="AI873" s="3897"/>
      <c r="AJ873" s="3892"/>
      <c r="AK873" s="3892"/>
      <c r="AL873" s="1874"/>
      <c r="AM873" s="1714"/>
      <c r="AN873" s="1714"/>
      <c r="AO873" s="1714"/>
      <c r="AP873" s="1714"/>
      <c r="AQ873" s="1714"/>
      <c r="AR873" s="1714"/>
      <c r="AS873" s="1714"/>
      <c r="AT873" s="1714"/>
      <c r="AU873" s="1714"/>
      <c r="AV873" s="1714"/>
      <c r="AW873" s="1714"/>
      <c r="AX873" s="1714"/>
      <c r="AY873" s="1714"/>
      <c r="AZ873" s="1714"/>
      <c r="BA873" s="1714"/>
      <c r="BB873" s="1714"/>
      <c r="BC873" s="1714"/>
      <c r="BD873" s="1714"/>
      <c r="BE873" s="1714"/>
      <c r="BF873" s="1714"/>
    </row>
    <row r="874" spans="1:58" ht="0.75" customHeight="1">
      <c r="A874" s="1088" t="s">
        <v>1395</v>
      </c>
      <c r="D874" s="1082"/>
      <c r="E874" s="1092"/>
      <c r="F874" s="3894"/>
      <c r="G874" s="3885"/>
      <c r="H874" s="3898"/>
      <c r="I874" s="3899"/>
      <c r="J874" s="3891"/>
      <c r="K874" s="3891"/>
      <c r="L874" s="3892"/>
      <c r="M874" s="3743"/>
      <c r="N874" s="3900"/>
      <c r="O874" s="3901"/>
      <c r="P874" s="3890"/>
      <c r="Q874" s="3891"/>
      <c r="R874" s="3891"/>
      <c r="S874" s="3891"/>
      <c r="T874" s="3891"/>
      <c r="U874" s="3891"/>
      <c r="V874" s="3891"/>
      <c r="W874" s="3891"/>
      <c r="X874" s="3891"/>
      <c r="Y874" s="3891"/>
      <c r="Z874" s="1923"/>
      <c r="AA874" s="1924"/>
      <c r="AB874" s="1931"/>
      <c r="AC874" s="1925"/>
      <c r="AD874" s="1925"/>
      <c r="AE874" s="1932"/>
      <c r="AF874" s="3897"/>
      <c r="AG874" s="3892"/>
      <c r="AH874" s="3892"/>
      <c r="AI874" s="3897"/>
      <c r="AJ874" s="3892"/>
      <c r="AK874" s="3892"/>
      <c r="AL874" s="1874"/>
      <c r="AM874" s="1714"/>
      <c r="AN874" s="1714"/>
      <c r="AO874" s="1714"/>
      <c r="AP874" s="1714"/>
      <c r="AQ874" s="1714"/>
      <c r="AR874" s="1714"/>
      <c r="AS874" s="1714"/>
      <c r="AT874" s="1714"/>
      <c r="AU874" s="1714"/>
      <c r="AV874" s="1714"/>
      <c r="AW874" s="1714"/>
      <c r="AX874" s="1714"/>
      <c r="AY874" s="1714"/>
      <c r="AZ874" s="1714"/>
      <c r="BA874" s="1714"/>
      <c r="BB874" s="1714"/>
      <c r="BC874" s="1714"/>
      <c r="BD874" s="1714"/>
      <c r="BE874" s="1714"/>
      <c r="BF874" s="1714"/>
    </row>
    <row r="875" spans="1:58" ht="0.75" customHeight="1">
      <c r="A875" s="1088" t="s">
        <v>1395</v>
      </c>
      <c r="D875" s="1082"/>
      <c r="E875" s="1092"/>
      <c r="F875" s="3894"/>
      <c r="G875" s="3885"/>
      <c r="H875" s="3898"/>
      <c r="I875" s="3899"/>
      <c r="J875" s="3891"/>
      <c r="K875" s="3891"/>
      <c r="L875" s="3892"/>
      <c r="M875" s="3743"/>
      <c r="N875" s="1924"/>
      <c r="O875" s="1924"/>
      <c r="P875" s="1931"/>
      <c r="Q875" s="1924"/>
      <c r="R875" s="1924"/>
      <c r="S875" s="1924"/>
      <c r="T875" s="1924"/>
      <c r="U875" s="1924"/>
      <c r="V875" s="1924"/>
      <c r="W875" s="1924"/>
      <c r="X875" s="1924"/>
      <c r="Y875" s="1924"/>
      <c r="Z875" s="1924"/>
      <c r="AA875" s="1924"/>
      <c r="AB875" s="1924"/>
      <c r="AC875" s="1924"/>
      <c r="AD875" s="1924"/>
      <c r="AE875" s="1933"/>
      <c r="AF875" s="3897"/>
      <c r="AG875" s="3892"/>
      <c r="AH875" s="3892"/>
      <c r="AI875" s="3897"/>
      <c r="AJ875" s="3892"/>
      <c r="AK875" s="3892"/>
      <c r="AL875" s="1874"/>
      <c r="AM875" s="1714"/>
      <c r="AN875" s="1714"/>
      <c r="AO875" s="1714"/>
      <c r="AP875" s="1714"/>
      <c r="AQ875" s="1714"/>
      <c r="AR875" s="1714"/>
      <c r="AS875" s="1714"/>
      <c r="AT875" s="1714"/>
      <c r="AU875" s="1714"/>
      <c r="AV875" s="1714"/>
      <c r="AW875" s="1714"/>
      <c r="AX875" s="1714"/>
      <c r="AY875" s="1714"/>
      <c r="AZ875" s="1714"/>
      <c r="BA875" s="1714"/>
      <c r="BB875" s="1714"/>
      <c r="BC875" s="1714"/>
      <c r="BD875" s="1714"/>
      <c r="BE875" s="1714"/>
      <c r="BF875" s="1714"/>
    </row>
    <row r="876" spans="1:58" ht="11.25" customHeight="1">
      <c r="A876" s="1088" t="s">
        <v>1395</v>
      </c>
      <c r="D876" s="1082"/>
      <c r="E876" s="1092"/>
      <c r="F876" s="3895"/>
      <c r="G876" s="3853" t="s">
        <v>90</v>
      </c>
      <c r="H876" s="3885" t="s">
        <v>164</v>
      </c>
      <c r="I876" s="3886"/>
      <c r="J876" s="3883"/>
      <c r="K876" s="3887" t="s">
        <v>1521</v>
      </c>
      <c r="L876" s="3599" t="s">
        <v>6</v>
      </c>
      <c r="M876" s="3600"/>
      <c r="N876" s="1872"/>
      <c r="O876" s="1099" t="s">
        <v>421</v>
      </c>
      <c r="P876" s="1100"/>
      <c r="Q876" s="1100"/>
      <c r="R876" s="1100"/>
      <c r="S876" s="1100"/>
      <c r="T876" s="1100"/>
      <c r="U876" s="1100"/>
      <c r="V876" s="1100"/>
      <c r="W876" s="1100"/>
      <c r="X876" s="1100"/>
      <c r="Y876" s="1100"/>
      <c r="Z876" s="1100"/>
      <c r="AA876" s="1100"/>
      <c r="AB876" s="1100"/>
      <c r="AC876" s="1100"/>
      <c r="AD876" s="1100"/>
      <c r="AE876" s="1100"/>
      <c r="AF876" s="3876">
        <v>2035</v>
      </c>
      <c r="AG876" s="3877" t="s">
        <v>1447</v>
      </c>
      <c r="AH876" s="3877" t="s">
        <v>1522</v>
      </c>
      <c r="AI876" s="3876">
        <v>2035</v>
      </c>
      <c r="AJ876" s="3877" t="s">
        <v>1447</v>
      </c>
      <c r="AK876" s="3877" t="s">
        <v>1522</v>
      </c>
      <c r="AL876" s="1874"/>
      <c r="AM876" s="1714"/>
      <c r="AN876" s="1714"/>
      <c r="AO876" s="1714"/>
      <c r="AP876" s="1714"/>
      <c r="AQ876" s="1714"/>
      <c r="AR876" s="1714"/>
      <c r="AS876" s="1714"/>
      <c r="AT876" s="1714"/>
      <c r="AU876" s="1714"/>
      <c r="AV876" s="1714"/>
      <c r="AW876" s="1714"/>
      <c r="AX876" s="1714"/>
      <c r="AY876" s="1714"/>
      <c r="AZ876" s="1714"/>
      <c r="BA876" s="1714"/>
      <c r="BB876" s="1714"/>
      <c r="BC876" s="1714"/>
      <c r="BD876" s="1714"/>
      <c r="BE876" s="1714"/>
      <c r="BF876" s="1714"/>
    </row>
    <row r="877" spans="1:58" ht="11.25" customHeight="1">
      <c r="A877" s="1088" t="s">
        <v>1395</v>
      </c>
      <c r="D877" s="1082"/>
      <c r="E877" s="1092"/>
      <c r="F877" s="3895"/>
      <c r="G877" s="3875"/>
      <c r="H877" s="3885" t="s">
        <v>421</v>
      </c>
      <c r="I877" s="3886"/>
      <c r="J877" s="3883"/>
      <c r="K877" s="3887"/>
      <c r="L877" s="3599"/>
      <c r="M877" s="3600"/>
      <c r="N877" s="3878"/>
      <c r="O877" s="3879">
        <v>1</v>
      </c>
      <c r="P877" s="3880" t="s">
        <v>50</v>
      </c>
      <c r="Q877" s="3883" t="s">
        <v>1449</v>
      </c>
      <c r="R877" s="3884" t="s">
        <v>1438</v>
      </c>
      <c r="S877" s="3884" t="s">
        <v>147</v>
      </c>
      <c r="T877" s="3884" t="s">
        <v>147</v>
      </c>
      <c r="U877" s="3884" t="s">
        <v>148</v>
      </c>
      <c r="V877" s="3884" t="s">
        <v>1523</v>
      </c>
      <c r="W877" s="3884" t="s">
        <v>1524</v>
      </c>
      <c r="X877" s="3884" t="s">
        <v>1525</v>
      </c>
      <c r="Y877" s="3884" t="s">
        <v>1442</v>
      </c>
      <c r="Z877" s="1097"/>
      <c r="AA877" s="1098"/>
      <c r="AB877" s="1098"/>
      <c r="AC877" s="1102"/>
      <c r="AD877" s="1102"/>
      <c r="AE877" s="1103"/>
      <c r="AF877" s="3876"/>
      <c r="AG877" s="3877"/>
      <c r="AH877" s="3877"/>
      <c r="AI877" s="3876"/>
      <c r="AJ877" s="3877"/>
      <c r="AK877" s="3877"/>
      <c r="AL877" s="1874"/>
      <c r="AM877" s="1714"/>
      <c r="AN877" s="1714"/>
      <c r="AO877" s="1714"/>
      <c r="AP877" s="1714"/>
      <c r="AQ877" s="1714"/>
      <c r="AR877" s="1714"/>
      <c r="AS877" s="1714"/>
      <c r="AT877" s="1714"/>
      <c r="AU877" s="1714"/>
      <c r="AV877" s="1714"/>
      <c r="AW877" s="1714"/>
      <c r="AX877" s="1714"/>
      <c r="AY877" s="1714"/>
      <c r="AZ877" s="1714"/>
      <c r="BA877" s="1714"/>
      <c r="BB877" s="1714"/>
      <c r="BC877" s="1714"/>
      <c r="BD877" s="1714"/>
      <c r="BE877" s="1714"/>
      <c r="BF877" s="1714"/>
    </row>
    <row r="878" spans="1:58" ht="11.25" customHeight="1">
      <c r="A878" s="1088" t="s">
        <v>1395</v>
      </c>
      <c r="D878" s="1082"/>
      <c r="E878" s="1092"/>
      <c r="F878" s="3895"/>
      <c r="G878" s="3875"/>
      <c r="H878" s="3885" t="s">
        <v>421</v>
      </c>
      <c r="I878" s="3886"/>
      <c r="J878" s="3883"/>
      <c r="K878" s="3887"/>
      <c r="L878" s="3599"/>
      <c r="M878" s="3600"/>
      <c r="N878" s="3878"/>
      <c r="O878" s="3879"/>
      <c r="P878" s="3881"/>
      <c r="Q878" s="3883"/>
      <c r="R878" s="3874"/>
      <c r="S878" s="3884"/>
      <c r="T878" s="3874"/>
      <c r="U878" s="3874"/>
      <c r="V878" s="3874"/>
      <c r="W878" s="3874"/>
      <c r="X878" s="3874"/>
      <c r="Y878" s="3874"/>
      <c r="Z878" s="1719"/>
      <c r="AA878" s="1686">
        <v>1</v>
      </c>
      <c r="AB878" s="1101" t="s">
        <v>1443</v>
      </c>
      <c r="AC878" s="1091">
        <v>150</v>
      </c>
      <c r="AD878" s="1101" t="str">
        <f>AB878</f>
        <v xml:space="preserve">  Прибыль направляемая на инвестиции</v>
      </c>
      <c r="AE878" s="1091">
        <v>0</v>
      </c>
      <c r="AF878" s="3876"/>
      <c r="AG878" s="3877"/>
      <c r="AH878" s="3877"/>
      <c r="AI878" s="3876"/>
      <c r="AJ878" s="3877"/>
      <c r="AK878" s="3877"/>
      <c r="AL878" s="1874"/>
      <c r="AM878" s="1714"/>
      <c r="AN878" s="1714"/>
      <c r="AO878" s="1714"/>
      <c r="AP878" s="1714"/>
      <c r="AQ878" s="1714"/>
      <c r="AR878" s="1714"/>
      <c r="AS878" s="1714"/>
      <c r="AT878" s="1714"/>
      <c r="AU878" s="1714"/>
      <c r="AV878" s="1714"/>
      <c r="AW878" s="1714"/>
      <c r="AX878" s="1714"/>
      <c r="AY878" s="1714"/>
      <c r="AZ878" s="1714"/>
      <c r="BA878" s="1714"/>
      <c r="BB878" s="1714"/>
      <c r="BC878" s="1714"/>
      <c r="BD878" s="1714"/>
      <c r="BE878" s="1714"/>
      <c r="BF878" s="1714"/>
    </row>
    <row r="879" spans="1:58" ht="11.25" customHeight="1">
      <c r="A879" s="1088" t="s">
        <v>1395</v>
      </c>
      <c r="D879" s="1082"/>
      <c r="E879" s="1092"/>
      <c r="F879" s="3895"/>
      <c r="G879" s="3875"/>
      <c r="H879" s="3885" t="s">
        <v>421</v>
      </c>
      <c r="I879" s="3886"/>
      <c r="J879" s="3883"/>
      <c r="K879" s="3887"/>
      <c r="L879" s="3599"/>
      <c r="M879" s="3600"/>
      <c r="N879" s="3878"/>
      <c r="O879" s="3879"/>
      <c r="P879" s="3882"/>
      <c r="Q879" s="3883"/>
      <c r="R879" s="3874"/>
      <c r="S879" s="3884"/>
      <c r="T879" s="3874"/>
      <c r="U879" s="3874"/>
      <c r="V879" s="3874"/>
      <c r="W879" s="3874"/>
      <c r="X879" s="3874"/>
      <c r="Y879" s="3874"/>
      <c r="Z879" s="1097"/>
      <c r="AA879" s="1098"/>
      <c r="AB879" s="1163" t="s">
        <v>1444</v>
      </c>
      <c r="AC879" s="1102"/>
      <c r="AD879" s="1102"/>
      <c r="AE879" s="1104"/>
      <c r="AF879" s="3876"/>
      <c r="AG879" s="3877"/>
      <c r="AH879" s="3877"/>
      <c r="AI879" s="3876"/>
      <c r="AJ879" s="3877"/>
      <c r="AK879" s="3877"/>
      <c r="AL879" s="1874"/>
      <c r="AM879" s="1714"/>
      <c r="AN879" s="1714"/>
      <c r="AO879" s="1714"/>
      <c r="AP879" s="1714"/>
      <c r="AQ879" s="1714"/>
      <c r="AR879" s="1714"/>
      <c r="AS879" s="1714"/>
      <c r="AT879" s="1714"/>
      <c r="AU879" s="1714"/>
      <c r="AV879" s="1714"/>
      <c r="AW879" s="1714"/>
      <c r="AX879" s="1714"/>
      <c r="AY879" s="1714"/>
      <c r="AZ879" s="1714"/>
      <c r="BA879" s="1714"/>
      <c r="BB879" s="1714"/>
      <c r="BC879" s="1714"/>
      <c r="BD879" s="1714"/>
      <c r="BE879" s="1714"/>
      <c r="BF879" s="1714"/>
    </row>
    <row r="880" spans="1:58" ht="11.25" customHeight="1">
      <c r="A880" s="1088" t="s">
        <v>1395</v>
      </c>
      <c r="D880" s="1082"/>
      <c r="E880" s="1092"/>
      <c r="F880" s="3895"/>
      <c r="G880" s="3875"/>
      <c r="H880" s="3885" t="s">
        <v>421</v>
      </c>
      <c r="I880" s="3886"/>
      <c r="J880" s="3883"/>
      <c r="K880" s="3887"/>
      <c r="L880" s="3599"/>
      <c r="M880" s="3600"/>
      <c r="N880" s="1097"/>
      <c r="O880" s="1098"/>
      <c r="P880" s="1090" t="s">
        <v>1445</v>
      </c>
      <c r="Q880" s="1098"/>
      <c r="R880" s="1098"/>
      <c r="S880" s="1098"/>
      <c r="T880" s="1098"/>
      <c r="U880" s="1098"/>
      <c r="V880" s="1098"/>
      <c r="W880" s="1098"/>
      <c r="X880" s="1098"/>
      <c r="Y880" s="1098"/>
      <c r="Z880" s="1098"/>
      <c r="AA880" s="1098"/>
      <c r="AB880" s="1098"/>
      <c r="AC880" s="1098"/>
      <c r="AD880" s="1098"/>
      <c r="AE880" s="1105"/>
      <c r="AF880" s="3876"/>
      <c r="AG880" s="3877"/>
      <c r="AH880" s="3877"/>
      <c r="AI880" s="3876"/>
      <c r="AJ880" s="3877"/>
      <c r="AK880" s="3877"/>
      <c r="AL880" s="1874"/>
      <c r="AM880" s="1714"/>
      <c r="AN880" s="1714"/>
      <c r="AO880" s="1714"/>
      <c r="AP880" s="1714"/>
      <c r="AQ880" s="1714"/>
      <c r="AR880" s="1714"/>
      <c r="AS880" s="1714"/>
      <c r="AT880" s="1714"/>
      <c r="AU880" s="1714"/>
      <c r="AV880" s="1714"/>
      <c r="AW880" s="1714"/>
      <c r="AX880" s="1714"/>
      <c r="AY880" s="1714"/>
      <c r="AZ880" s="1714"/>
      <c r="BA880" s="1714"/>
      <c r="BB880" s="1714"/>
      <c r="BC880" s="1714"/>
      <c r="BD880" s="1714"/>
      <c r="BE880" s="1714"/>
      <c r="BF880" s="1714"/>
    </row>
    <row r="881" spans="1:58" ht="12" customHeight="1">
      <c r="A881" s="1088" t="s">
        <v>1395</v>
      </c>
      <c r="D881" s="1082"/>
      <c r="E881" s="1092"/>
      <c r="F881" s="3896"/>
      <c r="G881" s="1112"/>
      <c r="H881" s="1112"/>
      <c r="I881" s="3893" t="s">
        <v>1451</v>
      </c>
      <c r="J881" s="3893"/>
      <c r="K881" s="3893"/>
      <c r="L881" s="1095"/>
      <c r="M881" s="1095"/>
      <c r="N881" s="1096"/>
      <c r="O881" s="1096"/>
      <c r="P881" s="1096"/>
      <c r="Q881" s="1096"/>
      <c r="R881" s="1096"/>
      <c r="S881" s="1096"/>
      <c r="T881" s="1096"/>
      <c r="U881" s="1096"/>
      <c r="V881" s="1096"/>
      <c r="W881" s="1096"/>
      <c r="X881" s="1096"/>
      <c r="Y881" s="1096"/>
      <c r="Z881" s="1096"/>
      <c r="AA881" s="1096"/>
      <c r="AB881" s="1096"/>
      <c r="AC881" s="1096"/>
      <c r="AD881" s="1096"/>
      <c r="AE881" s="1096"/>
      <c r="AF881" s="1096"/>
      <c r="AG881" s="1095"/>
      <c r="AH881" s="1095"/>
      <c r="AI881" s="1096"/>
      <c r="AJ881" s="1095"/>
      <c r="AK881" s="1096"/>
      <c r="AL881" s="1874"/>
      <c r="AM881" s="1714"/>
      <c r="AN881" s="1714"/>
      <c r="AO881" s="1714"/>
      <c r="AP881" s="1714"/>
      <c r="AQ881" s="1714"/>
      <c r="AR881" s="1714"/>
      <c r="AS881" s="1714"/>
      <c r="AT881" s="1714"/>
      <c r="AU881" s="1714"/>
      <c r="AV881" s="1714"/>
      <c r="AW881" s="1714"/>
      <c r="AX881" s="1714"/>
      <c r="AY881" s="1714"/>
      <c r="AZ881" s="1714"/>
      <c r="BA881" s="1714"/>
      <c r="BB881" s="1714"/>
      <c r="BC881" s="1714"/>
      <c r="BD881" s="1714"/>
      <c r="BE881" s="1714"/>
      <c r="BF881" s="1714"/>
    </row>
    <row r="882" spans="1:58" ht="0.75" customHeight="1">
      <c r="A882" s="1088" t="s">
        <v>1395</v>
      </c>
      <c r="D882" s="1082"/>
      <c r="E882" s="1092"/>
      <c r="F882" s="3894">
        <v>2032</v>
      </c>
      <c r="G882" s="3885"/>
      <c r="H882" s="3898" t="s">
        <v>421</v>
      </c>
      <c r="I882" s="3899"/>
      <c r="J882" s="3891"/>
      <c r="K882" s="3891"/>
      <c r="L882" s="3892"/>
      <c r="M882" s="3743"/>
      <c r="N882" s="1922"/>
      <c r="O882" s="1921"/>
      <c r="P882" s="1922"/>
      <c r="Q882" s="1922"/>
      <c r="R882" s="1922"/>
      <c r="S882" s="1922"/>
      <c r="T882" s="1922"/>
      <c r="U882" s="1922"/>
      <c r="V882" s="1922"/>
      <c r="W882" s="1922"/>
      <c r="X882" s="1922"/>
      <c r="Y882" s="1922"/>
      <c r="Z882" s="1922"/>
      <c r="AA882" s="1922"/>
      <c r="AB882" s="1922"/>
      <c r="AC882" s="1922"/>
      <c r="AD882" s="1922"/>
      <c r="AE882" s="1922"/>
      <c r="AF882" s="3897"/>
      <c r="AG882" s="3892"/>
      <c r="AH882" s="3892"/>
      <c r="AI882" s="3897"/>
      <c r="AJ882" s="3892"/>
      <c r="AK882" s="3892"/>
      <c r="AL882" s="1874"/>
      <c r="AM882" s="1714"/>
      <c r="AN882" s="1714"/>
      <c r="AO882" s="1714"/>
      <c r="AP882" s="1714"/>
      <c r="AQ882" s="1714"/>
      <c r="AR882" s="1714"/>
      <c r="AS882" s="1714"/>
      <c r="AT882" s="1714"/>
      <c r="AU882" s="1714"/>
      <c r="AV882" s="1714"/>
      <c r="AW882" s="1714"/>
      <c r="AX882" s="1714"/>
      <c r="AY882" s="1714"/>
      <c r="AZ882" s="1714"/>
      <c r="BA882" s="1714"/>
      <c r="BB882" s="1714"/>
      <c r="BC882" s="1714"/>
      <c r="BD882" s="1714"/>
      <c r="BE882" s="1714"/>
      <c r="BF882" s="1714"/>
    </row>
    <row r="883" spans="1:58" ht="0.75" customHeight="1">
      <c r="A883" s="1088" t="s">
        <v>1395</v>
      </c>
      <c r="D883" s="1082"/>
      <c r="E883" s="1092"/>
      <c r="F883" s="3894"/>
      <c r="G883" s="3885"/>
      <c r="H883" s="3898"/>
      <c r="I883" s="3899"/>
      <c r="J883" s="3891"/>
      <c r="K883" s="3891"/>
      <c r="L883" s="3892"/>
      <c r="M883" s="3743"/>
      <c r="N883" s="3900"/>
      <c r="O883" s="3901"/>
      <c r="P883" s="3888"/>
      <c r="Q883" s="3891"/>
      <c r="R883" s="3891"/>
      <c r="S883" s="3891"/>
      <c r="T883" s="3891"/>
      <c r="U883" s="3891"/>
      <c r="V883" s="3891"/>
      <c r="W883" s="3891"/>
      <c r="X883" s="3891"/>
      <c r="Y883" s="3891"/>
      <c r="Z883" s="1923"/>
      <c r="AA883" s="1924"/>
      <c r="AB883" s="1924"/>
      <c r="AC883" s="1925"/>
      <c r="AD883" s="1925"/>
      <c r="AE883" s="1926"/>
      <c r="AF883" s="3897"/>
      <c r="AG883" s="3892"/>
      <c r="AH883" s="3892"/>
      <c r="AI883" s="3897"/>
      <c r="AJ883" s="3892"/>
      <c r="AK883" s="3892"/>
      <c r="AL883" s="1874"/>
      <c r="AM883" s="1714"/>
      <c r="AN883" s="1714"/>
      <c r="AO883" s="1714"/>
      <c r="AP883" s="1714"/>
      <c r="AQ883" s="1714"/>
      <c r="AR883" s="1714"/>
      <c r="AS883" s="1714"/>
      <c r="AT883" s="1714"/>
      <c r="AU883" s="1714"/>
      <c r="AV883" s="1714"/>
      <c r="AW883" s="1714"/>
      <c r="AX883" s="1714"/>
      <c r="AY883" s="1714"/>
      <c r="AZ883" s="1714"/>
      <c r="BA883" s="1714"/>
      <c r="BB883" s="1714"/>
      <c r="BC883" s="1714"/>
      <c r="BD883" s="1714"/>
      <c r="BE883" s="1714"/>
      <c r="BF883" s="1714"/>
    </row>
    <row r="884" spans="1:58" ht="0.75" customHeight="1">
      <c r="A884" s="1088" t="s">
        <v>1395</v>
      </c>
      <c r="D884" s="1082"/>
      <c r="E884" s="1092"/>
      <c r="F884" s="3894"/>
      <c r="G884" s="3885"/>
      <c r="H884" s="3898"/>
      <c r="I884" s="3899"/>
      <c r="J884" s="3891"/>
      <c r="K884" s="3891"/>
      <c r="L884" s="3892"/>
      <c r="M884" s="3743"/>
      <c r="N884" s="3900"/>
      <c r="O884" s="3901"/>
      <c r="P884" s="3889"/>
      <c r="Q884" s="3891"/>
      <c r="R884" s="3891"/>
      <c r="S884" s="3891"/>
      <c r="T884" s="3891"/>
      <c r="U884" s="3891"/>
      <c r="V884" s="3891"/>
      <c r="W884" s="3891"/>
      <c r="X884" s="3891"/>
      <c r="Y884" s="3891"/>
      <c r="Z884" s="1927"/>
      <c r="AA884" s="1928"/>
      <c r="AB884" s="1929"/>
      <c r="AC884" s="1930"/>
      <c r="AD884" s="1929"/>
      <c r="AE884" s="1930"/>
      <c r="AF884" s="3897"/>
      <c r="AG884" s="3892"/>
      <c r="AH884" s="3892"/>
      <c r="AI884" s="3897"/>
      <c r="AJ884" s="3892"/>
      <c r="AK884" s="3892"/>
      <c r="AL884" s="1874"/>
      <c r="AM884" s="1714"/>
      <c r="AN884" s="1714"/>
      <c r="AO884" s="1714"/>
      <c r="AP884" s="1714"/>
      <c r="AQ884" s="1714"/>
      <c r="AR884" s="1714"/>
      <c r="AS884" s="1714"/>
      <c r="AT884" s="1714"/>
      <c r="AU884" s="1714"/>
      <c r="AV884" s="1714"/>
      <c r="AW884" s="1714"/>
      <c r="AX884" s="1714"/>
      <c r="AY884" s="1714"/>
      <c r="AZ884" s="1714"/>
      <c r="BA884" s="1714"/>
      <c r="BB884" s="1714"/>
      <c r="BC884" s="1714"/>
      <c r="BD884" s="1714"/>
      <c r="BE884" s="1714"/>
      <c r="BF884" s="1714"/>
    </row>
    <row r="885" spans="1:58" ht="0.75" customHeight="1">
      <c r="A885" s="1088" t="s">
        <v>1395</v>
      </c>
      <c r="D885" s="1082"/>
      <c r="E885" s="1092"/>
      <c r="F885" s="3894"/>
      <c r="G885" s="3885"/>
      <c r="H885" s="3898"/>
      <c r="I885" s="3899"/>
      <c r="J885" s="3891"/>
      <c r="K885" s="3891"/>
      <c r="L885" s="3892"/>
      <c r="M885" s="3743"/>
      <c r="N885" s="3900"/>
      <c r="O885" s="3901"/>
      <c r="P885" s="3890"/>
      <c r="Q885" s="3891"/>
      <c r="R885" s="3891"/>
      <c r="S885" s="3891"/>
      <c r="T885" s="3891"/>
      <c r="U885" s="3891"/>
      <c r="V885" s="3891"/>
      <c r="W885" s="3891"/>
      <c r="X885" s="3891"/>
      <c r="Y885" s="3891"/>
      <c r="Z885" s="1923"/>
      <c r="AA885" s="1924"/>
      <c r="AB885" s="1931"/>
      <c r="AC885" s="1925"/>
      <c r="AD885" s="1925"/>
      <c r="AE885" s="1932"/>
      <c r="AF885" s="3897"/>
      <c r="AG885" s="3892"/>
      <c r="AH885" s="3892"/>
      <c r="AI885" s="3897"/>
      <c r="AJ885" s="3892"/>
      <c r="AK885" s="3892"/>
      <c r="AL885" s="1874"/>
      <c r="AM885" s="1714"/>
      <c r="AN885" s="1714"/>
      <c r="AO885" s="1714"/>
      <c r="AP885" s="1714"/>
      <c r="AQ885" s="1714"/>
      <c r="AR885" s="1714"/>
      <c r="AS885" s="1714"/>
      <c r="AT885" s="1714"/>
      <c r="AU885" s="1714"/>
      <c r="AV885" s="1714"/>
      <c r="AW885" s="1714"/>
      <c r="AX885" s="1714"/>
      <c r="AY885" s="1714"/>
      <c r="AZ885" s="1714"/>
      <c r="BA885" s="1714"/>
      <c r="BB885" s="1714"/>
      <c r="BC885" s="1714"/>
      <c r="BD885" s="1714"/>
      <c r="BE885" s="1714"/>
      <c r="BF885" s="1714"/>
    </row>
    <row r="886" spans="1:58" ht="0.75" customHeight="1">
      <c r="A886" s="1088" t="s">
        <v>1395</v>
      </c>
      <c r="D886" s="1082"/>
      <c r="E886" s="1092"/>
      <c r="F886" s="3894"/>
      <c r="G886" s="3885"/>
      <c r="H886" s="3898"/>
      <c r="I886" s="3899"/>
      <c r="J886" s="3891"/>
      <c r="K886" s="3891"/>
      <c r="L886" s="3892"/>
      <c r="M886" s="3743"/>
      <c r="N886" s="1924"/>
      <c r="O886" s="1924"/>
      <c r="P886" s="1931"/>
      <c r="Q886" s="1924"/>
      <c r="R886" s="1924"/>
      <c r="S886" s="1924"/>
      <c r="T886" s="1924"/>
      <c r="U886" s="1924"/>
      <c r="V886" s="1924"/>
      <c r="W886" s="1924"/>
      <c r="X886" s="1924"/>
      <c r="Y886" s="1924"/>
      <c r="Z886" s="1924"/>
      <c r="AA886" s="1924"/>
      <c r="AB886" s="1924"/>
      <c r="AC886" s="1924"/>
      <c r="AD886" s="1924"/>
      <c r="AE886" s="1933"/>
      <c r="AF886" s="3897"/>
      <c r="AG886" s="3892"/>
      <c r="AH886" s="3892"/>
      <c r="AI886" s="3897"/>
      <c r="AJ886" s="3892"/>
      <c r="AK886" s="3892"/>
      <c r="AL886" s="1874"/>
      <c r="AM886" s="1714"/>
      <c r="AN886" s="1714"/>
      <c r="AO886" s="1714"/>
      <c r="AP886" s="1714"/>
      <c r="AQ886" s="1714"/>
      <c r="AR886" s="1714"/>
      <c r="AS886" s="1714"/>
      <c r="AT886" s="1714"/>
      <c r="AU886" s="1714"/>
      <c r="AV886" s="1714"/>
      <c r="AW886" s="1714"/>
      <c r="AX886" s="1714"/>
      <c r="AY886" s="1714"/>
      <c r="AZ886" s="1714"/>
      <c r="BA886" s="1714"/>
      <c r="BB886" s="1714"/>
      <c r="BC886" s="1714"/>
      <c r="BD886" s="1714"/>
      <c r="BE886" s="1714"/>
      <c r="BF886" s="1714"/>
    </row>
    <row r="887" spans="1:58" ht="11.25" customHeight="1">
      <c r="A887" s="1088" t="s">
        <v>1395</v>
      </c>
      <c r="D887" s="1082"/>
      <c r="E887" s="1092"/>
      <c r="F887" s="3895"/>
      <c r="G887" s="3853" t="s">
        <v>90</v>
      </c>
      <c r="H887" s="3885" t="s">
        <v>164</v>
      </c>
      <c r="I887" s="3886"/>
      <c r="J887" s="3883"/>
      <c r="K887" s="3887" t="s">
        <v>1521</v>
      </c>
      <c r="L887" s="3599" t="s">
        <v>6</v>
      </c>
      <c r="M887" s="3600"/>
      <c r="N887" s="1872"/>
      <c r="O887" s="1099" t="s">
        <v>421</v>
      </c>
      <c r="P887" s="1100"/>
      <c r="Q887" s="1100"/>
      <c r="R887" s="1100"/>
      <c r="S887" s="1100"/>
      <c r="T887" s="1100"/>
      <c r="U887" s="1100"/>
      <c r="V887" s="1100"/>
      <c r="W887" s="1100"/>
      <c r="X887" s="1100"/>
      <c r="Y887" s="1100"/>
      <c r="Z887" s="1100"/>
      <c r="AA887" s="1100"/>
      <c r="AB887" s="1100"/>
      <c r="AC887" s="1100"/>
      <c r="AD887" s="1100"/>
      <c r="AE887" s="1100"/>
      <c r="AF887" s="3876">
        <v>2035</v>
      </c>
      <c r="AG887" s="3877" t="s">
        <v>1447</v>
      </c>
      <c r="AH887" s="3877" t="s">
        <v>1522</v>
      </c>
      <c r="AI887" s="3876">
        <v>2035</v>
      </c>
      <c r="AJ887" s="3877" t="s">
        <v>1447</v>
      </c>
      <c r="AK887" s="3877" t="s">
        <v>1522</v>
      </c>
      <c r="AL887" s="1874"/>
      <c r="AM887" s="1714"/>
      <c r="AN887" s="1714"/>
      <c r="AO887" s="1714"/>
      <c r="AP887" s="1714"/>
      <c r="AQ887" s="1714"/>
      <c r="AR887" s="1714"/>
      <c r="AS887" s="1714"/>
      <c r="AT887" s="1714"/>
      <c r="AU887" s="1714"/>
      <c r="AV887" s="1714"/>
      <c r="AW887" s="1714"/>
      <c r="AX887" s="1714"/>
      <c r="AY887" s="1714"/>
      <c r="AZ887" s="1714"/>
      <c r="BA887" s="1714"/>
      <c r="BB887" s="1714"/>
      <c r="BC887" s="1714"/>
      <c r="BD887" s="1714"/>
      <c r="BE887" s="1714"/>
      <c r="BF887" s="1714"/>
    </row>
    <row r="888" spans="1:58" ht="11.25" customHeight="1">
      <c r="A888" s="1088" t="s">
        <v>1395</v>
      </c>
      <c r="D888" s="1082"/>
      <c r="E888" s="1092"/>
      <c r="F888" s="3895"/>
      <c r="G888" s="3875"/>
      <c r="H888" s="3885" t="s">
        <v>421</v>
      </c>
      <c r="I888" s="3886"/>
      <c r="J888" s="3883"/>
      <c r="K888" s="3887"/>
      <c r="L888" s="3599"/>
      <c r="M888" s="3600"/>
      <c r="N888" s="3878"/>
      <c r="O888" s="3879">
        <v>1</v>
      </c>
      <c r="P888" s="3880" t="s">
        <v>50</v>
      </c>
      <c r="Q888" s="3883" t="s">
        <v>1449</v>
      </c>
      <c r="R888" s="3884" t="s">
        <v>1438</v>
      </c>
      <c r="S888" s="3884" t="s">
        <v>147</v>
      </c>
      <c r="T888" s="3884" t="s">
        <v>147</v>
      </c>
      <c r="U888" s="3884" t="s">
        <v>148</v>
      </c>
      <c r="V888" s="3884" t="s">
        <v>1523</v>
      </c>
      <c r="W888" s="3884" t="s">
        <v>1524</v>
      </c>
      <c r="X888" s="3884" t="s">
        <v>1525</v>
      </c>
      <c r="Y888" s="3884" t="s">
        <v>1442</v>
      </c>
      <c r="Z888" s="1097"/>
      <c r="AA888" s="1098"/>
      <c r="AB888" s="1098"/>
      <c r="AC888" s="1102"/>
      <c r="AD888" s="1102"/>
      <c r="AE888" s="1103"/>
      <c r="AF888" s="3876"/>
      <c r="AG888" s="3877"/>
      <c r="AH888" s="3877"/>
      <c r="AI888" s="3876"/>
      <c r="AJ888" s="3877"/>
      <c r="AK888" s="3877"/>
      <c r="AL888" s="1874"/>
      <c r="AM888" s="1714"/>
      <c r="AN888" s="1714"/>
      <c r="AO888" s="1714"/>
      <c r="AP888" s="1714"/>
      <c r="AQ888" s="1714"/>
      <c r="AR888" s="1714"/>
      <c r="AS888" s="1714"/>
      <c r="AT888" s="1714"/>
      <c r="AU888" s="1714"/>
      <c r="AV888" s="1714"/>
      <c r="AW888" s="1714"/>
      <c r="AX888" s="1714"/>
      <c r="AY888" s="1714"/>
      <c r="AZ888" s="1714"/>
      <c r="BA888" s="1714"/>
      <c r="BB888" s="1714"/>
      <c r="BC888" s="1714"/>
      <c r="BD888" s="1714"/>
      <c r="BE888" s="1714"/>
      <c r="BF888" s="1714"/>
    </row>
    <row r="889" spans="1:58" ht="11.25" customHeight="1">
      <c r="A889" s="1088" t="s">
        <v>1395</v>
      </c>
      <c r="D889" s="1082"/>
      <c r="E889" s="1092"/>
      <c r="F889" s="3895"/>
      <c r="G889" s="3875"/>
      <c r="H889" s="3885" t="s">
        <v>421</v>
      </c>
      <c r="I889" s="3886"/>
      <c r="J889" s="3883"/>
      <c r="K889" s="3887"/>
      <c r="L889" s="3599"/>
      <c r="M889" s="3600"/>
      <c r="N889" s="3878"/>
      <c r="O889" s="3879"/>
      <c r="P889" s="3881"/>
      <c r="Q889" s="3883"/>
      <c r="R889" s="3874"/>
      <c r="S889" s="3884"/>
      <c r="T889" s="3874"/>
      <c r="U889" s="3874"/>
      <c r="V889" s="3874"/>
      <c r="W889" s="3874"/>
      <c r="X889" s="3874"/>
      <c r="Y889" s="3874"/>
      <c r="Z889" s="1719"/>
      <c r="AA889" s="1686">
        <v>1</v>
      </c>
      <c r="AB889" s="1101" t="s">
        <v>1443</v>
      </c>
      <c r="AC889" s="1091">
        <v>150</v>
      </c>
      <c r="AD889" s="1101" t="str">
        <f>AB889</f>
        <v xml:space="preserve">  Прибыль направляемая на инвестиции</v>
      </c>
      <c r="AE889" s="1091">
        <v>0</v>
      </c>
      <c r="AF889" s="3876"/>
      <c r="AG889" s="3877"/>
      <c r="AH889" s="3877"/>
      <c r="AI889" s="3876"/>
      <c r="AJ889" s="3877"/>
      <c r="AK889" s="3877"/>
      <c r="AL889" s="1874"/>
      <c r="AM889" s="1714"/>
      <c r="AN889" s="1714"/>
      <c r="AO889" s="1714"/>
      <c r="AP889" s="1714"/>
      <c r="AQ889" s="1714"/>
      <c r="AR889" s="1714"/>
      <c r="AS889" s="1714"/>
      <c r="AT889" s="1714"/>
      <c r="AU889" s="1714"/>
      <c r="AV889" s="1714"/>
      <c r="AW889" s="1714"/>
      <c r="AX889" s="1714"/>
      <c r="AY889" s="1714"/>
      <c r="AZ889" s="1714"/>
      <c r="BA889" s="1714"/>
      <c r="BB889" s="1714"/>
      <c r="BC889" s="1714"/>
      <c r="BD889" s="1714"/>
      <c r="BE889" s="1714"/>
      <c r="BF889" s="1714"/>
    </row>
    <row r="890" spans="1:58" ht="11.25" customHeight="1">
      <c r="A890" s="1088" t="s">
        <v>1395</v>
      </c>
      <c r="D890" s="1082"/>
      <c r="E890" s="1092"/>
      <c r="F890" s="3895"/>
      <c r="G890" s="3875"/>
      <c r="H890" s="3885" t="s">
        <v>421</v>
      </c>
      <c r="I890" s="3886"/>
      <c r="J890" s="3883"/>
      <c r="K890" s="3887"/>
      <c r="L890" s="3599"/>
      <c r="M890" s="3600"/>
      <c r="N890" s="3878"/>
      <c r="O890" s="3879"/>
      <c r="P890" s="3882"/>
      <c r="Q890" s="3883"/>
      <c r="R890" s="3874"/>
      <c r="S890" s="3884"/>
      <c r="T890" s="3874"/>
      <c r="U890" s="3874"/>
      <c r="V890" s="3874"/>
      <c r="W890" s="3874"/>
      <c r="X890" s="3874"/>
      <c r="Y890" s="3874"/>
      <c r="Z890" s="1097"/>
      <c r="AA890" s="1098"/>
      <c r="AB890" s="1163" t="s">
        <v>1444</v>
      </c>
      <c r="AC890" s="1102"/>
      <c r="AD890" s="1102"/>
      <c r="AE890" s="1104"/>
      <c r="AF890" s="3876"/>
      <c r="AG890" s="3877"/>
      <c r="AH890" s="3877"/>
      <c r="AI890" s="3876"/>
      <c r="AJ890" s="3877"/>
      <c r="AK890" s="3877"/>
      <c r="AL890" s="1874"/>
      <c r="AM890" s="1714"/>
      <c r="AN890" s="1714"/>
      <c r="AO890" s="1714"/>
      <c r="AP890" s="1714"/>
      <c r="AQ890" s="1714"/>
      <c r="AR890" s="1714"/>
      <c r="AS890" s="1714"/>
      <c r="AT890" s="1714"/>
      <c r="AU890" s="1714"/>
      <c r="AV890" s="1714"/>
      <c r="AW890" s="1714"/>
      <c r="AX890" s="1714"/>
      <c r="AY890" s="1714"/>
      <c r="AZ890" s="1714"/>
      <c r="BA890" s="1714"/>
      <c r="BB890" s="1714"/>
      <c r="BC890" s="1714"/>
      <c r="BD890" s="1714"/>
      <c r="BE890" s="1714"/>
      <c r="BF890" s="1714"/>
    </row>
    <row r="891" spans="1:58" ht="11.25" customHeight="1">
      <c r="A891" s="1088" t="s">
        <v>1395</v>
      </c>
      <c r="D891" s="1082"/>
      <c r="E891" s="1092"/>
      <c r="F891" s="3895"/>
      <c r="G891" s="3875"/>
      <c r="H891" s="3885" t="s">
        <v>421</v>
      </c>
      <c r="I891" s="3886"/>
      <c r="J891" s="3883"/>
      <c r="K891" s="3887"/>
      <c r="L891" s="3599"/>
      <c r="M891" s="3600"/>
      <c r="N891" s="1097"/>
      <c r="O891" s="1098"/>
      <c r="P891" s="1090" t="s">
        <v>1445</v>
      </c>
      <c r="Q891" s="1098"/>
      <c r="R891" s="1098"/>
      <c r="S891" s="1098"/>
      <c r="T891" s="1098"/>
      <c r="U891" s="1098"/>
      <c r="V891" s="1098"/>
      <c r="W891" s="1098"/>
      <c r="X891" s="1098"/>
      <c r="Y891" s="1098"/>
      <c r="Z891" s="1098"/>
      <c r="AA891" s="1098"/>
      <c r="AB891" s="1098"/>
      <c r="AC891" s="1098"/>
      <c r="AD891" s="1098"/>
      <c r="AE891" s="1105"/>
      <c r="AF891" s="3876"/>
      <c r="AG891" s="3877"/>
      <c r="AH891" s="3877"/>
      <c r="AI891" s="3876"/>
      <c r="AJ891" s="3877"/>
      <c r="AK891" s="3877"/>
      <c r="AL891" s="1874"/>
      <c r="AM891" s="1714"/>
      <c r="AN891" s="1714"/>
      <c r="AO891" s="1714"/>
      <c r="AP891" s="1714"/>
      <c r="AQ891" s="1714"/>
      <c r="AR891" s="1714"/>
      <c r="AS891" s="1714"/>
      <c r="AT891" s="1714"/>
      <c r="AU891" s="1714"/>
      <c r="AV891" s="1714"/>
      <c r="AW891" s="1714"/>
      <c r="AX891" s="1714"/>
      <c r="AY891" s="1714"/>
      <c r="AZ891" s="1714"/>
      <c r="BA891" s="1714"/>
      <c r="BB891" s="1714"/>
      <c r="BC891" s="1714"/>
      <c r="BD891" s="1714"/>
      <c r="BE891" s="1714"/>
      <c r="BF891" s="1714"/>
    </row>
    <row r="892" spans="1:58" ht="12" customHeight="1">
      <c r="A892" s="1088" t="s">
        <v>1395</v>
      </c>
      <c r="D892" s="1082"/>
      <c r="E892" s="1092"/>
      <c r="F892" s="3896"/>
      <c r="G892" s="1112"/>
      <c r="H892" s="1112"/>
      <c r="I892" s="3893" t="s">
        <v>1451</v>
      </c>
      <c r="J892" s="3893"/>
      <c r="K892" s="3893"/>
      <c r="L892" s="1095"/>
      <c r="M892" s="1095"/>
      <c r="N892" s="1096"/>
      <c r="O892" s="1096"/>
      <c r="P892" s="1096"/>
      <c r="Q892" s="1096"/>
      <c r="R892" s="1096"/>
      <c r="S892" s="1096"/>
      <c r="T892" s="1096"/>
      <c r="U892" s="1096"/>
      <c r="V892" s="1096"/>
      <c r="W892" s="1096"/>
      <c r="X892" s="1096"/>
      <c r="Y892" s="1096"/>
      <c r="Z892" s="1096"/>
      <c r="AA892" s="1096"/>
      <c r="AB892" s="1096"/>
      <c r="AC892" s="1096"/>
      <c r="AD892" s="1096"/>
      <c r="AE892" s="1096"/>
      <c r="AF892" s="1096"/>
      <c r="AG892" s="1095"/>
      <c r="AH892" s="1095"/>
      <c r="AI892" s="1096"/>
      <c r="AJ892" s="1095"/>
      <c r="AK892" s="1096"/>
      <c r="AL892" s="1874"/>
      <c r="AM892" s="1714"/>
      <c r="AN892" s="1714"/>
      <c r="AO892" s="1714"/>
      <c r="AP892" s="1714"/>
      <c r="AQ892" s="1714"/>
      <c r="AR892" s="1714"/>
      <c r="AS892" s="1714"/>
      <c r="AT892" s="1714"/>
      <c r="AU892" s="1714"/>
      <c r="AV892" s="1714"/>
      <c r="AW892" s="1714"/>
      <c r="AX892" s="1714"/>
      <c r="AY892" s="1714"/>
      <c r="AZ892" s="1714"/>
      <c r="BA892" s="1714"/>
      <c r="BB892" s="1714"/>
      <c r="BC892" s="1714"/>
      <c r="BD892" s="1714"/>
      <c r="BE892" s="1714"/>
      <c r="BF892" s="1714"/>
    </row>
    <row r="893" spans="1:58" ht="0.75" customHeight="1">
      <c r="A893" s="1088" t="s">
        <v>1395</v>
      </c>
      <c r="D893" s="1082"/>
      <c r="E893" s="1092"/>
      <c r="F893" s="3894">
        <v>2033</v>
      </c>
      <c r="G893" s="3885"/>
      <c r="H893" s="3898" t="s">
        <v>421</v>
      </c>
      <c r="I893" s="3899"/>
      <c r="J893" s="3891"/>
      <c r="K893" s="3891"/>
      <c r="L893" s="3892"/>
      <c r="M893" s="3743"/>
      <c r="N893" s="1922"/>
      <c r="O893" s="1921"/>
      <c r="P893" s="1922"/>
      <c r="Q893" s="1922"/>
      <c r="R893" s="1922"/>
      <c r="S893" s="1922"/>
      <c r="T893" s="1922"/>
      <c r="U893" s="1922"/>
      <c r="V893" s="1922"/>
      <c r="W893" s="1922"/>
      <c r="X893" s="1922"/>
      <c r="Y893" s="1922"/>
      <c r="Z893" s="1922"/>
      <c r="AA893" s="1922"/>
      <c r="AB893" s="1922"/>
      <c r="AC893" s="1922"/>
      <c r="AD893" s="1922"/>
      <c r="AE893" s="1922"/>
      <c r="AF893" s="3897"/>
      <c r="AG893" s="3892"/>
      <c r="AH893" s="3892"/>
      <c r="AI893" s="3897"/>
      <c r="AJ893" s="3892"/>
      <c r="AK893" s="3892"/>
      <c r="AL893" s="1874"/>
      <c r="AM893" s="1714"/>
      <c r="AN893" s="1714"/>
      <c r="AO893" s="1714"/>
      <c r="AP893" s="1714"/>
      <c r="AQ893" s="1714"/>
      <c r="AR893" s="1714"/>
      <c r="AS893" s="1714"/>
      <c r="AT893" s="1714"/>
      <c r="AU893" s="1714"/>
      <c r="AV893" s="1714"/>
      <c r="AW893" s="1714"/>
      <c r="AX893" s="1714"/>
      <c r="AY893" s="1714"/>
      <c r="AZ893" s="1714"/>
      <c r="BA893" s="1714"/>
      <c r="BB893" s="1714"/>
      <c r="BC893" s="1714"/>
      <c r="BD893" s="1714"/>
      <c r="BE893" s="1714"/>
      <c r="BF893" s="1714"/>
    </row>
    <row r="894" spans="1:58" ht="0.75" customHeight="1">
      <c r="A894" s="1088" t="s">
        <v>1395</v>
      </c>
      <c r="D894" s="1082"/>
      <c r="E894" s="1092"/>
      <c r="F894" s="3894"/>
      <c r="G894" s="3885"/>
      <c r="H894" s="3898"/>
      <c r="I894" s="3899"/>
      <c r="J894" s="3891"/>
      <c r="K894" s="3891"/>
      <c r="L894" s="3892"/>
      <c r="M894" s="3743"/>
      <c r="N894" s="3900"/>
      <c r="O894" s="3901"/>
      <c r="P894" s="3888"/>
      <c r="Q894" s="3891"/>
      <c r="R894" s="3891"/>
      <c r="S894" s="3891"/>
      <c r="T894" s="3891"/>
      <c r="U894" s="3891"/>
      <c r="V894" s="3891"/>
      <c r="W894" s="3891"/>
      <c r="X894" s="3891"/>
      <c r="Y894" s="3891"/>
      <c r="Z894" s="1923"/>
      <c r="AA894" s="1924"/>
      <c r="AB894" s="1924"/>
      <c r="AC894" s="1925"/>
      <c r="AD894" s="1925"/>
      <c r="AE894" s="1926"/>
      <c r="AF894" s="3897"/>
      <c r="AG894" s="3892"/>
      <c r="AH894" s="3892"/>
      <c r="AI894" s="3897"/>
      <c r="AJ894" s="3892"/>
      <c r="AK894" s="3892"/>
      <c r="AL894" s="1874"/>
      <c r="AM894" s="1714"/>
      <c r="AN894" s="1714"/>
      <c r="AO894" s="1714"/>
      <c r="AP894" s="1714"/>
      <c r="AQ894" s="1714"/>
      <c r="AR894" s="1714"/>
      <c r="AS894" s="1714"/>
      <c r="AT894" s="1714"/>
      <c r="AU894" s="1714"/>
      <c r="AV894" s="1714"/>
      <c r="AW894" s="1714"/>
      <c r="AX894" s="1714"/>
      <c r="AY894" s="1714"/>
      <c r="AZ894" s="1714"/>
      <c r="BA894" s="1714"/>
      <c r="BB894" s="1714"/>
      <c r="BC894" s="1714"/>
      <c r="BD894" s="1714"/>
      <c r="BE894" s="1714"/>
      <c r="BF894" s="1714"/>
    </row>
    <row r="895" spans="1:58" ht="0.75" customHeight="1">
      <c r="A895" s="1088" t="s">
        <v>1395</v>
      </c>
      <c r="D895" s="1082"/>
      <c r="E895" s="1092"/>
      <c r="F895" s="3894"/>
      <c r="G895" s="3885"/>
      <c r="H895" s="3898"/>
      <c r="I895" s="3899"/>
      <c r="J895" s="3891"/>
      <c r="K895" s="3891"/>
      <c r="L895" s="3892"/>
      <c r="M895" s="3743"/>
      <c r="N895" s="3900"/>
      <c r="O895" s="3901"/>
      <c r="P895" s="3889"/>
      <c r="Q895" s="3891"/>
      <c r="R895" s="3891"/>
      <c r="S895" s="3891"/>
      <c r="T895" s="3891"/>
      <c r="U895" s="3891"/>
      <c r="V895" s="3891"/>
      <c r="W895" s="3891"/>
      <c r="X895" s="3891"/>
      <c r="Y895" s="3891"/>
      <c r="Z895" s="1927"/>
      <c r="AA895" s="1928"/>
      <c r="AB895" s="1929"/>
      <c r="AC895" s="1930"/>
      <c r="AD895" s="1929"/>
      <c r="AE895" s="1930"/>
      <c r="AF895" s="3897"/>
      <c r="AG895" s="3892"/>
      <c r="AH895" s="3892"/>
      <c r="AI895" s="3897"/>
      <c r="AJ895" s="3892"/>
      <c r="AK895" s="3892"/>
      <c r="AL895" s="1874"/>
      <c r="AM895" s="1714"/>
      <c r="AN895" s="1714"/>
      <c r="AO895" s="1714"/>
      <c r="AP895" s="1714"/>
      <c r="AQ895" s="1714"/>
      <c r="AR895" s="1714"/>
      <c r="AS895" s="1714"/>
      <c r="AT895" s="1714"/>
      <c r="AU895" s="1714"/>
      <c r="AV895" s="1714"/>
      <c r="AW895" s="1714"/>
      <c r="AX895" s="1714"/>
      <c r="AY895" s="1714"/>
      <c r="AZ895" s="1714"/>
      <c r="BA895" s="1714"/>
      <c r="BB895" s="1714"/>
      <c r="BC895" s="1714"/>
      <c r="BD895" s="1714"/>
      <c r="BE895" s="1714"/>
      <c r="BF895" s="1714"/>
    </row>
    <row r="896" spans="1:58" ht="0.75" customHeight="1">
      <c r="A896" s="1088" t="s">
        <v>1395</v>
      </c>
      <c r="D896" s="1082"/>
      <c r="E896" s="1092"/>
      <c r="F896" s="3894"/>
      <c r="G896" s="3885"/>
      <c r="H896" s="3898"/>
      <c r="I896" s="3899"/>
      <c r="J896" s="3891"/>
      <c r="K896" s="3891"/>
      <c r="L896" s="3892"/>
      <c r="M896" s="3743"/>
      <c r="N896" s="3900"/>
      <c r="O896" s="3901"/>
      <c r="P896" s="3890"/>
      <c r="Q896" s="3891"/>
      <c r="R896" s="3891"/>
      <c r="S896" s="3891"/>
      <c r="T896" s="3891"/>
      <c r="U896" s="3891"/>
      <c r="V896" s="3891"/>
      <c r="W896" s="3891"/>
      <c r="X896" s="3891"/>
      <c r="Y896" s="3891"/>
      <c r="Z896" s="1923"/>
      <c r="AA896" s="1924"/>
      <c r="AB896" s="1931"/>
      <c r="AC896" s="1925"/>
      <c r="AD896" s="1925"/>
      <c r="AE896" s="1932"/>
      <c r="AF896" s="3897"/>
      <c r="AG896" s="3892"/>
      <c r="AH896" s="3892"/>
      <c r="AI896" s="3897"/>
      <c r="AJ896" s="3892"/>
      <c r="AK896" s="3892"/>
      <c r="AL896" s="1874"/>
      <c r="AM896" s="1714"/>
      <c r="AN896" s="1714"/>
      <c r="AO896" s="1714"/>
      <c r="AP896" s="1714"/>
      <c r="AQ896" s="1714"/>
      <c r="AR896" s="1714"/>
      <c r="AS896" s="1714"/>
      <c r="AT896" s="1714"/>
      <c r="AU896" s="1714"/>
      <c r="AV896" s="1714"/>
      <c r="AW896" s="1714"/>
      <c r="AX896" s="1714"/>
      <c r="AY896" s="1714"/>
      <c r="AZ896" s="1714"/>
      <c r="BA896" s="1714"/>
      <c r="BB896" s="1714"/>
      <c r="BC896" s="1714"/>
      <c r="BD896" s="1714"/>
      <c r="BE896" s="1714"/>
      <c r="BF896" s="1714"/>
    </row>
    <row r="897" spans="1:58" ht="0.75" customHeight="1">
      <c r="A897" s="1088" t="s">
        <v>1395</v>
      </c>
      <c r="D897" s="1082"/>
      <c r="E897" s="1092"/>
      <c r="F897" s="3894"/>
      <c r="G897" s="3885"/>
      <c r="H897" s="3898"/>
      <c r="I897" s="3899"/>
      <c r="J897" s="3891"/>
      <c r="K897" s="3891"/>
      <c r="L897" s="3892"/>
      <c r="M897" s="3743"/>
      <c r="N897" s="1924"/>
      <c r="O897" s="1924"/>
      <c r="P897" s="1931"/>
      <c r="Q897" s="1924"/>
      <c r="R897" s="1924"/>
      <c r="S897" s="1924"/>
      <c r="T897" s="1924"/>
      <c r="U897" s="1924"/>
      <c r="V897" s="1924"/>
      <c r="W897" s="1924"/>
      <c r="X897" s="1924"/>
      <c r="Y897" s="1924"/>
      <c r="Z897" s="1924"/>
      <c r="AA897" s="1924"/>
      <c r="AB897" s="1924"/>
      <c r="AC897" s="1924"/>
      <c r="AD897" s="1924"/>
      <c r="AE897" s="1933"/>
      <c r="AF897" s="3897"/>
      <c r="AG897" s="3892"/>
      <c r="AH897" s="3892"/>
      <c r="AI897" s="3897"/>
      <c r="AJ897" s="3892"/>
      <c r="AK897" s="3892"/>
      <c r="AL897" s="1874"/>
      <c r="AM897" s="1714"/>
      <c r="AN897" s="1714"/>
      <c r="AO897" s="1714"/>
      <c r="AP897" s="1714"/>
      <c r="AQ897" s="1714"/>
      <c r="AR897" s="1714"/>
      <c r="AS897" s="1714"/>
      <c r="AT897" s="1714"/>
      <c r="AU897" s="1714"/>
      <c r="AV897" s="1714"/>
      <c r="AW897" s="1714"/>
      <c r="AX897" s="1714"/>
      <c r="AY897" s="1714"/>
      <c r="AZ897" s="1714"/>
      <c r="BA897" s="1714"/>
      <c r="BB897" s="1714"/>
      <c r="BC897" s="1714"/>
      <c r="BD897" s="1714"/>
      <c r="BE897" s="1714"/>
      <c r="BF897" s="1714"/>
    </row>
    <row r="898" spans="1:58" ht="11.25" customHeight="1">
      <c r="A898" s="1088" t="s">
        <v>1395</v>
      </c>
      <c r="D898" s="1082"/>
      <c r="E898" s="1092"/>
      <c r="F898" s="3895"/>
      <c r="G898" s="3853" t="s">
        <v>90</v>
      </c>
      <c r="H898" s="3885" t="s">
        <v>164</v>
      </c>
      <c r="I898" s="3886"/>
      <c r="J898" s="3883"/>
      <c r="K898" s="3887" t="s">
        <v>1521</v>
      </c>
      <c r="L898" s="3599" t="s">
        <v>6</v>
      </c>
      <c r="M898" s="3600"/>
      <c r="N898" s="1872"/>
      <c r="O898" s="1099" t="s">
        <v>421</v>
      </c>
      <c r="P898" s="1100"/>
      <c r="Q898" s="1100"/>
      <c r="R898" s="1100"/>
      <c r="S898" s="1100"/>
      <c r="T898" s="1100"/>
      <c r="U898" s="1100"/>
      <c r="V898" s="1100"/>
      <c r="W898" s="1100"/>
      <c r="X898" s="1100"/>
      <c r="Y898" s="1100"/>
      <c r="Z898" s="1100"/>
      <c r="AA898" s="1100"/>
      <c r="AB898" s="1100"/>
      <c r="AC898" s="1100"/>
      <c r="AD898" s="1100"/>
      <c r="AE898" s="1100"/>
      <c r="AF898" s="3876">
        <v>2035</v>
      </c>
      <c r="AG898" s="3877" t="s">
        <v>1447</v>
      </c>
      <c r="AH898" s="3877" t="s">
        <v>1522</v>
      </c>
      <c r="AI898" s="3876">
        <v>2035</v>
      </c>
      <c r="AJ898" s="3877" t="s">
        <v>1447</v>
      </c>
      <c r="AK898" s="3877" t="s">
        <v>1522</v>
      </c>
      <c r="AL898" s="1874"/>
      <c r="AM898" s="1714"/>
      <c r="AN898" s="1714"/>
      <c r="AO898" s="1714"/>
      <c r="AP898" s="1714"/>
      <c r="AQ898" s="1714"/>
      <c r="AR898" s="1714"/>
      <c r="AS898" s="1714"/>
      <c r="AT898" s="1714"/>
      <c r="AU898" s="1714"/>
      <c r="AV898" s="1714"/>
      <c r="AW898" s="1714"/>
      <c r="AX898" s="1714"/>
      <c r="AY898" s="1714"/>
      <c r="AZ898" s="1714"/>
      <c r="BA898" s="1714"/>
      <c r="BB898" s="1714"/>
      <c r="BC898" s="1714"/>
      <c r="BD898" s="1714"/>
      <c r="BE898" s="1714"/>
      <c r="BF898" s="1714"/>
    </row>
    <row r="899" spans="1:58" ht="11.25" customHeight="1">
      <c r="A899" s="1088" t="s">
        <v>1395</v>
      </c>
      <c r="D899" s="1082"/>
      <c r="E899" s="1092"/>
      <c r="F899" s="3895"/>
      <c r="G899" s="3875"/>
      <c r="H899" s="3885" t="s">
        <v>421</v>
      </c>
      <c r="I899" s="3886"/>
      <c r="J899" s="3883"/>
      <c r="K899" s="3887"/>
      <c r="L899" s="3599"/>
      <c r="M899" s="3600"/>
      <c r="N899" s="3878"/>
      <c r="O899" s="3879">
        <v>1</v>
      </c>
      <c r="P899" s="3880" t="s">
        <v>50</v>
      </c>
      <c r="Q899" s="3883" t="s">
        <v>1449</v>
      </c>
      <c r="R899" s="3884" t="s">
        <v>1438</v>
      </c>
      <c r="S899" s="3884" t="s">
        <v>147</v>
      </c>
      <c r="T899" s="3884" t="s">
        <v>147</v>
      </c>
      <c r="U899" s="3884" t="s">
        <v>148</v>
      </c>
      <c r="V899" s="3884" t="s">
        <v>1523</v>
      </c>
      <c r="W899" s="3884" t="s">
        <v>1524</v>
      </c>
      <c r="X899" s="3884" t="s">
        <v>1525</v>
      </c>
      <c r="Y899" s="3884" t="s">
        <v>1442</v>
      </c>
      <c r="Z899" s="1097"/>
      <c r="AA899" s="1098"/>
      <c r="AB899" s="1098"/>
      <c r="AC899" s="1102"/>
      <c r="AD899" s="1102"/>
      <c r="AE899" s="1103"/>
      <c r="AF899" s="3876"/>
      <c r="AG899" s="3877"/>
      <c r="AH899" s="3877"/>
      <c r="AI899" s="3876"/>
      <c r="AJ899" s="3877"/>
      <c r="AK899" s="3877"/>
      <c r="AL899" s="1874"/>
      <c r="AM899" s="1714"/>
      <c r="AN899" s="1714"/>
      <c r="AO899" s="1714"/>
      <c r="AP899" s="1714"/>
      <c r="AQ899" s="1714"/>
      <c r="AR899" s="1714"/>
      <c r="AS899" s="1714"/>
      <c r="AT899" s="1714"/>
      <c r="AU899" s="1714"/>
      <c r="AV899" s="1714"/>
      <c r="AW899" s="1714"/>
      <c r="AX899" s="1714"/>
      <c r="AY899" s="1714"/>
      <c r="AZ899" s="1714"/>
      <c r="BA899" s="1714"/>
      <c r="BB899" s="1714"/>
      <c r="BC899" s="1714"/>
      <c r="BD899" s="1714"/>
      <c r="BE899" s="1714"/>
      <c r="BF899" s="1714"/>
    </row>
    <row r="900" spans="1:58" ht="11.25" customHeight="1">
      <c r="A900" s="1088" t="s">
        <v>1395</v>
      </c>
      <c r="D900" s="1082"/>
      <c r="E900" s="1092"/>
      <c r="F900" s="3895"/>
      <c r="G900" s="3875"/>
      <c r="H900" s="3885" t="s">
        <v>421</v>
      </c>
      <c r="I900" s="3886"/>
      <c r="J900" s="3883"/>
      <c r="K900" s="3887"/>
      <c r="L900" s="3599"/>
      <c r="M900" s="3600"/>
      <c r="N900" s="3878"/>
      <c r="O900" s="3879"/>
      <c r="P900" s="3881"/>
      <c r="Q900" s="3883"/>
      <c r="R900" s="3874"/>
      <c r="S900" s="3884"/>
      <c r="T900" s="3874"/>
      <c r="U900" s="3874"/>
      <c r="V900" s="3874"/>
      <c r="W900" s="3874"/>
      <c r="X900" s="3874"/>
      <c r="Y900" s="3874"/>
      <c r="Z900" s="1719"/>
      <c r="AA900" s="1686">
        <v>1</v>
      </c>
      <c r="AB900" s="1101" t="s">
        <v>1443</v>
      </c>
      <c r="AC900" s="1091">
        <v>150</v>
      </c>
      <c r="AD900" s="1101" t="str">
        <f>AB900</f>
        <v xml:space="preserve">  Прибыль направляемая на инвестиции</v>
      </c>
      <c r="AE900" s="1091">
        <v>0</v>
      </c>
      <c r="AF900" s="3876"/>
      <c r="AG900" s="3877"/>
      <c r="AH900" s="3877"/>
      <c r="AI900" s="3876"/>
      <c r="AJ900" s="3877"/>
      <c r="AK900" s="3877"/>
      <c r="AL900" s="1874"/>
      <c r="AM900" s="1714"/>
      <c r="AN900" s="1714"/>
      <c r="AO900" s="1714"/>
      <c r="AP900" s="1714"/>
      <c r="AQ900" s="1714"/>
      <c r="AR900" s="1714"/>
      <c r="AS900" s="1714"/>
      <c r="AT900" s="1714"/>
      <c r="AU900" s="1714"/>
      <c r="AV900" s="1714"/>
      <c r="AW900" s="1714"/>
      <c r="AX900" s="1714"/>
      <c r="AY900" s="1714"/>
      <c r="AZ900" s="1714"/>
      <c r="BA900" s="1714"/>
      <c r="BB900" s="1714"/>
      <c r="BC900" s="1714"/>
      <c r="BD900" s="1714"/>
      <c r="BE900" s="1714"/>
      <c r="BF900" s="1714"/>
    </row>
    <row r="901" spans="1:58" ht="11.25" customHeight="1">
      <c r="A901" s="1088" t="s">
        <v>1395</v>
      </c>
      <c r="D901" s="1082"/>
      <c r="E901" s="1092"/>
      <c r="F901" s="3895"/>
      <c r="G901" s="3875"/>
      <c r="H901" s="3885" t="s">
        <v>421</v>
      </c>
      <c r="I901" s="3886"/>
      <c r="J901" s="3883"/>
      <c r="K901" s="3887"/>
      <c r="L901" s="3599"/>
      <c r="M901" s="3600"/>
      <c r="N901" s="3878"/>
      <c r="O901" s="3879"/>
      <c r="P901" s="3882"/>
      <c r="Q901" s="3883"/>
      <c r="R901" s="3874"/>
      <c r="S901" s="3884"/>
      <c r="T901" s="3874"/>
      <c r="U901" s="3874"/>
      <c r="V901" s="3874"/>
      <c r="W901" s="3874"/>
      <c r="X901" s="3874"/>
      <c r="Y901" s="3874"/>
      <c r="Z901" s="1097"/>
      <c r="AA901" s="1098"/>
      <c r="AB901" s="1163" t="s">
        <v>1444</v>
      </c>
      <c r="AC901" s="1102"/>
      <c r="AD901" s="1102"/>
      <c r="AE901" s="1104"/>
      <c r="AF901" s="3876"/>
      <c r="AG901" s="3877"/>
      <c r="AH901" s="3877"/>
      <c r="AI901" s="3876"/>
      <c r="AJ901" s="3877"/>
      <c r="AK901" s="3877"/>
      <c r="AL901" s="1874"/>
      <c r="AM901" s="1714"/>
      <c r="AN901" s="1714"/>
      <c r="AO901" s="1714"/>
      <c r="AP901" s="1714"/>
      <c r="AQ901" s="1714"/>
      <c r="AR901" s="1714"/>
      <c r="AS901" s="1714"/>
      <c r="AT901" s="1714"/>
      <c r="AU901" s="1714"/>
      <c r="AV901" s="1714"/>
      <c r="AW901" s="1714"/>
      <c r="AX901" s="1714"/>
      <c r="AY901" s="1714"/>
      <c r="AZ901" s="1714"/>
      <c r="BA901" s="1714"/>
      <c r="BB901" s="1714"/>
      <c r="BC901" s="1714"/>
      <c r="BD901" s="1714"/>
      <c r="BE901" s="1714"/>
      <c r="BF901" s="1714"/>
    </row>
    <row r="902" spans="1:58" ht="11.25" customHeight="1">
      <c r="A902" s="1088" t="s">
        <v>1395</v>
      </c>
      <c r="D902" s="1082"/>
      <c r="E902" s="1092"/>
      <c r="F902" s="3895"/>
      <c r="G902" s="3875"/>
      <c r="H902" s="3885" t="s">
        <v>421</v>
      </c>
      <c r="I902" s="3886"/>
      <c r="J902" s="3883"/>
      <c r="K902" s="3887"/>
      <c r="L902" s="3599"/>
      <c r="M902" s="3600"/>
      <c r="N902" s="1097"/>
      <c r="O902" s="1098"/>
      <c r="P902" s="1090" t="s">
        <v>1445</v>
      </c>
      <c r="Q902" s="1098"/>
      <c r="R902" s="1098"/>
      <c r="S902" s="1098"/>
      <c r="T902" s="1098"/>
      <c r="U902" s="1098"/>
      <c r="V902" s="1098"/>
      <c r="W902" s="1098"/>
      <c r="X902" s="1098"/>
      <c r="Y902" s="1098"/>
      <c r="Z902" s="1098"/>
      <c r="AA902" s="1098"/>
      <c r="AB902" s="1098"/>
      <c r="AC902" s="1098"/>
      <c r="AD902" s="1098"/>
      <c r="AE902" s="1105"/>
      <c r="AF902" s="3876"/>
      <c r="AG902" s="3877"/>
      <c r="AH902" s="3877"/>
      <c r="AI902" s="3876"/>
      <c r="AJ902" s="3877"/>
      <c r="AK902" s="3877"/>
      <c r="AL902" s="1874"/>
      <c r="AM902" s="1714"/>
      <c r="AN902" s="1714"/>
      <c r="AO902" s="1714"/>
      <c r="AP902" s="1714"/>
      <c r="AQ902" s="1714"/>
      <c r="AR902" s="1714"/>
      <c r="AS902" s="1714"/>
      <c r="AT902" s="1714"/>
      <c r="AU902" s="1714"/>
      <c r="AV902" s="1714"/>
      <c r="AW902" s="1714"/>
      <c r="AX902" s="1714"/>
      <c r="AY902" s="1714"/>
      <c r="AZ902" s="1714"/>
      <c r="BA902" s="1714"/>
      <c r="BB902" s="1714"/>
      <c r="BC902" s="1714"/>
      <c r="BD902" s="1714"/>
      <c r="BE902" s="1714"/>
      <c r="BF902" s="1714"/>
    </row>
    <row r="903" spans="1:58" ht="12" customHeight="1">
      <c r="A903" s="1088" t="s">
        <v>1395</v>
      </c>
      <c r="D903" s="1082"/>
      <c r="E903" s="1092"/>
      <c r="F903" s="3896"/>
      <c r="G903" s="1112"/>
      <c r="H903" s="1112"/>
      <c r="I903" s="3893" t="s">
        <v>1451</v>
      </c>
      <c r="J903" s="3893"/>
      <c r="K903" s="3893"/>
      <c r="L903" s="1095"/>
      <c r="M903" s="1095"/>
      <c r="N903" s="1096"/>
      <c r="O903" s="1096"/>
      <c r="P903" s="1096"/>
      <c r="Q903" s="1096"/>
      <c r="R903" s="1096"/>
      <c r="S903" s="1096"/>
      <c r="T903" s="1096"/>
      <c r="U903" s="1096"/>
      <c r="V903" s="1096"/>
      <c r="W903" s="1096"/>
      <c r="X903" s="1096"/>
      <c r="Y903" s="1096"/>
      <c r="Z903" s="1096"/>
      <c r="AA903" s="1096"/>
      <c r="AB903" s="1096"/>
      <c r="AC903" s="1096"/>
      <c r="AD903" s="1096"/>
      <c r="AE903" s="1096"/>
      <c r="AF903" s="1096"/>
      <c r="AG903" s="1095"/>
      <c r="AH903" s="1095"/>
      <c r="AI903" s="1096"/>
      <c r="AJ903" s="1095"/>
      <c r="AK903" s="1096"/>
      <c r="AL903" s="1874"/>
      <c r="AM903" s="1714"/>
      <c r="AN903" s="1714"/>
      <c r="AO903" s="1714"/>
      <c r="AP903" s="1714"/>
      <c r="AQ903" s="1714"/>
      <c r="AR903" s="1714"/>
      <c r="AS903" s="1714"/>
      <c r="AT903" s="1714"/>
      <c r="AU903" s="1714"/>
      <c r="AV903" s="1714"/>
      <c r="AW903" s="1714"/>
      <c r="AX903" s="1714"/>
      <c r="AY903" s="1714"/>
      <c r="AZ903" s="1714"/>
      <c r="BA903" s="1714"/>
      <c r="BB903" s="1714"/>
      <c r="BC903" s="1714"/>
      <c r="BD903" s="1714"/>
      <c r="BE903" s="1714"/>
      <c r="BF903" s="1714"/>
    </row>
    <row r="904" spans="1:58" ht="0.75" customHeight="1">
      <c r="A904" s="1088" t="s">
        <v>1395</v>
      </c>
      <c r="D904" s="1082"/>
      <c r="E904" s="1092"/>
      <c r="F904" s="3894">
        <v>2034</v>
      </c>
      <c r="G904" s="3885"/>
      <c r="H904" s="3898" t="s">
        <v>421</v>
      </c>
      <c r="I904" s="3899"/>
      <c r="J904" s="3891"/>
      <c r="K904" s="3891"/>
      <c r="L904" s="3892"/>
      <c r="M904" s="3743"/>
      <c r="N904" s="1922"/>
      <c r="O904" s="1921"/>
      <c r="P904" s="1922"/>
      <c r="Q904" s="1922"/>
      <c r="R904" s="1922"/>
      <c r="S904" s="1922"/>
      <c r="T904" s="1922"/>
      <c r="U904" s="1922"/>
      <c r="V904" s="1922"/>
      <c r="W904" s="1922"/>
      <c r="X904" s="1922"/>
      <c r="Y904" s="1922"/>
      <c r="Z904" s="1922"/>
      <c r="AA904" s="1922"/>
      <c r="AB904" s="1922"/>
      <c r="AC904" s="1922"/>
      <c r="AD904" s="1922"/>
      <c r="AE904" s="1922"/>
      <c r="AF904" s="3897"/>
      <c r="AG904" s="3892"/>
      <c r="AH904" s="3892"/>
      <c r="AI904" s="3897"/>
      <c r="AJ904" s="3892"/>
      <c r="AK904" s="3892"/>
      <c r="AL904" s="1874"/>
      <c r="AM904" s="1714"/>
      <c r="AN904" s="1714"/>
      <c r="AO904" s="1714"/>
      <c r="AP904" s="1714"/>
      <c r="AQ904" s="1714"/>
      <c r="AR904" s="1714"/>
      <c r="AS904" s="1714"/>
      <c r="AT904" s="1714"/>
      <c r="AU904" s="1714"/>
      <c r="AV904" s="1714"/>
      <c r="AW904" s="1714"/>
      <c r="AX904" s="1714"/>
      <c r="AY904" s="1714"/>
      <c r="AZ904" s="1714"/>
      <c r="BA904" s="1714"/>
      <c r="BB904" s="1714"/>
      <c r="BC904" s="1714"/>
      <c r="BD904" s="1714"/>
      <c r="BE904" s="1714"/>
      <c r="BF904" s="1714"/>
    </row>
    <row r="905" spans="1:58" ht="0.75" customHeight="1">
      <c r="A905" s="1088" t="s">
        <v>1395</v>
      </c>
      <c r="D905" s="1082"/>
      <c r="E905" s="1092"/>
      <c r="F905" s="3894"/>
      <c r="G905" s="3885"/>
      <c r="H905" s="3898"/>
      <c r="I905" s="3899"/>
      <c r="J905" s="3891"/>
      <c r="K905" s="3891"/>
      <c r="L905" s="3892"/>
      <c r="M905" s="3743"/>
      <c r="N905" s="3900"/>
      <c r="O905" s="3901"/>
      <c r="P905" s="3888"/>
      <c r="Q905" s="3891"/>
      <c r="R905" s="3891"/>
      <c r="S905" s="3891"/>
      <c r="T905" s="3891"/>
      <c r="U905" s="3891"/>
      <c r="V905" s="3891"/>
      <c r="W905" s="3891"/>
      <c r="X905" s="3891"/>
      <c r="Y905" s="3891"/>
      <c r="Z905" s="1923"/>
      <c r="AA905" s="1924"/>
      <c r="AB905" s="1924"/>
      <c r="AC905" s="1925"/>
      <c r="AD905" s="1925"/>
      <c r="AE905" s="1926"/>
      <c r="AF905" s="3897"/>
      <c r="AG905" s="3892"/>
      <c r="AH905" s="3892"/>
      <c r="AI905" s="3897"/>
      <c r="AJ905" s="3892"/>
      <c r="AK905" s="3892"/>
      <c r="AL905" s="1874"/>
      <c r="AM905" s="1714"/>
      <c r="AN905" s="1714"/>
      <c r="AO905" s="1714"/>
      <c r="AP905" s="1714"/>
      <c r="AQ905" s="1714"/>
      <c r="AR905" s="1714"/>
      <c r="AS905" s="1714"/>
      <c r="AT905" s="1714"/>
      <c r="AU905" s="1714"/>
      <c r="AV905" s="1714"/>
      <c r="AW905" s="1714"/>
      <c r="AX905" s="1714"/>
      <c r="AY905" s="1714"/>
      <c r="AZ905" s="1714"/>
      <c r="BA905" s="1714"/>
      <c r="BB905" s="1714"/>
      <c r="BC905" s="1714"/>
      <c r="BD905" s="1714"/>
      <c r="BE905" s="1714"/>
      <c r="BF905" s="1714"/>
    </row>
    <row r="906" spans="1:58" ht="0.75" customHeight="1">
      <c r="A906" s="1088" t="s">
        <v>1395</v>
      </c>
      <c r="D906" s="1082"/>
      <c r="E906" s="1092"/>
      <c r="F906" s="3894"/>
      <c r="G906" s="3885"/>
      <c r="H906" s="3898"/>
      <c r="I906" s="3899"/>
      <c r="J906" s="3891"/>
      <c r="K906" s="3891"/>
      <c r="L906" s="3892"/>
      <c r="M906" s="3743"/>
      <c r="N906" s="3900"/>
      <c r="O906" s="3901"/>
      <c r="P906" s="3889"/>
      <c r="Q906" s="3891"/>
      <c r="R906" s="3891"/>
      <c r="S906" s="3891"/>
      <c r="T906" s="3891"/>
      <c r="U906" s="3891"/>
      <c r="V906" s="3891"/>
      <c r="W906" s="3891"/>
      <c r="X906" s="3891"/>
      <c r="Y906" s="3891"/>
      <c r="Z906" s="1927"/>
      <c r="AA906" s="1928"/>
      <c r="AB906" s="1929"/>
      <c r="AC906" s="1930"/>
      <c r="AD906" s="1929"/>
      <c r="AE906" s="1930"/>
      <c r="AF906" s="3897"/>
      <c r="AG906" s="3892"/>
      <c r="AH906" s="3892"/>
      <c r="AI906" s="3897"/>
      <c r="AJ906" s="3892"/>
      <c r="AK906" s="3892"/>
      <c r="AL906" s="1874"/>
      <c r="AM906" s="1714"/>
      <c r="AN906" s="1714"/>
      <c r="AO906" s="1714"/>
      <c r="AP906" s="1714"/>
      <c r="AQ906" s="1714"/>
      <c r="AR906" s="1714"/>
      <c r="AS906" s="1714"/>
      <c r="AT906" s="1714"/>
      <c r="AU906" s="1714"/>
      <c r="AV906" s="1714"/>
      <c r="AW906" s="1714"/>
      <c r="AX906" s="1714"/>
      <c r="AY906" s="1714"/>
      <c r="AZ906" s="1714"/>
      <c r="BA906" s="1714"/>
      <c r="BB906" s="1714"/>
      <c r="BC906" s="1714"/>
      <c r="BD906" s="1714"/>
      <c r="BE906" s="1714"/>
      <c r="BF906" s="1714"/>
    </row>
    <row r="907" spans="1:58" ht="0.75" customHeight="1">
      <c r="A907" s="1088" t="s">
        <v>1395</v>
      </c>
      <c r="D907" s="1082"/>
      <c r="E907" s="1092"/>
      <c r="F907" s="3894"/>
      <c r="G907" s="3885"/>
      <c r="H907" s="3898"/>
      <c r="I907" s="3899"/>
      <c r="J907" s="3891"/>
      <c r="K907" s="3891"/>
      <c r="L907" s="3892"/>
      <c r="M907" s="3743"/>
      <c r="N907" s="3900"/>
      <c r="O907" s="3901"/>
      <c r="P907" s="3890"/>
      <c r="Q907" s="3891"/>
      <c r="R907" s="3891"/>
      <c r="S907" s="3891"/>
      <c r="T907" s="3891"/>
      <c r="U907" s="3891"/>
      <c r="V907" s="3891"/>
      <c r="W907" s="3891"/>
      <c r="X907" s="3891"/>
      <c r="Y907" s="3891"/>
      <c r="Z907" s="1923"/>
      <c r="AA907" s="1924"/>
      <c r="AB907" s="1931"/>
      <c r="AC907" s="1925"/>
      <c r="AD907" s="1925"/>
      <c r="AE907" s="1932"/>
      <c r="AF907" s="3897"/>
      <c r="AG907" s="3892"/>
      <c r="AH907" s="3892"/>
      <c r="AI907" s="3897"/>
      <c r="AJ907" s="3892"/>
      <c r="AK907" s="3892"/>
      <c r="AL907" s="1874"/>
      <c r="AM907" s="1714"/>
      <c r="AN907" s="1714"/>
      <c r="AO907" s="1714"/>
      <c r="AP907" s="1714"/>
      <c r="AQ907" s="1714"/>
      <c r="AR907" s="1714"/>
      <c r="AS907" s="1714"/>
      <c r="AT907" s="1714"/>
      <c r="AU907" s="1714"/>
      <c r="AV907" s="1714"/>
      <c r="AW907" s="1714"/>
      <c r="AX907" s="1714"/>
      <c r="AY907" s="1714"/>
      <c r="AZ907" s="1714"/>
      <c r="BA907" s="1714"/>
      <c r="BB907" s="1714"/>
      <c r="BC907" s="1714"/>
      <c r="BD907" s="1714"/>
      <c r="BE907" s="1714"/>
      <c r="BF907" s="1714"/>
    </row>
    <row r="908" spans="1:58" ht="0.75" customHeight="1">
      <c r="A908" s="1088" t="s">
        <v>1395</v>
      </c>
      <c r="D908" s="1082"/>
      <c r="E908" s="1092"/>
      <c r="F908" s="3894"/>
      <c r="G908" s="3885"/>
      <c r="H908" s="3898"/>
      <c r="I908" s="3899"/>
      <c r="J908" s="3891"/>
      <c r="K908" s="3891"/>
      <c r="L908" s="3892"/>
      <c r="M908" s="3743"/>
      <c r="N908" s="1924"/>
      <c r="O908" s="1924"/>
      <c r="P908" s="1931"/>
      <c r="Q908" s="1924"/>
      <c r="R908" s="1924"/>
      <c r="S908" s="1924"/>
      <c r="T908" s="1924"/>
      <c r="U908" s="1924"/>
      <c r="V908" s="1924"/>
      <c r="W908" s="1924"/>
      <c r="X908" s="1924"/>
      <c r="Y908" s="1924"/>
      <c r="Z908" s="1924"/>
      <c r="AA908" s="1924"/>
      <c r="AB908" s="1924"/>
      <c r="AC908" s="1924"/>
      <c r="AD908" s="1924"/>
      <c r="AE908" s="1933"/>
      <c r="AF908" s="3897"/>
      <c r="AG908" s="3892"/>
      <c r="AH908" s="3892"/>
      <c r="AI908" s="3897"/>
      <c r="AJ908" s="3892"/>
      <c r="AK908" s="3892"/>
      <c r="AL908" s="1874"/>
      <c r="AM908" s="1714"/>
      <c r="AN908" s="1714"/>
      <c r="AO908" s="1714"/>
      <c r="AP908" s="1714"/>
      <c r="AQ908" s="1714"/>
      <c r="AR908" s="1714"/>
      <c r="AS908" s="1714"/>
      <c r="AT908" s="1714"/>
      <c r="AU908" s="1714"/>
      <c r="AV908" s="1714"/>
      <c r="AW908" s="1714"/>
      <c r="AX908" s="1714"/>
      <c r="AY908" s="1714"/>
      <c r="AZ908" s="1714"/>
      <c r="BA908" s="1714"/>
      <c r="BB908" s="1714"/>
      <c r="BC908" s="1714"/>
      <c r="BD908" s="1714"/>
      <c r="BE908" s="1714"/>
      <c r="BF908" s="1714"/>
    </row>
    <row r="909" spans="1:58" ht="11.25" customHeight="1">
      <c r="A909" s="1088" t="s">
        <v>1395</v>
      </c>
      <c r="D909" s="1082"/>
      <c r="E909" s="1092"/>
      <c r="F909" s="3895"/>
      <c r="G909" s="3853" t="s">
        <v>90</v>
      </c>
      <c r="H909" s="3885" t="s">
        <v>164</v>
      </c>
      <c r="I909" s="3886"/>
      <c r="J909" s="3883"/>
      <c r="K909" s="3887" t="s">
        <v>1521</v>
      </c>
      <c r="L909" s="3599" t="s">
        <v>6</v>
      </c>
      <c r="M909" s="3600"/>
      <c r="N909" s="1872"/>
      <c r="O909" s="1099" t="s">
        <v>421</v>
      </c>
      <c r="P909" s="1100"/>
      <c r="Q909" s="1100"/>
      <c r="R909" s="1100"/>
      <c r="S909" s="1100"/>
      <c r="T909" s="1100"/>
      <c r="U909" s="1100"/>
      <c r="V909" s="1100"/>
      <c r="W909" s="1100"/>
      <c r="X909" s="1100"/>
      <c r="Y909" s="1100"/>
      <c r="Z909" s="1100"/>
      <c r="AA909" s="1100"/>
      <c r="AB909" s="1100"/>
      <c r="AC909" s="1100"/>
      <c r="AD909" s="1100"/>
      <c r="AE909" s="1100"/>
      <c r="AF909" s="3876">
        <v>2035</v>
      </c>
      <c r="AG909" s="3877" t="s">
        <v>1447</v>
      </c>
      <c r="AH909" s="3877" t="s">
        <v>1522</v>
      </c>
      <c r="AI909" s="3876">
        <v>2035</v>
      </c>
      <c r="AJ909" s="3877" t="s">
        <v>1447</v>
      </c>
      <c r="AK909" s="3877" t="s">
        <v>1522</v>
      </c>
      <c r="AL909" s="1874"/>
      <c r="AM909" s="1714"/>
      <c r="AN909" s="1714"/>
      <c r="AO909" s="1714"/>
      <c r="AP909" s="1714"/>
      <c r="AQ909" s="1714"/>
      <c r="AR909" s="1714"/>
      <c r="AS909" s="1714"/>
      <c r="AT909" s="1714"/>
      <c r="AU909" s="1714"/>
      <c r="AV909" s="1714"/>
      <c r="AW909" s="1714"/>
      <c r="AX909" s="1714"/>
      <c r="AY909" s="1714"/>
      <c r="AZ909" s="1714"/>
      <c r="BA909" s="1714"/>
      <c r="BB909" s="1714"/>
      <c r="BC909" s="1714"/>
      <c r="BD909" s="1714"/>
      <c r="BE909" s="1714"/>
      <c r="BF909" s="1714"/>
    </row>
    <row r="910" spans="1:58" ht="11.25" customHeight="1">
      <c r="A910" s="1088" t="s">
        <v>1395</v>
      </c>
      <c r="D910" s="1082"/>
      <c r="E910" s="1092"/>
      <c r="F910" s="3895"/>
      <c r="G910" s="3875"/>
      <c r="H910" s="3885" t="s">
        <v>421</v>
      </c>
      <c r="I910" s="3886"/>
      <c r="J910" s="3883"/>
      <c r="K910" s="3887"/>
      <c r="L910" s="3599"/>
      <c r="M910" s="3600"/>
      <c r="N910" s="3878"/>
      <c r="O910" s="3879">
        <v>1</v>
      </c>
      <c r="P910" s="3880" t="s">
        <v>50</v>
      </c>
      <c r="Q910" s="3883" t="s">
        <v>1449</v>
      </c>
      <c r="R910" s="3884" t="s">
        <v>1438</v>
      </c>
      <c r="S910" s="3884" t="s">
        <v>147</v>
      </c>
      <c r="T910" s="3884" t="s">
        <v>147</v>
      </c>
      <c r="U910" s="3884" t="s">
        <v>148</v>
      </c>
      <c r="V910" s="3884" t="s">
        <v>1523</v>
      </c>
      <c r="W910" s="3884" t="s">
        <v>1524</v>
      </c>
      <c r="X910" s="3884" t="s">
        <v>1525</v>
      </c>
      <c r="Y910" s="3884" t="s">
        <v>1442</v>
      </c>
      <c r="Z910" s="1097"/>
      <c r="AA910" s="1098"/>
      <c r="AB910" s="1098"/>
      <c r="AC910" s="1102"/>
      <c r="AD910" s="1102"/>
      <c r="AE910" s="1103"/>
      <c r="AF910" s="3876"/>
      <c r="AG910" s="3877"/>
      <c r="AH910" s="3877"/>
      <c r="AI910" s="3876"/>
      <c r="AJ910" s="3877"/>
      <c r="AK910" s="3877"/>
      <c r="AL910" s="1874"/>
      <c r="AM910" s="1714"/>
      <c r="AN910" s="1714"/>
      <c r="AO910" s="1714"/>
      <c r="AP910" s="1714"/>
      <c r="AQ910" s="1714"/>
      <c r="AR910" s="1714"/>
      <c r="AS910" s="1714"/>
      <c r="AT910" s="1714"/>
      <c r="AU910" s="1714"/>
      <c r="AV910" s="1714"/>
      <c r="AW910" s="1714"/>
      <c r="AX910" s="1714"/>
      <c r="AY910" s="1714"/>
      <c r="AZ910" s="1714"/>
      <c r="BA910" s="1714"/>
      <c r="BB910" s="1714"/>
      <c r="BC910" s="1714"/>
      <c r="BD910" s="1714"/>
      <c r="BE910" s="1714"/>
      <c r="BF910" s="1714"/>
    </row>
    <row r="911" spans="1:58" ht="11.25" customHeight="1">
      <c r="A911" s="1088" t="s">
        <v>1395</v>
      </c>
      <c r="D911" s="1082"/>
      <c r="E911" s="1092"/>
      <c r="F911" s="3895"/>
      <c r="G911" s="3875"/>
      <c r="H911" s="3885" t="s">
        <v>421</v>
      </c>
      <c r="I911" s="3886"/>
      <c r="J911" s="3883"/>
      <c r="K911" s="3887"/>
      <c r="L911" s="3599"/>
      <c r="M911" s="3600"/>
      <c r="N911" s="3878"/>
      <c r="O911" s="3879"/>
      <c r="P911" s="3881"/>
      <c r="Q911" s="3883"/>
      <c r="R911" s="3874"/>
      <c r="S911" s="3884"/>
      <c r="T911" s="3874"/>
      <c r="U911" s="3874"/>
      <c r="V911" s="3874"/>
      <c r="W911" s="3874"/>
      <c r="X911" s="3874"/>
      <c r="Y911" s="3874"/>
      <c r="Z911" s="1719"/>
      <c r="AA911" s="1686">
        <v>1</v>
      </c>
      <c r="AB911" s="1101" t="s">
        <v>1443</v>
      </c>
      <c r="AC911" s="1091">
        <v>150</v>
      </c>
      <c r="AD911" s="1101" t="str">
        <f>AB911</f>
        <v xml:space="preserve">  Прибыль направляемая на инвестиции</v>
      </c>
      <c r="AE911" s="1091">
        <v>0</v>
      </c>
      <c r="AF911" s="3876"/>
      <c r="AG911" s="3877"/>
      <c r="AH911" s="3877"/>
      <c r="AI911" s="3876"/>
      <c r="AJ911" s="3877"/>
      <c r="AK911" s="3877"/>
      <c r="AL911" s="1874"/>
      <c r="AM911" s="1714"/>
      <c r="AN911" s="1714"/>
      <c r="AO911" s="1714"/>
      <c r="AP911" s="1714"/>
      <c r="AQ911" s="1714"/>
      <c r="AR911" s="1714"/>
      <c r="AS911" s="1714"/>
      <c r="AT911" s="1714"/>
      <c r="AU911" s="1714"/>
      <c r="AV911" s="1714"/>
      <c r="AW911" s="1714"/>
      <c r="AX911" s="1714"/>
      <c r="AY911" s="1714"/>
      <c r="AZ911" s="1714"/>
      <c r="BA911" s="1714"/>
      <c r="BB911" s="1714"/>
      <c r="BC911" s="1714"/>
      <c r="BD911" s="1714"/>
      <c r="BE911" s="1714"/>
      <c r="BF911" s="1714"/>
    </row>
    <row r="912" spans="1:58" ht="11.25" customHeight="1">
      <c r="A912" s="1088" t="s">
        <v>1395</v>
      </c>
      <c r="D912" s="1082"/>
      <c r="E912" s="1092"/>
      <c r="F912" s="3895"/>
      <c r="G912" s="3875"/>
      <c r="H912" s="3885" t="s">
        <v>421</v>
      </c>
      <c r="I912" s="3886"/>
      <c r="J912" s="3883"/>
      <c r="K912" s="3887"/>
      <c r="L912" s="3599"/>
      <c r="M912" s="3600"/>
      <c r="N912" s="3878"/>
      <c r="O912" s="3879"/>
      <c r="P912" s="3882"/>
      <c r="Q912" s="3883"/>
      <c r="R912" s="3874"/>
      <c r="S912" s="3884"/>
      <c r="T912" s="3874"/>
      <c r="U912" s="3874"/>
      <c r="V912" s="3874"/>
      <c r="W912" s="3874"/>
      <c r="X912" s="3874"/>
      <c r="Y912" s="3874"/>
      <c r="Z912" s="1097"/>
      <c r="AA912" s="1098"/>
      <c r="AB912" s="1163" t="s">
        <v>1444</v>
      </c>
      <c r="AC912" s="1102"/>
      <c r="AD912" s="1102"/>
      <c r="AE912" s="1104"/>
      <c r="AF912" s="3876"/>
      <c r="AG912" s="3877"/>
      <c r="AH912" s="3877"/>
      <c r="AI912" s="3876"/>
      <c r="AJ912" s="3877"/>
      <c r="AK912" s="3877"/>
      <c r="AL912" s="1874"/>
      <c r="AM912" s="1714"/>
      <c r="AN912" s="1714"/>
      <c r="AO912" s="1714"/>
      <c r="AP912" s="1714"/>
      <c r="AQ912" s="1714"/>
      <c r="AR912" s="1714"/>
      <c r="AS912" s="1714"/>
      <c r="AT912" s="1714"/>
      <c r="AU912" s="1714"/>
      <c r="AV912" s="1714"/>
      <c r="AW912" s="1714"/>
      <c r="AX912" s="1714"/>
      <c r="AY912" s="1714"/>
      <c r="AZ912" s="1714"/>
      <c r="BA912" s="1714"/>
      <c r="BB912" s="1714"/>
      <c r="BC912" s="1714"/>
      <c r="BD912" s="1714"/>
      <c r="BE912" s="1714"/>
      <c r="BF912" s="1714"/>
    </row>
    <row r="913" spans="1:58" ht="11.25" customHeight="1">
      <c r="A913" s="1088" t="s">
        <v>1395</v>
      </c>
      <c r="D913" s="1082"/>
      <c r="E913" s="1092"/>
      <c r="F913" s="3895"/>
      <c r="G913" s="3875"/>
      <c r="H913" s="3885" t="s">
        <v>421</v>
      </c>
      <c r="I913" s="3886"/>
      <c r="J913" s="3883"/>
      <c r="K913" s="3887"/>
      <c r="L913" s="3599"/>
      <c r="M913" s="3600"/>
      <c r="N913" s="1097"/>
      <c r="O913" s="1098"/>
      <c r="P913" s="1090" t="s">
        <v>1445</v>
      </c>
      <c r="Q913" s="1098"/>
      <c r="R913" s="1098"/>
      <c r="S913" s="1098"/>
      <c r="T913" s="1098"/>
      <c r="U913" s="1098"/>
      <c r="V913" s="1098"/>
      <c r="W913" s="1098"/>
      <c r="X913" s="1098"/>
      <c r="Y913" s="1098"/>
      <c r="Z913" s="1098"/>
      <c r="AA913" s="1098"/>
      <c r="AB913" s="1098"/>
      <c r="AC913" s="1098"/>
      <c r="AD913" s="1098"/>
      <c r="AE913" s="1105"/>
      <c r="AF913" s="3876"/>
      <c r="AG913" s="3877"/>
      <c r="AH913" s="3877"/>
      <c r="AI913" s="3876"/>
      <c r="AJ913" s="3877"/>
      <c r="AK913" s="3877"/>
      <c r="AL913" s="1874"/>
      <c r="AM913" s="1714"/>
      <c r="AN913" s="1714"/>
      <c r="AO913" s="1714"/>
      <c r="AP913" s="1714"/>
      <c r="AQ913" s="1714"/>
      <c r="AR913" s="1714"/>
      <c r="AS913" s="1714"/>
      <c r="AT913" s="1714"/>
      <c r="AU913" s="1714"/>
      <c r="AV913" s="1714"/>
      <c r="AW913" s="1714"/>
      <c r="AX913" s="1714"/>
      <c r="AY913" s="1714"/>
      <c r="AZ913" s="1714"/>
      <c r="BA913" s="1714"/>
      <c r="BB913" s="1714"/>
      <c r="BC913" s="1714"/>
      <c r="BD913" s="1714"/>
      <c r="BE913" s="1714"/>
      <c r="BF913" s="1714"/>
    </row>
    <row r="914" spans="1:58" ht="12" customHeight="1">
      <c r="A914" s="1088" t="s">
        <v>1395</v>
      </c>
      <c r="D914" s="1082"/>
      <c r="E914" s="1092"/>
      <c r="F914" s="3896"/>
      <c r="G914" s="1112"/>
      <c r="H914" s="1112"/>
      <c r="I914" s="3893" t="s">
        <v>1451</v>
      </c>
      <c r="J914" s="3893"/>
      <c r="K914" s="3893"/>
      <c r="L914" s="1095"/>
      <c r="M914" s="1095"/>
      <c r="N914" s="1096"/>
      <c r="O914" s="1096"/>
      <c r="P914" s="1096"/>
      <c r="Q914" s="1096"/>
      <c r="R914" s="1096"/>
      <c r="S914" s="1096"/>
      <c r="T914" s="1096"/>
      <c r="U914" s="1096"/>
      <c r="V914" s="1096"/>
      <c r="W914" s="1096"/>
      <c r="X914" s="1096"/>
      <c r="Y914" s="1096"/>
      <c r="Z914" s="1096"/>
      <c r="AA914" s="1096"/>
      <c r="AB914" s="1096"/>
      <c r="AC914" s="1096"/>
      <c r="AD914" s="1096"/>
      <c r="AE914" s="1096"/>
      <c r="AF914" s="1096"/>
      <c r="AG914" s="1095"/>
      <c r="AH914" s="1095"/>
      <c r="AI914" s="1096"/>
      <c r="AJ914" s="1095"/>
      <c r="AK914" s="1096"/>
      <c r="AL914" s="1874"/>
      <c r="AM914" s="1714"/>
      <c r="AN914" s="1714"/>
      <c r="AO914" s="1714"/>
      <c r="AP914" s="1714"/>
      <c r="AQ914" s="1714"/>
      <c r="AR914" s="1714"/>
      <c r="AS914" s="1714"/>
      <c r="AT914" s="1714"/>
      <c r="AU914" s="1714"/>
      <c r="AV914" s="1714"/>
      <c r="AW914" s="1714"/>
      <c r="AX914" s="1714"/>
      <c r="AY914" s="1714"/>
      <c r="AZ914" s="1714"/>
      <c r="BA914" s="1714"/>
      <c r="BB914" s="1714"/>
      <c r="BC914" s="1714"/>
      <c r="BD914" s="1714"/>
      <c r="BE914" s="1714"/>
      <c r="BF914" s="1714"/>
    </row>
    <row r="915" spans="1:58" ht="0.75" customHeight="1">
      <c r="A915" s="1088" t="s">
        <v>1395</v>
      </c>
      <c r="D915" s="1082"/>
      <c r="E915" s="1092"/>
      <c r="F915" s="3894">
        <v>2035</v>
      </c>
      <c r="G915" s="3885"/>
      <c r="H915" s="3898" t="s">
        <v>421</v>
      </c>
      <c r="I915" s="3899"/>
      <c r="J915" s="3891"/>
      <c r="K915" s="3891"/>
      <c r="L915" s="3892"/>
      <c r="M915" s="3743"/>
      <c r="N915" s="1922"/>
      <c r="O915" s="1921"/>
      <c r="P915" s="1922"/>
      <c r="Q915" s="1922"/>
      <c r="R915" s="1922"/>
      <c r="S915" s="1922"/>
      <c r="T915" s="1922"/>
      <c r="U915" s="1922"/>
      <c r="V915" s="1922"/>
      <c r="W915" s="1922"/>
      <c r="X915" s="1922"/>
      <c r="Y915" s="1922"/>
      <c r="Z915" s="1922"/>
      <c r="AA915" s="1922"/>
      <c r="AB915" s="1922"/>
      <c r="AC915" s="1922"/>
      <c r="AD915" s="1922"/>
      <c r="AE915" s="1922"/>
      <c r="AF915" s="3897"/>
      <c r="AG915" s="3892"/>
      <c r="AH915" s="3892"/>
      <c r="AI915" s="3897"/>
      <c r="AJ915" s="3892"/>
      <c r="AK915" s="3892"/>
      <c r="AL915" s="1874"/>
      <c r="AM915" s="1714"/>
      <c r="AN915" s="1714"/>
      <c r="AO915" s="1714"/>
      <c r="AP915" s="1714"/>
      <c r="AQ915" s="1714"/>
      <c r="AR915" s="1714"/>
      <c r="AS915" s="1714"/>
      <c r="AT915" s="1714"/>
      <c r="AU915" s="1714"/>
      <c r="AV915" s="1714"/>
      <c r="AW915" s="1714"/>
      <c r="AX915" s="1714"/>
      <c r="AY915" s="1714"/>
      <c r="AZ915" s="1714"/>
      <c r="BA915" s="1714"/>
      <c r="BB915" s="1714"/>
      <c r="BC915" s="1714"/>
      <c r="BD915" s="1714"/>
      <c r="BE915" s="1714"/>
      <c r="BF915" s="1714"/>
    </row>
    <row r="916" spans="1:58" ht="0.75" customHeight="1">
      <c r="A916" s="1088" t="s">
        <v>1395</v>
      </c>
      <c r="D916" s="1082"/>
      <c r="E916" s="1092"/>
      <c r="F916" s="3894"/>
      <c r="G916" s="3885"/>
      <c r="H916" s="3898"/>
      <c r="I916" s="3899"/>
      <c r="J916" s="3891"/>
      <c r="K916" s="3891"/>
      <c r="L916" s="3892"/>
      <c r="M916" s="3743"/>
      <c r="N916" s="3900"/>
      <c r="O916" s="3901"/>
      <c r="P916" s="3888"/>
      <c r="Q916" s="3891"/>
      <c r="R916" s="3891"/>
      <c r="S916" s="3891"/>
      <c r="T916" s="3891"/>
      <c r="U916" s="3891"/>
      <c r="V916" s="3891"/>
      <c r="W916" s="3891"/>
      <c r="X916" s="3891"/>
      <c r="Y916" s="3891"/>
      <c r="Z916" s="1923"/>
      <c r="AA916" s="1924"/>
      <c r="AB916" s="1924"/>
      <c r="AC916" s="1925"/>
      <c r="AD916" s="1925"/>
      <c r="AE916" s="1926"/>
      <c r="AF916" s="3897"/>
      <c r="AG916" s="3892"/>
      <c r="AH916" s="3892"/>
      <c r="AI916" s="3897"/>
      <c r="AJ916" s="3892"/>
      <c r="AK916" s="3892"/>
      <c r="AL916" s="1874"/>
      <c r="AM916" s="1714"/>
      <c r="AN916" s="1714"/>
      <c r="AO916" s="1714"/>
      <c r="AP916" s="1714"/>
      <c r="AQ916" s="1714"/>
      <c r="AR916" s="1714"/>
      <c r="AS916" s="1714"/>
      <c r="AT916" s="1714"/>
      <c r="AU916" s="1714"/>
      <c r="AV916" s="1714"/>
      <c r="AW916" s="1714"/>
      <c r="AX916" s="1714"/>
      <c r="AY916" s="1714"/>
      <c r="AZ916" s="1714"/>
      <c r="BA916" s="1714"/>
      <c r="BB916" s="1714"/>
      <c r="BC916" s="1714"/>
      <c r="BD916" s="1714"/>
      <c r="BE916" s="1714"/>
      <c r="BF916" s="1714"/>
    </row>
    <row r="917" spans="1:58" ht="0.75" customHeight="1">
      <c r="A917" s="1088" t="s">
        <v>1395</v>
      </c>
      <c r="D917" s="1082"/>
      <c r="E917" s="1092"/>
      <c r="F917" s="3894"/>
      <c r="G917" s="3885"/>
      <c r="H917" s="3898"/>
      <c r="I917" s="3899"/>
      <c r="J917" s="3891"/>
      <c r="K917" s="3891"/>
      <c r="L917" s="3892"/>
      <c r="M917" s="3743"/>
      <c r="N917" s="3900"/>
      <c r="O917" s="3901"/>
      <c r="P917" s="3889"/>
      <c r="Q917" s="3891"/>
      <c r="R917" s="3891"/>
      <c r="S917" s="3891"/>
      <c r="T917" s="3891"/>
      <c r="U917" s="3891"/>
      <c r="V917" s="3891"/>
      <c r="W917" s="3891"/>
      <c r="X917" s="3891"/>
      <c r="Y917" s="3891"/>
      <c r="Z917" s="1927"/>
      <c r="AA917" s="1928"/>
      <c r="AB917" s="1929"/>
      <c r="AC917" s="1930"/>
      <c r="AD917" s="1929"/>
      <c r="AE917" s="1930"/>
      <c r="AF917" s="3897"/>
      <c r="AG917" s="3892"/>
      <c r="AH917" s="3892"/>
      <c r="AI917" s="3897"/>
      <c r="AJ917" s="3892"/>
      <c r="AK917" s="3892"/>
      <c r="AL917" s="1874"/>
      <c r="AM917" s="1714"/>
      <c r="AN917" s="1714"/>
      <c r="AO917" s="1714"/>
      <c r="AP917" s="1714"/>
      <c r="AQ917" s="1714"/>
      <c r="AR917" s="1714"/>
      <c r="AS917" s="1714"/>
      <c r="AT917" s="1714"/>
      <c r="AU917" s="1714"/>
      <c r="AV917" s="1714"/>
      <c r="AW917" s="1714"/>
      <c r="AX917" s="1714"/>
      <c r="AY917" s="1714"/>
      <c r="AZ917" s="1714"/>
      <c r="BA917" s="1714"/>
      <c r="BB917" s="1714"/>
      <c r="BC917" s="1714"/>
      <c r="BD917" s="1714"/>
      <c r="BE917" s="1714"/>
      <c r="BF917" s="1714"/>
    </row>
    <row r="918" spans="1:58" ht="0.75" customHeight="1">
      <c r="A918" s="1088" t="s">
        <v>1395</v>
      </c>
      <c r="D918" s="1082"/>
      <c r="E918" s="1092"/>
      <c r="F918" s="3894"/>
      <c r="G918" s="3885"/>
      <c r="H918" s="3898"/>
      <c r="I918" s="3899"/>
      <c r="J918" s="3891"/>
      <c r="K918" s="3891"/>
      <c r="L918" s="3892"/>
      <c r="M918" s="3743"/>
      <c r="N918" s="3900"/>
      <c r="O918" s="3901"/>
      <c r="P918" s="3890"/>
      <c r="Q918" s="3891"/>
      <c r="R918" s="3891"/>
      <c r="S918" s="3891"/>
      <c r="T918" s="3891"/>
      <c r="U918" s="3891"/>
      <c r="V918" s="3891"/>
      <c r="W918" s="3891"/>
      <c r="X918" s="3891"/>
      <c r="Y918" s="3891"/>
      <c r="Z918" s="1923"/>
      <c r="AA918" s="1924"/>
      <c r="AB918" s="1931"/>
      <c r="AC918" s="1925"/>
      <c r="AD918" s="1925"/>
      <c r="AE918" s="1932"/>
      <c r="AF918" s="3897"/>
      <c r="AG918" s="3892"/>
      <c r="AH918" s="3892"/>
      <c r="AI918" s="3897"/>
      <c r="AJ918" s="3892"/>
      <c r="AK918" s="3892"/>
      <c r="AL918" s="1874"/>
      <c r="AM918" s="1714"/>
      <c r="AN918" s="1714"/>
      <c r="AO918" s="1714"/>
      <c r="AP918" s="1714"/>
      <c r="AQ918" s="1714"/>
      <c r="AR918" s="1714"/>
      <c r="AS918" s="1714"/>
      <c r="AT918" s="1714"/>
      <c r="AU918" s="1714"/>
      <c r="AV918" s="1714"/>
      <c r="AW918" s="1714"/>
      <c r="AX918" s="1714"/>
      <c r="AY918" s="1714"/>
      <c r="AZ918" s="1714"/>
      <c r="BA918" s="1714"/>
      <c r="BB918" s="1714"/>
      <c r="BC918" s="1714"/>
      <c r="BD918" s="1714"/>
      <c r="BE918" s="1714"/>
      <c r="BF918" s="1714"/>
    </row>
    <row r="919" spans="1:58" ht="0.75" customHeight="1">
      <c r="A919" s="1088" t="s">
        <v>1395</v>
      </c>
      <c r="D919" s="1082"/>
      <c r="E919" s="1092"/>
      <c r="F919" s="3894"/>
      <c r="G919" s="3885"/>
      <c r="H919" s="3898"/>
      <c r="I919" s="3899"/>
      <c r="J919" s="3891"/>
      <c r="K919" s="3891"/>
      <c r="L919" s="3892"/>
      <c r="M919" s="3743"/>
      <c r="N919" s="1924"/>
      <c r="O919" s="1924"/>
      <c r="P919" s="1931"/>
      <c r="Q919" s="1924"/>
      <c r="R919" s="1924"/>
      <c r="S919" s="1924"/>
      <c r="T919" s="1924"/>
      <c r="U919" s="1924"/>
      <c r="V919" s="1924"/>
      <c r="W919" s="1924"/>
      <c r="X919" s="1924"/>
      <c r="Y919" s="1924"/>
      <c r="Z919" s="1924"/>
      <c r="AA919" s="1924"/>
      <c r="AB919" s="1924"/>
      <c r="AC919" s="1924"/>
      <c r="AD919" s="1924"/>
      <c r="AE919" s="1933"/>
      <c r="AF919" s="3897"/>
      <c r="AG919" s="3892"/>
      <c r="AH919" s="3892"/>
      <c r="AI919" s="3897"/>
      <c r="AJ919" s="3892"/>
      <c r="AK919" s="3892"/>
      <c r="AL919" s="1874"/>
      <c r="AM919" s="1714"/>
      <c r="AN919" s="1714"/>
      <c r="AO919" s="1714"/>
      <c r="AP919" s="1714"/>
      <c r="AQ919" s="1714"/>
      <c r="AR919" s="1714"/>
      <c r="AS919" s="1714"/>
      <c r="AT919" s="1714"/>
      <c r="AU919" s="1714"/>
      <c r="AV919" s="1714"/>
      <c r="AW919" s="1714"/>
      <c r="AX919" s="1714"/>
      <c r="AY919" s="1714"/>
      <c r="AZ919" s="1714"/>
      <c r="BA919" s="1714"/>
      <c r="BB919" s="1714"/>
      <c r="BC919" s="1714"/>
      <c r="BD919" s="1714"/>
      <c r="BE919" s="1714"/>
      <c r="BF919" s="1714"/>
    </row>
    <row r="920" spans="1:58" ht="11.25" customHeight="1">
      <c r="A920" s="1088" t="s">
        <v>1395</v>
      </c>
      <c r="D920" s="1082"/>
      <c r="E920" s="1092"/>
      <c r="F920" s="3895"/>
      <c r="G920" s="3853" t="s">
        <v>90</v>
      </c>
      <c r="H920" s="3885" t="s">
        <v>164</v>
      </c>
      <c r="I920" s="3886"/>
      <c r="J920" s="3883"/>
      <c r="K920" s="3887" t="s">
        <v>1521</v>
      </c>
      <c r="L920" s="3599" t="s">
        <v>6</v>
      </c>
      <c r="M920" s="3600"/>
      <c r="N920" s="1872"/>
      <c r="O920" s="1099" t="s">
        <v>421</v>
      </c>
      <c r="P920" s="1100"/>
      <c r="Q920" s="1100"/>
      <c r="R920" s="1100"/>
      <c r="S920" s="1100"/>
      <c r="T920" s="1100"/>
      <c r="U920" s="1100"/>
      <c r="V920" s="1100"/>
      <c r="W920" s="1100"/>
      <c r="X920" s="1100"/>
      <c r="Y920" s="1100"/>
      <c r="Z920" s="1100"/>
      <c r="AA920" s="1100"/>
      <c r="AB920" s="1100"/>
      <c r="AC920" s="1100"/>
      <c r="AD920" s="1100"/>
      <c r="AE920" s="1100"/>
      <c r="AF920" s="3876">
        <v>2035</v>
      </c>
      <c r="AG920" s="3877" t="s">
        <v>1447</v>
      </c>
      <c r="AH920" s="3877" t="s">
        <v>1522</v>
      </c>
      <c r="AI920" s="3876">
        <v>2035</v>
      </c>
      <c r="AJ920" s="3877" t="s">
        <v>1447</v>
      </c>
      <c r="AK920" s="3877" t="s">
        <v>1522</v>
      </c>
      <c r="AL920" s="1874"/>
      <c r="AM920" s="1714"/>
      <c r="AN920" s="1714"/>
      <c r="AO920" s="1714"/>
      <c r="AP920" s="1714"/>
      <c r="AQ920" s="1714"/>
      <c r="AR920" s="1714"/>
      <c r="AS920" s="1714"/>
      <c r="AT920" s="1714"/>
      <c r="AU920" s="1714"/>
      <c r="AV920" s="1714"/>
      <c r="AW920" s="1714"/>
      <c r="AX920" s="1714"/>
      <c r="AY920" s="1714"/>
      <c r="AZ920" s="1714"/>
      <c r="BA920" s="1714"/>
      <c r="BB920" s="1714"/>
      <c r="BC920" s="1714"/>
      <c r="BD920" s="1714"/>
      <c r="BE920" s="1714"/>
      <c r="BF920" s="1714"/>
    </row>
    <row r="921" spans="1:58" ht="11.25" customHeight="1">
      <c r="A921" s="1088" t="s">
        <v>1395</v>
      </c>
      <c r="D921" s="1082"/>
      <c r="E921" s="1092"/>
      <c r="F921" s="3895"/>
      <c r="G921" s="3875"/>
      <c r="H921" s="3885" t="s">
        <v>421</v>
      </c>
      <c r="I921" s="3886"/>
      <c r="J921" s="3883"/>
      <c r="K921" s="3887"/>
      <c r="L921" s="3599"/>
      <c r="M921" s="3600"/>
      <c r="N921" s="3878"/>
      <c r="O921" s="3879">
        <v>1</v>
      </c>
      <c r="P921" s="3880" t="s">
        <v>50</v>
      </c>
      <c r="Q921" s="3883" t="s">
        <v>1449</v>
      </c>
      <c r="R921" s="3884" t="s">
        <v>1438</v>
      </c>
      <c r="S921" s="3884" t="s">
        <v>147</v>
      </c>
      <c r="T921" s="3884" t="s">
        <v>147</v>
      </c>
      <c r="U921" s="3884" t="s">
        <v>148</v>
      </c>
      <c r="V921" s="3884" t="s">
        <v>1523</v>
      </c>
      <c r="W921" s="3884" t="s">
        <v>1524</v>
      </c>
      <c r="X921" s="3884" t="s">
        <v>1525</v>
      </c>
      <c r="Y921" s="3884" t="s">
        <v>1442</v>
      </c>
      <c r="Z921" s="1097"/>
      <c r="AA921" s="1098"/>
      <c r="AB921" s="1098"/>
      <c r="AC921" s="1102"/>
      <c r="AD921" s="1102"/>
      <c r="AE921" s="1103"/>
      <c r="AF921" s="3876"/>
      <c r="AG921" s="3877"/>
      <c r="AH921" s="3877"/>
      <c r="AI921" s="3876"/>
      <c r="AJ921" s="3877"/>
      <c r="AK921" s="3877"/>
      <c r="AL921" s="1874"/>
      <c r="AM921" s="1714"/>
      <c r="AN921" s="1714"/>
      <c r="AO921" s="1714"/>
      <c r="AP921" s="1714"/>
      <c r="AQ921" s="1714"/>
      <c r="AR921" s="1714"/>
      <c r="AS921" s="1714"/>
      <c r="AT921" s="1714"/>
      <c r="AU921" s="1714"/>
      <c r="AV921" s="1714"/>
      <c r="AW921" s="1714"/>
      <c r="AX921" s="1714"/>
      <c r="AY921" s="1714"/>
      <c r="AZ921" s="1714"/>
      <c r="BA921" s="1714"/>
      <c r="BB921" s="1714"/>
      <c r="BC921" s="1714"/>
      <c r="BD921" s="1714"/>
      <c r="BE921" s="1714"/>
      <c r="BF921" s="1714"/>
    </row>
    <row r="922" spans="1:58" ht="11.25" customHeight="1">
      <c r="A922" s="1088" t="s">
        <v>1395</v>
      </c>
      <c r="D922" s="1082"/>
      <c r="E922" s="1092"/>
      <c r="F922" s="3895"/>
      <c r="G922" s="3875"/>
      <c r="H922" s="3885" t="s">
        <v>421</v>
      </c>
      <c r="I922" s="3886"/>
      <c r="J922" s="3883"/>
      <c r="K922" s="3887"/>
      <c r="L922" s="3599"/>
      <c r="M922" s="3600"/>
      <c r="N922" s="3878"/>
      <c r="O922" s="3879"/>
      <c r="P922" s="3881"/>
      <c r="Q922" s="3883"/>
      <c r="R922" s="3874"/>
      <c r="S922" s="3884"/>
      <c r="T922" s="3874"/>
      <c r="U922" s="3874"/>
      <c r="V922" s="3874"/>
      <c r="W922" s="3874"/>
      <c r="X922" s="3874"/>
      <c r="Y922" s="3874"/>
      <c r="Z922" s="1719"/>
      <c r="AA922" s="1686">
        <v>1</v>
      </c>
      <c r="AB922" s="1101" t="s">
        <v>1443</v>
      </c>
      <c r="AC922" s="1091">
        <v>150</v>
      </c>
      <c r="AD922" s="1101" t="str">
        <f>AB922</f>
        <v xml:space="preserve">  Прибыль направляемая на инвестиции</v>
      </c>
      <c r="AE922" s="1091">
        <v>0</v>
      </c>
      <c r="AF922" s="3876"/>
      <c r="AG922" s="3877"/>
      <c r="AH922" s="3877"/>
      <c r="AI922" s="3876"/>
      <c r="AJ922" s="3877"/>
      <c r="AK922" s="3877"/>
      <c r="AL922" s="1874"/>
      <c r="AM922" s="1714"/>
      <c r="AN922" s="1714"/>
      <c r="AO922" s="1714"/>
      <c r="AP922" s="1714"/>
      <c r="AQ922" s="1714"/>
      <c r="AR922" s="1714"/>
      <c r="AS922" s="1714"/>
      <c r="AT922" s="1714"/>
      <c r="AU922" s="1714"/>
      <c r="AV922" s="1714"/>
      <c r="AW922" s="1714"/>
      <c r="AX922" s="1714"/>
      <c r="AY922" s="1714"/>
      <c r="AZ922" s="1714"/>
      <c r="BA922" s="1714"/>
      <c r="BB922" s="1714"/>
      <c r="BC922" s="1714"/>
      <c r="BD922" s="1714"/>
      <c r="BE922" s="1714"/>
      <c r="BF922" s="1714"/>
    </row>
    <row r="923" spans="1:58" ht="11.25" customHeight="1">
      <c r="A923" s="1088" t="s">
        <v>1395</v>
      </c>
      <c r="D923" s="1082"/>
      <c r="E923" s="1092"/>
      <c r="F923" s="3895"/>
      <c r="G923" s="3875"/>
      <c r="H923" s="3885" t="s">
        <v>421</v>
      </c>
      <c r="I923" s="3886"/>
      <c r="J923" s="3883"/>
      <c r="K923" s="3887"/>
      <c r="L923" s="3599"/>
      <c r="M923" s="3600"/>
      <c r="N923" s="3878"/>
      <c r="O923" s="3879"/>
      <c r="P923" s="3882"/>
      <c r="Q923" s="3883"/>
      <c r="R923" s="3874"/>
      <c r="S923" s="3884"/>
      <c r="T923" s="3874"/>
      <c r="U923" s="3874"/>
      <c r="V923" s="3874"/>
      <c r="W923" s="3874"/>
      <c r="X923" s="3874"/>
      <c r="Y923" s="3874"/>
      <c r="Z923" s="1097"/>
      <c r="AA923" s="1098"/>
      <c r="AB923" s="1163" t="s">
        <v>1444</v>
      </c>
      <c r="AC923" s="1102"/>
      <c r="AD923" s="1102"/>
      <c r="AE923" s="1104"/>
      <c r="AF923" s="3876"/>
      <c r="AG923" s="3877"/>
      <c r="AH923" s="3877"/>
      <c r="AI923" s="3876"/>
      <c r="AJ923" s="3877"/>
      <c r="AK923" s="3877"/>
      <c r="AL923" s="1874"/>
      <c r="AM923" s="1714"/>
      <c r="AN923" s="1714"/>
      <c r="AO923" s="1714"/>
      <c r="AP923" s="1714"/>
      <c r="AQ923" s="1714"/>
      <c r="AR923" s="1714"/>
      <c r="AS923" s="1714"/>
      <c r="AT923" s="1714"/>
      <c r="AU923" s="1714"/>
      <c r="AV923" s="1714"/>
      <c r="AW923" s="1714"/>
      <c r="AX923" s="1714"/>
      <c r="AY923" s="1714"/>
      <c r="AZ923" s="1714"/>
      <c r="BA923" s="1714"/>
      <c r="BB923" s="1714"/>
      <c r="BC923" s="1714"/>
      <c r="BD923" s="1714"/>
      <c r="BE923" s="1714"/>
      <c r="BF923" s="1714"/>
    </row>
    <row r="924" spans="1:58" ht="11.25" customHeight="1">
      <c r="A924" s="1088" t="s">
        <v>1395</v>
      </c>
      <c r="D924" s="1082"/>
      <c r="E924" s="1092"/>
      <c r="F924" s="3895"/>
      <c r="G924" s="3875"/>
      <c r="H924" s="3885" t="s">
        <v>421</v>
      </c>
      <c r="I924" s="3886"/>
      <c r="J924" s="3883"/>
      <c r="K924" s="3887"/>
      <c r="L924" s="3599"/>
      <c r="M924" s="3600"/>
      <c r="N924" s="1097"/>
      <c r="O924" s="1098"/>
      <c r="P924" s="1090" t="s">
        <v>1445</v>
      </c>
      <c r="Q924" s="1098"/>
      <c r="R924" s="1098"/>
      <c r="S924" s="1098"/>
      <c r="T924" s="1098"/>
      <c r="U924" s="1098"/>
      <c r="V924" s="1098"/>
      <c r="W924" s="1098"/>
      <c r="X924" s="1098"/>
      <c r="Y924" s="1098"/>
      <c r="Z924" s="1098"/>
      <c r="AA924" s="1098"/>
      <c r="AB924" s="1098"/>
      <c r="AC924" s="1098"/>
      <c r="AD924" s="1098"/>
      <c r="AE924" s="1105"/>
      <c r="AF924" s="3876"/>
      <c r="AG924" s="3877"/>
      <c r="AH924" s="3877"/>
      <c r="AI924" s="3876"/>
      <c r="AJ924" s="3877"/>
      <c r="AK924" s="3877"/>
      <c r="AL924" s="1874"/>
      <c r="AM924" s="1714"/>
      <c r="AN924" s="1714"/>
      <c r="AO924" s="1714"/>
      <c r="AP924" s="1714"/>
      <c r="AQ924" s="1714"/>
      <c r="AR924" s="1714"/>
      <c r="AS924" s="1714"/>
      <c r="AT924" s="1714"/>
      <c r="AU924" s="1714"/>
      <c r="AV924" s="1714"/>
      <c r="AW924" s="1714"/>
      <c r="AX924" s="1714"/>
      <c r="AY924" s="1714"/>
      <c r="AZ924" s="1714"/>
      <c r="BA924" s="1714"/>
      <c r="BB924" s="1714"/>
      <c r="BC924" s="1714"/>
      <c r="BD924" s="1714"/>
      <c r="BE924" s="1714"/>
      <c r="BF924" s="1714"/>
    </row>
    <row r="925" spans="1:58" ht="12" customHeight="1">
      <c r="A925" s="1088" t="s">
        <v>1395</v>
      </c>
      <c r="D925" s="1082"/>
      <c r="E925" s="1092"/>
      <c r="F925" s="3896"/>
      <c r="G925" s="1112"/>
      <c r="H925" s="1112"/>
      <c r="I925" s="3893" t="s">
        <v>1451</v>
      </c>
      <c r="J925" s="3893"/>
      <c r="K925" s="3893"/>
      <c r="L925" s="1095"/>
      <c r="M925" s="1095"/>
      <c r="N925" s="1096"/>
      <c r="O925" s="1096"/>
      <c r="P925" s="1096"/>
      <c r="Q925" s="1096"/>
      <c r="R925" s="1096"/>
      <c r="S925" s="1096"/>
      <c r="T925" s="1096"/>
      <c r="U925" s="1096"/>
      <c r="V925" s="1096"/>
      <c r="W925" s="1096"/>
      <c r="X925" s="1096"/>
      <c r="Y925" s="1096"/>
      <c r="Z925" s="1096"/>
      <c r="AA925" s="1096"/>
      <c r="AB925" s="1096"/>
      <c r="AC925" s="1096"/>
      <c r="AD925" s="1096"/>
      <c r="AE925" s="1096"/>
      <c r="AF925" s="1096"/>
      <c r="AG925" s="1095"/>
      <c r="AH925" s="1095"/>
      <c r="AI925" s="1096"/>
      <c r="AJ925" s="1095"/>
      <c r="AK925" s="1096"/>
      <c r="AL925" s="1874"/>
      <c r="AM925" s="1714"/>
      <c r="AN925" s="1714"/>
      <c r="AO925" s="1714"/>
      <c r="AP925" s="1714"/>
      <c r="AQ925" s="1714"/>
      <c r="AR925" s="1714"/>
      <c r="AS925" s="1714"/>
      <c r="AT925" s="1714"/>
      <c r="AU925" s="1714"/>
      <c r="AV925" s="1714"/>
      <c r="AW925" s="1714"/>
      <c r="AX925" s="1714"/>
      <c r="AY925" s="1714"/>
      <c r="AZ925" s="1714"/>
      <c r="BA925" s="1714"/>
      <c r="BB925" s="1714"/>
      <c r="BC925" s="1714"/>
      <c r="BD925" s="1714"/>
      <c r="BE925" s="1714"/>
      <c r="BF925" s="1714"/>
    </row>
    <row r="926" spans="1:58" ht="21" customHeight="1">
      <c r="A926" s="1089" t="s">
        <v>1403</v>
      </c>
      <c r="D926" s="1082"/>
      <c r="E926" s="1092" t="s">
        <v>9</v>
      </c>
      <c r="F926" s="1045" t="str">
        <f>INDEX(IP_MAIN_LIST_NAME_IP,MATCH(A926,IP_MAIN_LIST_IP_ID,0))&amp;" ("&amp;INDEX(IP_MAIN_START_DATE,MATCH(A926,IP_MAIN_LIST_IP_ID,0))&amp;"-"&amp;INDEX(IP_MAIN_END_DATE,MATCH(A926,IP_MAIN_LIST_IP_ID,0))&amp;")"</f>
        <v>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 (01.01.2023-31.12.2025)</v>
      </c>
      <c r="G926" s="1046"/>
      <c r="H926" s="1046"/>
      <c r="I926" s="1107"/>
      <c r="J926" s="1107"/>
      <c r="K926" s="1108"/>
      <c r="L926" s="1108"/>
      <c r="M926" s="1108"/>
      <c r="N926" s="1109"/>
      <c r="O926" s="1109"/>
      <c r="P926" s="1109"/>
      <c r="Q926" s="1109"/>
      <c r="R926" s="1109"/>
      <c r="S926" s="1109"/>
      <c r="T926" s="1109"/>
      <c r="U926" s="1109"/>
      <c r="V926" s="1109"/>
      <c r="W926" s="1109"/>
      <c r="X926" s="1109"/>
      <c r="Y926" s="1109"/>
      <c r="Z926" s="1109"/>
      <c r="AA926" s="1109"/>
      <c r="AB926" s="1109"/>
      <c r="AC926" s="1109"/>
      <c r="AD926" s="1109"/>
      <c r="AE926" s="1110"/>
      <c r="AF926" s="1108"/>
      <c r="AG926" s="1108"/>
      <c r="AH926" s="1108"/>
      <c r="AI926" s="1108"/>
      <c r="AJ926" s="1108"/>
      <c r="AK926" s="1108"/>
      <c r="AL926" s="1874"/>
      <c r="AM926" s="1714"/>
      <c r="AN926" s="1714"/>
      <c r="AO926" s="1714"/>
      <c r="AP926" s="1714"/>
      <c r="AQ926" s="1714"/>
      <c r="AR926" s="1714"/>
      <c r="AS926" s="1714"/>
      <c r="AT926" s="1714"/>
      <c r="AU926" s="1714"/>
      <c r="AV926" s="1714"/>
      <c r="AW926" s="1714"/>
      <c r="AX926" s="1714"/>
      <c r="AY926" s="1714"/>
      <c r="AZ926" s="1714"/>
      <c r="BA926" s="1714"/>
      <c r="BB926" s="1714"/>
      <c r="BC926" s="1714"/>
      <c r="BD926" s="1714"/>
      <c r="BE926" s="1714"/>
      <c r="BF926" s="1714"/>
    </row>
    <row r="927" spans="1:58" ht="0.75" customHeight="1">
      <c r="A927" s="1088" t="s">
        <v>1403</v>
      </c>
      <c r="D927" s="1082"/>
      <c r="E927" s="1092"/>
      <c r="F927" s="3894">
        <v>2023</v>
      </c>
      <c r="G927" s="3885"/>
      <c r="H927" s="3898" t="s">
        <v>421</v>
      </c>
      <c r="I927" s="3899"/>
      <c r="J927" s="3891"/>
      <c r="K927" s="3891"/>
      <c r="L927" s="3892"/>
      <c r="M927" s="3743"/>
      <c r="N927" s="1922"/>
      <c r="O927" s="1921"/>
      <c r="P927" s="1922"/>
      <c r="Q927" s="1922"/>
      <c r="R927" s="1922"/>
      <c r="S927" s="1922"/>
      <c r="T927" s="1922"/>
      <c r="U927" s="1922"/>
      <c r="V927" s="1922"/>
      <c r="W927" s="1922"/>
      <c r="X927" s="1922"/>
      <c r="Y927" s="1922"/>
      <c r="Z927" s="1922"/>
      <c r="AA927" s="1922"/>
      <c r="AB927" s="1922"/>
      <c r="AC927" s="1922"/>
      <c r="AD927" s="1922"/>
      <c r="AE927" s="1922"/>
      <c r="AF927" s="3897"/>
      <c r="AG927" s="3892"/>
      <c r="AH927" s="3892"/>
      <c r="AI927" s="3897"/>
      <c r="AJ927" s="3892"/>
      <c r="AK927" s="3892"/>
      <c r="AL927" s="1874"/>
      <c r="AM927" s="1714"/>
      <c r="AN927" s="1714"/>
      <c r="AO927" s="1714"/>
      <c r="AP927" s="1714"/>
      <c r="AQ927" s="1714"/>
      <c r="AR927" s="1714"/>
      <c r="AS927" s="1714"/>
      <c r="AT927" s="1714"/>
      <c r="AU927" s="1714"/>
      <c r="AV927" s="1714"/>
      <c r="AW927" s="1714"/>
      <c r="AX927" s="1714"/>
      <c r="AY927" s="1714"/>
      <c r="AZ927" s="1714"/>
      <c r="BA927" s="1714"/>
      <c r="BB927" s="1714"/>
      <c r="BC927" s="1714"/>
      <c r="BD927" s="1714"/>
      <c r="BE927" s="1714"/>
      <c r="BF927" s="1714"/>
    </row>
    <row r="928" spans="1:58" ht="0.75" customHeight="1">
      <c r="A928" s="1088" t="s">
        <v>1403</v>
      </c>
      <c r="D928" s="1082"/>
      <c r="E928" s="1092"/>
      <c r="F928" s="3894"/>
      <c r="G928" s="3885"/>
      <c r="H928" s="3898"/>
      <c r="I928" s="3899"/>
      <c r="J928" s="3891"/>
      <c r="K928" s="3891"/>
      <c r="L928" s="3892"/>
      <c r="M928" s="3743"/>
      <c r="N928" s="3900"/>
      <c r="O928" s="3901"/>
      <c r="P928" s="3888"/>
      <c r="Q928" s="3891"/>
      <c r="R928" s="3891"/>
      <c r="S928" s="3891"/>
      <c r="T928" s="3891"/>
      <c r="U928" s="3891"/>
      <c r="V928" s="3891"/>
      <c r="W928" s="3891"/>
      <c r="X928" s="3891"/>
      <c r="Y928" s="3891"/>
      <c r="Z928" s="1923"/>
      <c r="AA928" s="1924"/>
      <c r="AB928" s="1924"/>
      <c r="AC928" s="1925"/>
      <c r="AD928" s="1925"/>
      <c r="AE928" s="1926"/>
      <c r="AF928" s="3897"/>
      <c r="AG928" s="3892"/>
      <c r="AH928" s="3892"/>
      <c r="AI928" s="3897"/>
      <c r="AJ928" s="3892"/>
      <c r="AK928" s="3892"/>
      <c r="AL928" s="1874"/>
      <c r="AM928" s="1714"/>
      <c r="AN928" s="1714"/>
      <c r="AO928" s="1714"/>
      <c r="AP928" s="1714"/>
      <c r="AQ928" s="1714"/>
      <c r="AR928" s="1714"/>
      <c r="AS928" s="1714"/>
      <c r="AT928" s="1714"/>
      <c r="AU928" s="1714"/>
      <c r="AV928" s="1714"/>
      <c r="AW928" s="1714"/>
      <c r="AX928" s="1714"/>
      <c r="AY928" s="1714"/>
      <c r="AZ928" s="1714"/>
      <c r="BA928" s="1714"/>
      <c r="BB928" s="1714"/>
      <c r="BC928" s="1714"/>
      <c r="BD928" s="1714"/>
      <c r="BE928" s="1714"/>
      <c r="BF928" s="1714"/>
    </row>
    <row r="929" spans="1:58" ht="0.75" customHeight="1">
      <c r="A929" s="1088" t="s">
        <v>1403</v>
      </c>
      <c r="D929" s="1082"/>
      <c r="E929" s="1092"/>
      <c r="F929" s="3894"/>
      <c r="G929" s="3885"/>
      <c r="H929" s="3898"/>
      <c r="I929" s="3899"/>
      <c r="J929" s="3891"/>
      <c r="K929" s="3891"/>
      <c r="L929" s="3892"/>
      <c r="M929" s="3743"/>
      <c r="N929" s="3900"/>
      <c r="O929" s="3901"/>
      <c r="P929" s="3889"/>
      <c r="Q929" s="3891"/>
      <c r="R929" s="3891"/>
      <c r="S929" s="3891"/>
      <c r="T929" s="3891"/>
      <c r="U929" s="3891"/>
      <c r="V929" s="3891"/>
      <c r="W929" s="3891"/>
      <c r="X929" s="3891"/>
      <c r="Y929" s="3891"/>
      <c r="Z929" s="1927"/>
      <c r="AA929" s="1928"/>
      <c r="AB929" s="1929"/>
      <c r="AC929" s="1930"/>
      <c r="AD929" s="1929"/>
      <c r="AE929" s="1930"/>
      <c r="AF929" s="3897"/>
      <c r="AG929" s="3892"/>
      <c r="AH929" s="3892"/>
      <c r="AI929" s="3897"/>
      <c r="AJ929" s="3892"/>
      <c r="AK929" s="3892"/>
      <c r="AL929" s="1874"/>
      <c r="AM929" s="1714"/>
      <c r="AN929" s="1714"/>
      <c r="AO929" s="1714"/>
      <c r="AP929" s="1714"/>
      <c r="AQ929" s="1714"/>
      <c r="AR929" s="1714"/>
      <c r="AS929" s="1714"/>
      <c r="AT929" s="1714"/>
      <c r="AU929" s="1714"/>
      <c r="AV929" s="1714"/>
      <c r="AW929" s="1714"/>
      <c r="AX929" s="1714"/>
      <c r="AY929" s="1714"/>
      <c r="AZ929" s="1714"/>
      <c r="BA929" s="1714"/>
      <c r="BB929" s="1714"/>
      <c r="BC929" s="1714"/>
      <c r="BD929" s="1714"/>
      <c r="BE929" s="1714"/>
      <c r="BF929" s="1714"/>
    </row>
    <row r="930" spans="1:58" ht="0.75" customHeight="1">
      <c r="A930" s="1088" t="s">
        <v>1403</v>
      </c>
      <c r="D930" s="1082"/>
      <c r="E930" s="1092"/>
      <c r="F930" s="3894"/>
      <c r="G930" s="3885"/>
      <c r="H930" s="3898"/>
      <c r="I930" s="3899"/>
      <c r="J930" s="3891"/>
      <c r="K930" s="3891"/>
      <c r="L930" s="3892"/>
      <c r="M930" s="3743"/>
      <c r="N930" s="3900"/>
      <c r="O930" s="3901"/>
      <c r="P930" s="3890"/>
      <c r="Q930" s="3891"/>
      <c r="R930" s="3891"/>
      <c r="S930" s="3891"/>
      <c r="T930" s="3891"/>
      <c r="U930" s="3891"/>
      <c r="V930" s="3891"/>
      <c r="W930" s="3891"/>
      <c r="X930" s="3891"/>
      <c r="Y930" s="3891"/>
      <c r="Z930" s="1923"/>
      <c r="AA930" s="1924"/>
      <c r="AB930" s="1931"/>
      <c r="AC930" s="1925"/>
      <c r="AD930" s="1925"/>
      <c r="AE930" s="1932"/>
      <c r="AF930" s="3897"/>
      <c r="AG930" s="3892"/>
      <c r="AH930" s="3892"/>
      <c r="AI930" s="3897"/>
      <c r="AJ930" s="3892"/>
      <c r="AK930" s="3892"/>
      <c r="AL930" s="1874"/>
      <c r="AM930" s="1714"/>
      <c r="AN930" s="1714"/>
      <c r="AO930" s="1714"/>
      <c r="AP930" s="1714"/>
      <c r="AQ930" s="1714"/>
      <c r="AR930" s="1714"/>
      <c r="AS930" s="1714"/>
      <c r="AT930" s="1714"/>
      <c r="AU930" s="1714"/>
      <c r="AV930" s="1714"/>
      <c r="AW930" s="1714"/>
      <c r="AX930" s="1714"/>
      <c r="AY930" s="1714"/>
      <c r="AZ930" s="1714"/>
      <c r="BA930" s="1714"/>
      <c r="BB930" s="1714"/>
      <c r="BC930" s="1714"/>
      <c r="BD930" s="1714"/>
      <c r="BE930" s="1714"/>
      <c r="BF930" s="1714"/>
    </row>
    <row r="931" spans="1:58" ht="0.75" customHeight="1">
      <c r="A931" s="1088" t="s">
        <v>1403</v>
      </c>
      <c r="D931" s="1082"/>
      <c r="E931" s="1092"/>
      <c r="F931" s="3894"/>
      <c r="G931" s="3885"/>
      <c r="H931" s="3898"/>
      <c r="I931" s="3899"/>
      <c r="J931" s="3891"/>
      <c r="K931" s="3891"/>
      <c r="L931" s="3892"/>
      <c r="M931" s="3743"/>
      <c r="N931" s="1924"/>
      <c r="O931" s="1924"/>
      <c r="P931" s="1931"/>
      <c r="Q931" s="1924"/>
      <c r="R931" s="1924"/>
      <c r="S931" s="1924"/>
      <c r="T931" s="1924"/>
      <c r="U931" s="1924"/>
      <c r="V931" s="1924"/>
      <c r="W931" s="1924"/>
      <c r="X931" s="1924"/>
      <c r="Y931" s="1924"/>
      <c r="Z931" s="1924"/>
      <c r="AA931" s="1924"/>
      <c r="AB931" s="1924"/>
      <c r="AC931" s="1924"/>
      <c r="AD931" s="1924"/>
      <c r="AE931" s="1933"/>
      <c r="AF931" s="3897"/>
      <c r="AG931" s="3892"/>
      <c r="AH931" s="3892"/>
      <c r="AI931" s="3897"/>
      <c r="AJ931" s="3892"/>
      <c r="AK931" s="3892"/>
      <c r="AL931" s="1874"/>
      <c r="AM931" s="1714"/>
      <c r="AN931" s="1714"/>
      <c r="AO931" s="1714"/>
      <c r="AP931" s="1714"/>
      <c r="AQ931" s="1714"/>
      <c r="AR931" s="1714"/>
      <c r="AS931" s="1714"/>
      <c r="AT931" s="1714"/>
      <c r="AU931" s="1714"/>
      <c r="AV931" s="1714"/>
      <c r="AW931" s="1714"/>
      <c r="AX931" s="1714"/>
      <c r="AY931" s="1714"/>
      <c r="AZ931" s="1714"/>
      <c r="BA931" s="1714"/>
      <c r="BB931" s="1714"/>
      <c r="BC931" s="1714"/>
      <c r="BD931" s="1714"/>
      <c r="BE931" s="1714"/>
      <c r="BF931" s="1714"/>
    </row>
    <row r="932" spans="1:58" ht="11.25" customHeight="1">
      <c r="A932" s="1088" t="s">
        <v>1403</v>
      </c>
      <c r="D932" s="1082"/>
      <c r="E932" s="1092"/>
      <c r="F932" s="3895"/>
      <c r="G932" s="3853" t="s">
        <v>90</v>
      </c>
      <c r="H932" s="3885" t="s">
        <v>164</v>
      </c>
      <c r="I932" s="3886"/>
      <c r="J932" s="3883"/>
      <c r="K932" s="3887" t="s">
        <v>1526</v>
      </c>
      <c r="L932" s="3599" t="s">
        <v>6</v>
      </c>
      <c r="M932" s="3600"/>
      <c r="N932" s="1872"/>
      <c r="O932" s="1099" t="s">
        <v>421</v>
      </c>
      <c r="P932" s="1100"/>
      <c r="Q932" s="1100"/>
      <c r="R932" s="1100"/>
      <c r="S932" s="1100"/>
      <c r="T932" s="1100"/>
      <c r="U932" s="1100"/>
      <c r="V932" s="1100"/>
      <c r="W932" s="1100"/>
      <c r="X932" s="1100"/>
      <c r="Y932" s="1100"/>
      <c r="Z932" s="1100"/>
      <c r="AA932" s="1100"/>
      <c r="AB932" s="1100"/>
      <c r="AC932" s="1100"/>
      <c r="AD932" s="1100"/>
      <c r="AE932" s="1100"/>
      <c r="AF932" s="3876">
        <v>2025</v>
      </c>
      <c r="AG932" s="3877" t="s">
        <v>1447</v>
      </c>
      <c r="AH932" s="3877" t="s">
        <v>1487</v>
      </c>
      <c r="AI932" s="3876">
        <v>2025</v>
      </c>
      <c r="AJ932" s="3877" t="s">
        <v>1447</v>
      </c>
      <c r="AK932" s="3877" t="s">
        <v>1487</v>
      </c>
      <c r="AL932" s="1874"/>
      <c r="AM932" s="1714"/>
      <c r="AN932" s="1714"/>
      <c r="AO932" s="1714"/>
      <c r="AP932" s="1714"/>
      <c r="AQ932" s="1714"/>
      <c r="AR932" s="1714"/>
      <c r="AS932" s="1714"/>
      <c r="AT932" s="1714"/>
      <c r="AU932" s="1714"/>
      <c r="AV932" s="1714"/>
      <c r="AW932" s="1714"/>
      <c r="AX932" s="1714"/>
      <c r="AY932" s="1714"/>
      <c r="AZ932" s="1714"/>
      <c r="BA932" s="1714"/>
      <c r="BB932" s="1714"/>
      <c r="BC932" s="1714"/>
      <c r="BD932" s="1714"/>
      <c r="BE932" s="1714"/>
      <c r="BF932" s="1714"/>
    </row>
    <row r="933" spans="1:58" ht="11.25" customHeight="1">
      <c r="A933" s="1088" t="s">
        <v>1403</v>
      </c>
      <c r="D933" s="1082"/>
      <c r="E933" s="1092"/>
      <c r="F933" s="3895"/>
      <c r="G933" s="3875"/>
      <c r="H933" s="3885" t="s">
        <v>421</v>
      </c>
      <c r="I933" s="3886"/>
      <c r="J933" s="3883"/>
      <c r="K933" s="3887"/>
      <c r="L933" s="3599"/>
      <c r="M933" s="3600"/>
      <c r="N933" s="3878"/>
      <c r="O933" s="3879">
        <v>1</v>
      </c>
      <c r="P933" s="3880" t="s">
        <v>50</v>
      </c>
      <c r="Q933" s="3883" t="s">
        <v>1449</v>
      </c>
      <c r="R933" s="3884" t="s">
        <v>1438</v>
      </c>
      <c r="S933" s="3884" t="s">
        <v>1527</v>
      </c>
      <c r="T933" s="3884" t="s">
        <v>1528</v>
      </c>
      <c r="U933" s="3884" t="s">
        <v>1529</v>
      </c>
      <c r="V933" s="3884" t="s">
        <v>1530</v>
      </c>
      <c r="W933" s="3884" t="s">
        <v>1531</v>
      </c>
      <c r="X933" s="3884" t="s">
        <v>1532</v>
      </c>
      <c r="Y933" s="3884" t="s">
        <v>1442</v>
      </c>
      <c r="Z933" s="1097"/>
      <c r="AA933" s="1098"/>
      <c r="AB933" s="1098"/>
      <c r="AC933" s="1102"/>
      <c r="AD933" s="1102"/>
      <c r="AE933" s="1103"/>
      <c r="AF933" s="3876"/>
      <c r="AG933" s="3877"/>
      <c r="AH933" s="3877"/>
      <c r="AI933" s="3876"/>
      <c r="AJ933" s="3877"/>
      <c r="AK933" s="3877"/>
      <c r="AL933" s="1874"/>
      <c r="AM933" s="1714"/>
      <c r="AN933" s="1714"/>
      <c r="AO933" s="1714"/>
      <c r="AP933" s="1714"/>
      <c r="AQ933" s="1714"/>
      <c r="AR933" s="1714"/>
      <c r="AS933" s="1714"/>
      <c r="AT933" s="1714"/>
      <c r="AU933" s="1714"/>
      <c r="AV933" s="1714"/>
      <c r="AW933" s="1714"/>
      <c r="AX933" s="1714"/>
      <c r="AY933" s="1714"/>
      <c r="AZ933" s="1714"/>
      <c r="BA933" s="1714"/>
      <c r="BB933" s="1714"/>
      <c r="BC933" s="1714"/>
      <c r="BD933" s="1714"/>
      <c r="BE933" s="1714"/>
      <c r="BF933" s="1714"/>
    </row>
    <row r="934" spans="1:58" ht="11.25" customHeight="1">
      <c r="A934" s="1088" t="s">
        <v>1403</v>
      </c>
      <c r="D934" s="1082"/>
      <c r="E934" s="1092"/>
      <c r="F934" s="3895"/>
      <c r="G934" s="3875"/>
      <c r="H934" s="3885" t="s">
        <v>421</v>
      </c>
      <c r="I934" s="3886"/>
      <c r="J934" s="3883"/>
      <c r="K934" s="3887"/>
      <c r="L934" s="3599"/>
      <c r="M934" s="3600"/>
      <c r="N934" s="3878"/>
      <c r="O934" s="3879"/>
      <c r="P934" s="3881"/>
      <c r="Q934" s="3883"/>
      <c r="R934" s="3874"/>
      <c r="S934" s="3884"/>
      <c r="T934" s="3874"/>
      <c r="U934" s="3874"/>
      <c r="V934" s="3874"/>
      <c r="W934" s="3874"/>
      <c r="X934" s="3874"/>
      <c r="Y934" s="3874"/>
      <c r="Z934" s="1719"/>
      <c r="AA934" s="1686">
        <v>1</v>
      </c>
      <c r="AB934" s="1101" t="s">
        <v>1443</v>
      </c>
      <c r="AC934" s="1091">
        <v>2666.67</v>
      </c>
      <c r="AD934" s="1101" t="str">
        <f>AB934</f>
        <v xml:space="preserve">  Прибыль направляемая на инвестиции</v>
      </c>
      <c r="AE934" s="1091">
        <v>0</v>
      </c>
      <c r="AF934" s="3876"/>
      <c r="AG934" s="3877"/>
      <c r="AH934" s="3877"/>
      <c r="AI934" s="3876"/>
      <c r="AJ934" s="3877"/>
      <c r="AK934" s="3877"/>
      <c r="AL934" s="1874"/>
      <c r="AM934" s="1714"/>
      <c r="AN934" s="1714"/>
      <c r="AO934" s="1714"/>
      <c r="AP934" s="1714"/>
      <c r="AQ934" s="1714"/>
      <c r="AR934" s="1714"/>
      <c r="AS934" s="1714"/>
      <c r="AT934" s="1714"/>
      <c r="AU934" s="1714"/>
      <c r="AV934" s="1714"/>
      <c r="AW934" s="1714"/>
      <c r="AX934" s="1714"/>
      <c r="AY934" s="1714"/>
      <c r="AZ934" s="1714"/>
      <c r="BA934" s="1714"/>
      <c r="BB934" s="1714"/>
      <c r="BC934" s="1714"/>
      <c r="BD934" s="1714"/>
      <c r="BE934" s="1714"/>
      <c r="BF934" s="1714"/>
    </row>
    <row r="935" spans="1:58" ht="11.25" customHeight="1">
      <c r="A935" s="1088" t="s">
        <v>1403</v>
      </c>
      <c r="D935" s="1082"/>
      <c r="E935" s="1092"/>
      <c r="F935" s="3895"/>
      <c r="G935" s="3875"/>
      <c r="H935" s="3885" t="s">
        <v>421</v>
      </c>
      <c r="I935" s="3886"/>
      <c r="J935" s="3883"/>
      <c r="K935" s="3887"/>
      <c r="L935" s="3599"/>
      <c r="M935" s="3600"/>
      <c r="N935" s="3878"/>
      <c r="O935" s="3879"/>
      <c r="P935" s="3882"/>
      <c r="Q935" s="3883"/>
      <c r="R935" s="3874"/>
      <c r="S935" s="3884"/>
      <c r="T935" s="3874"/>
      <c r="U935" s="3874"/>
      <c r="V935" s="3874"/>
      <c r="W935" s="3874"/>
      <c r="X935" s="3874"/>
      <c r="Y935" s="3874"/>
      <c r="Z935" s="1097"/>
      <c r="AA935" s="1098"/>
      <c r="AB935" s="1163" t="s">
        <v>1444</v>
      </c>
      <c r="AC935" s="1102"/>
      <c r="AD935" s="1102"/>
      <c r="AE935" s="1104"/>
      <c r="AF935" s="3876"/>
      <c r="AG935" s="3877"/>
      <c r="AH935" s="3877"/>
      <c r="AI935" s="3876"/>
      <c r="AJ935" s="3877"/>
      <c r="AK935" s="3877"/>
      <c r="AL935" s="1874"/>
      <c r="AM935" s="1714"/>
      <c r="AN935" s="1714"/>
      <c r="AO935" s="1714"/>
      <c r="AP935" s="1714"/>
      <c r="AQ935" s="1714"/>
      <c r="AR935" s="1714"/>
      <c r="AS935" s="1714"/>
      <c r="AT935" s="1714"/>
      <c r="AU935" s="1714"/>
      <c r="AV935" s="1714"/>
      <c r="AW935" s="1714"/>
      <c r="AX935" s="1714"/>
      <c r="AY935" s="1714"/>
      <c r="AZ935" s="1714"/>
      <c r="BA935" s="1714"/>
      <c r="BB935" s="1714"/>
      <c r="BC935" s="1714"/>
      <c r="BD935" s="1714"/>
      <c r="BE935" s="1714"/>
      <c r="BF935" s="1714"/>
    </row>
    <row r="936" spans="1:58" ht="11.25" customHeight="1">
      <c r="A936" s="1088" t="s">
        <v>1403</v>
      </c>
      <c r="D936" s="1082"/>
      <c r="E936" s="1092"/>
      <c r="F936" s="3895"/>
      <c r="G936" s="3875"/>
      <c r="H936" s="3885" t="s">
        <v>421</v>
      </c>
      <c r="I936" s="3886"/>
      <c r="J936" s="3883"/>
      <c r="K936" s="3887"/>
      <c r="L936" s="3599"/>
      <c r="M936" s="3600"/>
      <c r="N936" s="1097"/>
      <c r="O936" s="1098"/>
      <c r="P936" s="1090" t="s">
        <v>1445</v>
      </c>
      <c r="Q936" s="1098"/>
      <c r="R936" s="1098"/>
      <c r="S936" s="1098"/>
      <c r="T936" s="1098"/>
      <c r="U936" s="1098"/>
      <c r="V936" s="1098"/>
      <c r="W936" s="1098"/>
      <c r="X936" s="1098"/>
      <c r="Y936" s="1098"/>
      <c r="Z936" s="1098"/>
      <c r="AA936" s="1098"/>
      <c r="AB936" s="1098"/>
      <c r="AC936" s="1098"/>
      <c r="AD936" s="1098"/>
      <c r="AE936" s="1105"/>
      <c r="AF936" s="3876"/>
      <c r="AG936" s="3877"/>
      <c r="AH936" s="3877"/>
      <c r="AI936" s="3876"/>
      <c r="AJ936" s="3877"/>
      <c r="AK936" s="3877"/>
      <c r="AL936" s="1874"/>
      <c r="AM936" s="1714"/>
      <c r="AN936" s="1714"/>
      <c r="AO936" s="1714"/>
      <c r="AP936" s="1714"/>
      <c r="AQ936" s="1714"/>
      <c r="AR936" s="1714"/>
      <c r="AS936" s="1714"/>
      <c r="AT936" s="1714"/>
      <c r="AU936" s="1714"/>
      <c r="AV936" s="1714"/>
      <c r="AW936" s="1714"/>
      <c r="AX936" s="1714"/>
      <c r="AY936" s="1714"/>
      <c r="AZ936" s="1714"/>
      <c r="BA936" s="1714"/>
      <c r="BB936" s="1714"/>
      <c r="BC936" s="1714"/>
      <c r="BD936" s="1714"/>
      <c r="BE936" s="1714"/>
      <c r="BF936" s="1714"/>
    </row>
    <row r="937" spans="1:58" ht="12" customHeight="1">
      <c r="A937" s="1088" t="s">
        <v>1403</v>
      </c>
      <c r="D937" s="1082"/>
      <c r="E937" s="1092"/>
      <c r="F937" s="3896"/>
      <c r="G937" s="1112"/>
      <c r="H937" s="1112"/>
      <c r="I937" s="3893" t="s">
        <v>1451</v>
      </c>
      <c r="J937" s="3893"/>
      <c r="K937" s="3893"/>
      <c r="L937" s="1095"/>
      <c r="M937" s="1095"/>
      <c r="N937" s="1096"/>
      <c r="O937" s="1096"/>
      <c r="P937" s="1096"/>
      <c r="Q937" s="1096"/>
      <c r="R937" s="1096"/>
      <c r="S937" s="1096"/>
      <c r="T937" s="1096"/>
      <c r="U937" s="1096"/>
      <c r="V937" s="1096"/>
      <c r="W937" s="1096"/>
      <c r="X937" s="1096"/>
      <c r="Y937" s="1096"/>
      <c r="Z937" s="1096"/>
      <c r="AA937" s="1096"/>
      <c r="AB937" s="1096"/>
      <c r="AC937" s="1096"/>
      <c r="AD937" s="1096"/>
      <c r="AE937" s="1096"/>
      <c r="AF937" s="1096"/>
      <c r="AG937" s="1095"/>
      <c r="AH937" s="1095"/>
      <c r="AI937" s="1096"/>
      <c r="AJ937" s="1095"/>
      <c r="AK937" s="1096"/>
      <c r="AL937" s="1874"/>
      <c r="AM937" s="1714"/>
      <c r="AN937" s="1714"/>
      <c r="AO937" s="1714"/>
      <c r="AP937" s="1714"/>
      <c r="AQ937" s="1714"/>
      <c r="AR937" s="1714"/>
      <c r="AS937" s="1714"/>
      <c r="AT937" s="1714"/>
      <c r="AU937" s="1714"/>
      <c r="AV937" s="1714"/>
      <c r="AW937" s="1714"/>
      <c r="AX937" s="1714"/>
      <c r="AY937" s="1714"/>
      <c r="AZ937" s="1714"/>
      <c r="BA937" s="1714"/>
      <c r="BB937" s="1714"/>
      <c r="BC937" s="1714"/>
      <c r="BD937" s="1714"/>
      <c r="BE937" s="1714"/>
      <c r="BF937" s="1714"/>
    </row>
    <row r="938" spans="1:58" ht="0.75" customHeight="1">
      <c r="A938" s="1088" t="s">
        <v>1403</v>
      </c>
      <c r="D938" s="1082"/>
      <c r="E938" s="1092"/>
      <c r="F938" s="3894">
        <v>2024</v>
      </c>
      <c r="G938" s="3885"/>
      <c r="H938" s="3898" t="s">
        <v>421</v>
      </c>
      <c r="I938" s="3899"/>
      <c r="J938" s="3891"/>
      <c r="K938" s="3891"/>
      <c r="L938" s="3892"/>
      <c r="M938" s="3743"/>
      <c r="N938" s="1922"/>
      <c r="O938" s="1921"/>
      <c r="P938" s="1922"/>
      <c r="Q938" s="1922"/>
      <c r="R938" s="1922"/>
      <c r="S938" s="1922"/>
      <c r="T938" s="1922"/>
      <c r="U938" s="1922"/>
      <c r="V938" s="1922"/>
      <c r="W938" s="1922"/>
      <c r="X938" s="1922"/>
      <c r="Y938" s="1922"/>
      <c r="Z938" s="1922"/>
      <c r="AA938" s="1922"/>
      <c r="AB938" s="1922"/>
      <c r="AC938" s="1922"/>
      <c r="AD938" s="1922"/>
      <c r="AE938" s="1922"/>
      <c r="AF938" s="3897"/>
      <c r="AG938" s="3892"/>
      <c r="AH938" s="3892"/>
      <c r="AI938" s="3897"/>
      <c r="AJ938" s="3892"/>
      <c r="AK938" s="3892"/>
      <c r="AL938" s="1874"/>
      <c r="AM938" s="1714"/>
      <c r="AN938" s="1714"/>
      <c r="AO938" s="1714"/>
      <c r="AP938" s="1714"/>
      <c r="AQ938" s="1714"/>
      <c r="AR938" s="1714"/>
      <c r="AS938" s="1714"/>
      <c r="AT938" s="1714"/>
      <c r="AU938" s="1714"/>
      <c r="AV938" s="1714"/>
      <c r="AW938" s="1714"/>
      <c r="AX938" s="1714"/>
      <c r="AY938" s="1714"/>
      <c r="AZ938" s="1714"/>
      <c r="BA938" s="1714"/>
      <c r="BB938" s="1714"/>
      <c r="BC938" s="1714"/>
      <c r="BD938" s="1714"/>
      <c r="BE938" s="1714"/>
      <c r="BF938" s="1714"/>
    </row>
    <row r="939" spans="1:58" ht="0.75" customHeight="1">
      <c r="A939" s="1088" t="s">
        <v>1403</v>
      </c>
      <c r="D939" s="1082"/>
      <c r="E939" s="1092"/>
      <c r="F939" s="3894"/>
      <c r="G939" s="3885"/>
      <c r="H939" s="3898"/>
      <c r="I939" s="3899"/>
      <c r="J939" s="3891"/>
      <c r="K939" s="3891"/>
      <c r="L939" s="3892"/>
      <c r="M939" s="3743"/>
      <c r="N939" s="3900"/>
      <c r="O939" s="3901"/>
      <c r="P939" s="3888"/>
      <c r="Q939" s="3891"/>
      <c r="R939" s="3891"/>
      <c r="S939" s="3891"/>
      <c r="T939" s="3891"/>
      <c r="U939" s="3891"/>
      <c r="V939" s="3891"/>
      <c r="W939" s="3891"/>
      <c r="X939" s="3891"/>
      <c r="Y939" s="3891"/>
      <c r="Z939" s="1923"/>
      <c r="AA939" s="1924"/>
      <c r="AB939" s="1924"/>
      <c r="AC939" s="1925"/>
      <c r="AD939" s="1925"/>
      <c r="AE939" s="1926"/>
      <c r="AF939" s="3897"/>
      <c r="AG939" s="3892"/>
      <c r="AH939" s="3892"/>
      <c r="AI939" s="3897"/>
      <c r="AJ939" s="3892"/>
      <c r="AK939" s="3892"/>
      <c r="AL939" s="1874"/>
      <c r="AM939" s="1714"/>
      <c r="AN939" s="1714"/>
      <c r="AO939" s="1714"/>
      <c r="AP939" s="1714"/>
      <c r="AQ939" s="1714"/>
      <c r="AR939" s="1714"/>
      <c r="AS939" s="1714"/>
      <c r="AT939" s="1714"/>
      <c r="AU939" s="1714"/>
      <c r="AV939" s="1714"/>
      <c r="AW939" s="1714"/>
      <c r="AX939" s="1714"/>
      <c r="AY939" s="1714"/>
      <c r="AZ939" s="1714"/>
      <c r="BA939" s="1714"/>
      <c r="BB939" s="1714"/>
      <c r="BC939" s="1714"/>
      <c r="BD939" s="1714"/>
      <c r="BE939" s="1714"/>
      <c r="BF939" s="1714"/>
    </row>
    <row r="940" spans="1:58" ht="0.75" customHeight="1">
      <c r="A940" s="1088" t="s">
        <v>1403</v>
      </c>
      <c r="D940" s="1082"/>
      <c r="E940" s="1092"/>
      <c r="F940" s="3894"/>
      <c r="G940" s="3885"/>
      <c r="H940" s="3898"/>
      <c r="I940" s="3899"/>
      <c r="J940" s="3891"/>
      <c r="K940" s="3891"/>
      <c r="L940" s="3892"/>
      <c r="M940" s="3743"/>
      <c r="N940" s="3900"/>
      <c r="O940" s="3901"/>
      <c r="P940" s="3889"/>
      <c r="Q940" s="3891"/>
      <c r="R940" s="3891"/>
      <c r="S940" s="3891"/>
      <c r="T940" s="3891"/>
      <c r="U940" s="3891"/>
      <c r="V940" s="3891"/>
      <c r="W940" s="3891"/>
      <c r="X940" s="3891"/>
      <c r="Y940" s="3891"/>
      <c r="Z940" s="1927"/>
      <c r="AA940" s="1928"/>
      <c r="AB940" s="1929"/>
      <c r="AC940" s="1930"/>
      <c r="AD940" s="1929"/>
      <c r="AE940" s="1930"/>
      <c r="AF940" s="3897"/>
      <c r="AG940" s="3892"/>
      <c r="AH940" s="3892"/>
      <c r="AI940" s="3897"/>
      <c r="AJ940" s="3892"/>
      <c r="AK940" s="3892"/>
      <c r="AL940" s="1874"/>
      <c r="AM940" s="1714"/>
      <c r="AN940" s="1714"/>
      <c r="AO940" s="1714"/>
      <c r="AP940" s="1714"/>
      <c r="AQ940" s="1714"/>
      <c r="AR940" s="1714"/>
      <c r="AS940" s="1714"/>
      <c r="AT940" s="1714"/>
      <c r="AU940" s="1714"/>
      <c r="AV940" s="1714"/>
      <c r="AW940" s="1714"/>
      <c r="AX940" s="1714"/>
      <c r="AY940" s="1714"/>
      <c r="AZ940" s="1714"/>
      <c r="BA940" s="1714"/>
      <c r="BB940" s="1714"/>
      <c r="BC940" s="1714"/>
      <c r="BD940" s="1714"/>
      <c r="BE940" s="1714"/>
      <c r="BF940" s="1714"/>
    </row>
    <row r="941" spans="1:58" ht="0.75" customHeight="1">
      <c r="A941" s="1088" t="s">
        <v>1403</v>
      </c>
      <c r="D941" s="1082"/>
      <c r="E941" s="1092"/>
      <c r="F941" s="3894"/>
      <c r="G941" s="3885"/>
      <c r="H941" s="3898"/>
      <c r="I941" s="3899"/>
      <c r="J941" s="3891"/>
      <c r="K941" s="3891"/>
      <c r="L941" s="3892"/>
      <c r="M941" s="3743"/>
      <c r="N941" s="3900"/>
      <c r="O941" s="3901"/>
      <c r="P941" s="3890"/>
      <c r="Q941" s="3891"/>
      <c r="R941" s="3891"/>
      <c r="S941" s="3891"/>
      <c r="T941" s="3891"/>
      <c r="U941" s="3891"/>
      <c r="V941" s="3891"/>
      <c r="W941" s="3891"/>
      <c r="X941" s="3891"/>
      <c r="Y941" s="3891"/>
      <c r="Z941" s="1923"/>
      <c r="AA941" s="1924"/>
      <c r="AB941" s="1931"/>
      <c r="AC941" s="1925"/>
      <c r="AD941" s="1925"/>
      <c r="AE941" s="1932"/>
      <c r="AF941" s="3897"/>
      <c r="AG941" s="3892"/>
      <c r="AH941" s="3892"/>
      <c r="AI941" s="3897"/>
      <c r="AJ941" s="3892"/>
      <c r="AK941" s="3892"/>
      <c r="AL941" s="1874"/>
      <c r="AM941" s="1714"/>
      <c r="AN941" s="1714"/>
      <c r="AO941" s="1714"/>
      <c r="AP941" s="1714"/>
      <c r="AQ941" s="1714"/>
      <c r="AR941" s="1714"/>
      <c r="AS941" s="1714"/>
      <c r="AT941" s="1714"/>
      <c r="AU941" s="1714"/>
      <c r="AV941" s="1714"/>
      <c r="AW941" s="1714"/>
      <c r="AX941" s="1714"/>
      <c r="AY941" s="1714"/>
      <c r="AZ941" s="1714"/>
      <c r="BA941" s="1714"/>
      <c r="BB941" s="1714"/>
      <c r="BC941" s="1714"/>
      <c r="BD941" s="1714"/>
      <c r="BE941" s="1714"/>
      <c r="BF941" s="1714"/>
    </row>
    <row r="942" spans="1:58" ht="0.75" customHeight="1">
      <c r="A942" s="1088" t="s">
        <v>1403</v>
      </c>
      <c r="D942" s="1082"/>
      <c r="E942" s="1092"/>
      <c r="F942" s="3894"/>
      <c r="G942" s="3885"/>
      <c r="H942" s="3898"/>
      <c r="I942" s="3899"/>
      <c r="J942" s="3891"/>
      <c r="K942" s="3891"/>
      <c r="L942" s="3892"/>
      <c r="M942" s="3743"/>
      <c r="N942" s="1924"/>
      <c r="O942" s="1924"/>
      <c r="P942" s="1931"/>
      <c r="Q942" s="1924"/>
      <c r="R942" s="1924"/>
      <c r="S942" s="1924"/>
      <c r="T942" s="1924"/>
      <c r="U942" s="1924"/>
      <c r="V942" s="1924"/>
      <c r="W942" s="1924"/>
      <c r="X942" s="1924"/>
      <c r="Y942" s="1924"/>
      <c r="Z942" s="1924"/>
      <c r="AA942" s="1924"/>
      <c r="AB942" s="1924"/>
      <c r="AC942" s="1924"/>
      <c r="AD942" s="1924"/>
      <c r="AE942" s="1933"/>
      <c r="AF942" s="3897"/>
      <c r="AG942" s="3892"/>
      <c r="AH942" s="3892"/>
      <c r="AI942" s="3897"/>
      <c r="AJ942" s="3892"/>
      <c r="AK942" s="3892"/>
      <c r="AL942" s="1874"/>
      <c r="AM942" s="1714"/>
      <c r="AN942" s="1714"/>
      <c r="AO942" s="1714"/>
      <c r="AP942" s="1714"/>
      <c r="AQ942" s="1714"/>
      <c r="AR942" s="1714"/>
      <c r="AS942" s="1714"/>
      <c r="AT942" s="1714"/>
      <c r="AU942" s="1714"/>
      <c r="AV942" s="1714"/>
      <c r="AW942" s="1714"/>
      <c r="AX942" s="1714"/>
      <c r="AY942" s="1714"/>
      <c r="AZ942" s="1714"/>
      <c r="BA942" s="1714"/>
      <c r="BB942" s="1714"/>
      <c r="BC942" s="1714"/>
      <c r="BD942" s="1714"/>
      <c r="BE942" s="1714"/>
      <c r="BF942" s="1714"/>
    </row>
    <row r="943" spans="1:58" ht="11.25" customHeight="1">
      <c r="A943" s="1088" t="s">
        <v>1403</v>
      </c>
      <c r="D943" s="1082"/>
      <c r="E943" s="1092"/>
      <c r="F943" s="3895"/>
      <c r="G943" s="3853" t="s">
        <v>90</v>
      </c>
      <c r="H943" s="3885" t="s">
        <v>164</v>
      </c>
      <c r="I943" s="3886"/>
      <c r="J943" s="3883"/>
      <c r="K943" s="3887" t="s">
        <v>1526</v>
      </c>
      <c r="L943" s="3599" t="s">
        <v>6</v>
      </c>
      <c r="M943" s="3600"/>
      <c r="N943" s="1872"/>
      <c r="O943" s="1099" t="s">
        <v>421</v>
      </c>
      <c r="P943" s="1100"/>
      <c r="Q943" s="1100"/>
      <c r="R943" s="1100"/>
      <c r="S943" s="1100"/>
      <c r="T943" s="1100"/>
      <c r="U943" s="1100"/>
      <c r="V943" s="1100"/>
      <c r="W943" s="1100"/>
      <c r="X943" s="1100"/>
      <c r="Y943" s="1100"/>
      <c r="Z943" s="1100"/>
      <c r="AA943" s="1100"/>
      <c r="AB943" s="1100"/>
      <c r="AC943" s="1100"/>
      <c r="AD943" s="1100"/>
      <c r="AE943" s="1100"/>
      <c r="AF943" s="3876">
        <v>2025</v>
      </c>
      <c r="AG943" s="3877" t="s">
        <v>1447</v>
      </c>
      <c r="AH943" s="3877" t="s">
        <v>1487</v>
      </c>
      <c r="AI943" s="3876">
        <v>2025</v>
      </c>
      <c r="AJ943" s="3877" t="s">
        <v>1447</v>
      </c>
      <c r="AK943" s="3877" t="s">
        <v>1487</v>
      </c>
      <c r="AL943" s="1874"/>
      <c r="AM943" s="1714"/>
      <c r="AN943" s="1714"/>
      <c r="AO943" s="1714"/>
      <c r="AP943" s="1714"/>
      <c r="AQ943" s="1714"/>
      <c r="AR943" s="1714"/>
      <c r="AS943" s="1714"/>
      <c r="AT943" s="1714"/>
      <c r="AU943" s="1714"/>
      <c r="AV943" s="1714"/>
      <c r="AW943" s="1714"/>
      <c r="AX943" s="1714"/>
      <c r="AY943" s="1714"/>
      <c r="AZ943" s="1714"/>
      <c r="BA943" s="1714"/>
      <c r="BB943" s="1714"/>
      <c r="BC943" s="1714"/>
      <c r="BD943" s="1714"/>
      <c r="BE943" s="1714"/>
      <c r="BF943" s="1714"/>
    </row>
    <row r="944" spans="1:58" ht="11.25" customHeight="1">
      <c r="A944" s="1088" t="s">
        <v>1403</v>
      </c>
      <c r="D944" s="1082"/>
      <c r="E944" s="1092"/>
      <c r="F944" s="3895"/>
      <c r="G944" s="3875"/>
      <c r="H944" s="3885" t="s">
        <v>421</v>
      </c>
      <c r="I944" s="3886"/>
      <c r="J944" s="3883"/>
      <c r="K944" s="3887"/>
      <c r="L944" s="3599"/>
      <c r="M944" s="3600"/>
      <c r="N944" s="3878"/>
      <c r="O944" s="3879">
        <v>1</v>
      </c>
      <c r="P944" s="3880" t="s">
        <v>50</v>
      </c>
      <c r="Q944" s="3883" t="s">
        <v>1449</v>
      </c>
      <c r="R944" s="3884" t="s">
        <v>1438</v>
      </c>
      <c r="S944" s="3884" t="s">
        <v>1527</v>
      </c>
      <c r="T944" s="3884" t="s">
        <v>1528</v>
      </c>
      <c r="U944" s="3884" t="s">
        <v>1529</v>
      </c>
      <c r="V944" s="3884" t="s">
        <v>1530</v>
      </c>
      <c r="W944" s="3884" t="s">
        <v>1531</v>
      </c>
      <c r="X944" s="3884" t="s">
        <v>1532</v>
      </c>
      <c r="Y944" s="3884" t="s">
        <v>1442</v>
      </c>
      <c r="Z944" s="1097"/>
      <c r="AA944" s="1098"/>
      <c r="AB944" s="1098"/>
      <c r="AC944" s="1102"/>
      <c r="AD944" s="1102"/>
      <c r="AE944" s="1103"/>
      <c r="AF944" s="3876"/>
      <c r="AG944" s="3877"/>
      <c r="AH944" s="3877"/>
      <c r="AI944" s="3876"/>
      <c r="AJ944" s="3877"/>
      <c r="AK944" s="3877"/>
      <c r="AL944" s="1874"/>
      <c r="AM944" s="1714"/>
      <c r="AN944" s="1714"/>
      <c r="AO944" s="1714"/>
      <c r="AP944" s="1714"/>
      <c r="AQ944" s="1714"/>
      <c r="AR944" s="1714"/>
      <c r="AS944" s="1714"/>
      <c r="AT944" s="1714"/>
      <c r="AU944" s="1714"/>
      <c r="AV944" s="1714"/>
      <c r="AW944" s="1714"/>
      <c r="AX944" s="1714"/>
      <c r="AY944" s="1714"/>
      <c r="AZ944" s="1714"/>
      <c r="BA944" s="1714"/>
      <c r="BB944" s="1714"/>
      <c r="BC944" s="1714"/>
      <c r="BD944" s="1714"/>
      <c r="BE944" s="1714"/>
      <c r="BF944" s="1714"/>
    </row>
    <row r="945" spans="1:59" ht="11.25" customHeight="1">
      <c r="A945" s="1088" t="s">
        <v>1403</v>
      </c>
      <c r="D945" s="1082"/>
      <c r="E945" s="1092"/>
      <c r="F945" s="3895"/>
      <c r="G945" s="3875"/>
      <c r="H945" s="3885" t="s">
        <v>421</v>
      </c>
      <c r="I945" s="3886"/>
      <c r="J945" s="3883"/>
      <c r="K945" s="3887"/>
      <c r="L945" s="3599"/>
      <c r="M945" s="3600"/>
      <c r="N945" s="3878"/>
      <c r="O945" s="3879"/>
      <c r="P945" s="3881"/>
      <c r="Q945" s="3883"/>
      <c r="R945" s="3874"/>
      <c r="S945" s="3884"/>
      <c r="T945" s="3874"/>
      <c r="U945" s="3874"/>
      <c r="V945" s="3874"/>
      <c r="W945" s="3874"/>
      <c r="X945" s="3874"/>
      <c r="Y945" s="3874"/>
      <c r="Z945" s="1719"/>
      <c r="AA945" s="1686">
        <v>1</v>
      </c>
      <c r="AB945" s="1101" t="s">
        <v>1443</v>
      </c>
      <c r="AC945" s="1091">
        <v>2666.67</v>
      </c>
      <c r="AD945" s="1101" t="str">
        <f>AB945</f>
        <v xml:space="preserve">  Прибыль направляемая на инвестиции</v>
      </c>
      <c r="AE945" s="1091">
        <v>1609.46</v>
      </c>
      <c r="AF945" s="3876"/>
      <c r="AG945" s="3877"/>
      <c r="AH945" s="3877"/>
      <c r="AI945" s="3876"/>
      <c r="AJ945" s="3877"/>
      <c r="AK945" s="3877"/>
      <c r="AL945" s="1874"/>
      <c r="AM945" s="1714"/>
      <c r="AN945" s="1714"/>
      <c r="AO945" s="1714"/>
      <c r="AP945" s="1714"/>
      <c r="AQ945" s="1714"/>
      <c r="AR945" s="1714"/>
      <c r="AS945" s="1714"/>
      <c r="AT945" s="1714"/>
      <c r="AU945" s="1714"/>
      <c r="AV945" s="1714"/>
      <c r="AW945" s="1714"/>
      <c r="AX945" s="1714"/>
      <c r="AY945" s="1714"/>
      <c r="AZ945" s="1714"/>
      <c r="BA945" s="1714"/>
      <c r="BB945" s="1714"/>
      <c r="BC945" s="1714"/>
      <c r="BD945" s="1714"/>
      <c r="BE945" s="1714"/>
      <c r="BF945" s="1714"/>
    </row>
    <row r="946" spans="1:59" ht="11.25" customHeight="1">
      <c r="A946" s="1088" t="s">
        <v>1403</v>
      </c>
      <c r="D946" s="1082"/>
      <c r="E946" s="1092"/>
      <c r="F946" s="3895"/>
      <c r="G946" s="3875"/>
      <c r="H946" s="3885" t="s">
        <v>421</v>
      </c>
      <c r="I946" s="3886"/>
      <c r="J946" s="3883"/>
      <c r="K946" s="3887"/>
      <c r="L946" s="3599"/>
      <c r="M946" s="3600"/>
      <c r="N946" s="3878"/>
      <c r="O946" s="3879"/>
      <c r="P946" s="3882"/>
      <c r="Q946" s="3883"/>
      <c r="R946" s="3874"/>
      <c r="S946" s="3884"/>
      <c r="T946" s="3874"/>
      <c r="U946" s="3874"/>
      <c r="V946" s="3874"/>
      <c r="W946" s="3874"/>
      <c r="X946" s="3874"/>
      <c r="Y946" s="3874"/>
      <c r="Z946" s="1097"/>
      <c r="AA946" s="1098"/>
      <c r="AB946" s="1163" t="s">
        <v>1444</v>
      </c>
      <c r="AC946" s="1102"/>
      <c r="AD946" s="1102"/>
      <c r="AE946" s="1104"/>
      <c r="AF946" s="3876"/>
      <c r="AG946" s="3877"/>
      <c r="AH946" s="3877"/>
      <c r="AI946" s="3876"/>
      <c r="AJ946" s="3877"/>
      <c r="AK946" s="3877"/>
      <c r="AL946" s="1874"/>
      <c r="AM946" s="1714"/>
      <c r="AN946" s="1714"/>
      <c r="AO946" s="1714"/>
      <c r="AP946" s="1714"/>
      <c r="AQ946" s="1714"/>
      <c r="AR946" s="1714"/>
      <c r="AS946" s="1714"/>
      <c r="AT946" s="1714"/>
      <c r="AU946" s="1714"/>
      <c r="AV946" s="1714"/>
      <c r="AW946" s="1714"/>
      <c r="AX946" s="1714"/>
      <c r="AY946" s="1714"/>
      <c r="AZ946" s="1714"/>
      <c r="BA946" s="1714"/>
      <c r="BB946" s="1714"/>
      <c r="BC946" s="1714"/>
      <c r="BD946" s="1714"/>
      <c r="BE946" s="1714"/>
      <c r="BF946" s="1714"/>
    </row>
    <row r="947" spans="1:59" ht="11.25" customHeight="1">
      <c r="A947" s="1088" t="s">
        <v>1403</v>
      </c>
      <c r="D947" s="1082"/>
      <c r="E947" s="1092"/>
      <c r="F947" s="3895"/>
      <c r="G947" s="3875"/>
      <c r="H947" s="3885" t="s">
        <v>421</v>
      </c>
      <c r="I947" s="3886"/>
      <c r="J947" s="3883"/>
      <c r="K947" s="3887"/>
      <c r="L947" s="3599"/>
      <c r="M947" s="3600"/>
      <c r="N947" s="1097"/>
      <c r="O947" s="1098"/>
      <c r="P947" s="1090" t="s">
        <v>1445</v>
      </c>
      <c r="Q947" s="1098"/>
      <c r="R947" s="1098"/>
      <c r="S947" s="1098"/>
      <c r="T947" s="1098"/>
      <c r="U947" s="1098"/>
      <c r="V947" s="1098"/>
      <c r="W947" s="1098"/>
      <c r="X947" s="1098"/>
      <c r="Y947" s="1098"/>
      <c r="Z947" s="1098"/>
      <c r="AA947" s="1098"/>
      <c r="AB947" s="1098"/>
      <c r="AC947" s="1098"/>
      <c r="AD947" s="1098"/>
      <c r="AE947" s="1105"/>
      <c r="AF947" s="3876"/>
      <c r="AG947" s="3877"/>
      <c r="AH947" s="3877"/>
      <c r="AI947" s="3876"/>
      <c r="AJ947" s="3877"/>
      <c r="AK947" s="3877"/>
      <c r="AL947" s="1874"/>
      <c r="AM947" s="1714"/>
      <c r="AN947" s="1714"/>
      <c r="AO947" s="1714"/>
      <c r="AP947" s="1714"/>
      <c r="AQ947" s="1714"/>
      <c r="AR947" s="1714"/>
      <c r="AS947" s="1714"/>
      <c r="AT947" s="1714"/>
      <c r="AU947" s="1714"/>
      <c r="AV947" s="1714"/>
      <c r="AW947" s="1714"/>
      <c r="AX947" s="1714"/>
      <c r="AY947" s="1714"/>
      <c r="AZ947" s="1714"/>
      <c r="BA947" s="1714"/>
      <c r="BB947" s="1714"/>
      <c r="BC947" s="1714"/>
      <c r="BD947" s="1714"/>
      <c r="BE947" s="1714"/>
      <c r="BF947" s="1714"/>
    </row>
    <row r="948" spans="1:59" ht="12" customHeight="1">
      <c r="A948" s="1088" t="s">
        <v>1403</v>
      </c>
      <c r="D948" s="1082"/>
      <c r="E948" s="1092"/>
      <c r="F948" s="3896"/>
      <c r="G948" s="1112"/>
      <c r="H948" s="1112"/>
      <c r="I948" s="3893" t="s">
        <v>1451</v>
      </c>
      <c r="J948" s="3893"/>
      <c r="K948" s="3893"/>
      <c r="L948" s="1095"/>
      <c r="M948" s="1095"/>
      <c r="N948" s="1096"/>
      <c r="O948" s="1096"/>
      <c r="P948" s="1096"/>
      <c r="Q948" s="1096"/>
      <c r="R948" s="1096"/>
      <c r="S948" s="1096"/>
      <c r="T948" s="1096"/>
      <c r="U948" s="1096"/>
      <c r="V948" s="1096"/>
      <c r="W948" s="1096"/>
      <c r="X948" s="1096"/>
      <c r="Y948" s="1096"/>
      <c r="Z948" s="1096"/>
      <c r="AA948" s="1096"/>
      <c r="AB948" s="1096"/>
      <c r="AC948" s="1096"/>
      <c r="AD948" s="1096"/>
      <c r="AE948" s="1096"/>
      <c r="AF948" s="1096"/>
      <c r="AG948" s="1095"/>
      <c r="AH948" s="1095"/>
      <c r="AI948" s="1096"/>
      <c r="AJ948" s="1095"/>
      <c r="AK948" s="1096"/>
      <c r="AL948" s="1874"/>
      <c r="AM948" s="1714"/>
      <c r="AN948" s="1714"/>
      <c r="AO948" s="1714"/>
      <c r="AP948" s="1714"/>
      <c r="AQ948" s="1714"/>
      <c r="AR948" s="1714"/>
      <c r="AS948" s="1714"/>
      <c r="AT948" s="1714"/>
      <c r="AU948" s="1714"/>
      <c r="AV948" s="1714"/>
      <c r="AW948" s="1714"/>
      <c r="AX948" s="1714"/>
      <c r="AY948" s="1714"/>
      <c r="AZ948" s="1714"/>
      <c r="BA948" s="1714"/>
      <c r="BB948" s="1714"/>
      <c r="BC948" s="1714"/>
      <c r="BD948" s="1714"/>
      <c r="BE948" s="1714"/>
      <c r="BF948" s="1714"/>
    </row>
    <row r="949" spans="1:59" ht="0.75" customHeight="1">
      <c r="A949" s="1088" t="s">
        <v>1403</v>
      </c>
      <c r="D949" s="1082"/>
      <c r="E949" s="1092"/>
      <c r="F949" s="3894">
        <v>2025</v>
      </c>
      <c r="G949" s="3885"/>
      <c r="H949" s="3898" t="s">
        <v>421</v>
      </c>
      <c r="I949" s="3899"/>
      <c r="J949" s="3891"/>
      <c r="K949" s="3891"/>
      <c r="L949" s="3892"/>
      <c r="M949" s="3743"/>
      <c r="N949" s="1922"/>
      <c r="O949" s="1921"/>
      <c r="P949" s="1922"/>
      <c r="Q949" s="1922"/>
      <c r="R949" s="1922"/>
      <c r="S949" s="1922"/>
      <c r="T949" s="1922"/>
      <c r="U949" s="1922"/>
      <c r="V949" s="1922"/>
      <c r="W949" s="1922"/>
      <c r="X949" s="1922"/>
      <c r="Y949" s="1922"/>
      <c r="Z949" s="1922"/>
      <c r="AA949" s="1922"/>
      <c r="AB949" s="1922"/>
      <c r="AC949" s="1922"/>
      <c r="AD949" s="1922"/>
      <c r="AE949" s="1922"/>
      <c r="AF949" s="3897"/>
      <c r="AG949" s="3892"/>
      <c r="AH949" s="3892"/>
      <c r="AI949" s="3897"/>
      <c r="AJ949" s="3892"/>
      <c r="AK949" s="3892"/>
      <c r="AL949" s="1874"/>
      <c r="AM949" s="1714"/>
      <c r="AN949" s="1714"/>
      <c r="AO949" s="1714"/>
      <c r="AP949" s="1714"/>
      <c r="AQ949" s="1714"/>
      <c r="AR949" s="1714"/>
      <c r="AS949" s="1714"/>
      <c r="AT949" s="1714"/>
      <c r="AU949" s="1714"/>
      <c r="AV949" s="1714"/>
      <c r="AW949" s="1714"/>
      <c r="AX949" s="1714"/>
      <c r="AY949" s="1714"/>
      <c r="AZ949" s="1714"/>
      <c r="BA949" s="1714"/>
      <c r="BB949" s="1714"/>
      <c r="BC949" s="1714"/>
      <c r="BD949" s="1714"/>
      <c r="BE949" s="1714"/>
      <c r="BF949" s="1714"/>
    </row>
    <row r="950" spans="1:59" ht="0.75" customHeight="1">
      <c r="A950" s="1088" t="s">
        <v>1403</v>
      </c>
      <c r="D950" s="1082"/>
      <c r="E950" s="1092"/>
      <c r="F950" s="3894"/>
      <c r="G950" s="3885"/>
      <c r="H950" s="3898"/>
      <c r="I950" s="3899"/>
      <c r="J950" s="3891"/>
      <c r="K950" s="3891"/>
      <c r="L950" s="3892"/>
      <c r="M950" s="3743"/>
      <c r="N950" s="3900"/>
      <c r="O950" s="3901"/>
      <c r="P950" s="3888"/>
      <c r="Q950" s="3891"/>
      <c r="R950" s="3891"/>
      <c r="S950" s="3891"/>
      <c r="T950" s="3891"/>
      <c r="U950" s="3891"/>
      <c r="V950" s="3891"/>
      <c r="W950" s="3891"/>
      <c r="X950" s="3891"/>
      <c r="Y950" s="3891"/>
      <c r="Z950" s="1923"/>
      <c r="AA950" s="1924"/>
      <c r="AB950" s="1924"/>
      <c r="AC950" s="1925"/>
      <c r="AD950" s="1925"/>
      <c r="AE950" s="1926"/>
      <c r="AF950" s="3897"/>
      <c r="AG950" s="3892"/>
      <c r="AH950" s="3892"/>
      <c r="AI950" s="3897"/>
      <c r="AJ950" s="3892"/>
      <c r="AK950" s="3892"/>
      <c r="AL950" s="1874"/>
      <c r="AM950" s="1714"/>
      <c r="AN950" s="1714"/>
      <c r="AO950" s="1714"/>
      <c r="AP950" s="1714"/>
      <c r="AQ950" s="1714"/>
      <c r="AR950" s="1714"/>
      <c r="AS950" s="1714"/>
      <c r="AT950" s="1714"/>
      <c r="AU950" s="1714"/>
      <c r="AV950" s="1714"/>
      <c r="AW950" s="1714"/>
      <c r="AX950" s="1714"/>
      <c r="AY950" s="1714"/>
      <c r="AZ950" s="1714"/>
      <c r="BA950" s="1714"/>
      <c r="BB950" s="1714"/>
      <c r="BC950" s="1714"/>
      <c r="BD950" s="1714"/>
      <c r="BE950" s="1714"/>
      <c r="BF950" s="1714"/>
    </row>
    <row r="951" spans="1:59" ht="0.75" customHeight="1">
      <c r="A951" s="1088" t="s">
        <v>1403</v>
      </c>
      <c r="D951" s="1082"/>
      <c r="E951" s="1092"/>
      <c r="F951" s="3894"/>
      <c r="G951" s="3885"/>
      <c r="H951" s="3898"/>
      <c r="I951" s="3899"/>
      <c r="J951" s="3891"/>
      <c r="K951" s="3891"/>
      <c r="L951" s="3892"/>
      <c r="M951" s="3743"/>
      <c r="N951" s="3900"/>
      <c r="O951" s="3901"/>
      <c r="P951" s="3889"/>
      <c r="Q951" s="3891"/>
      <c r="R951" s="3891"/>
      <c r="S951" s="3891"/>
      <c r="T951" s="3891"/>
      <c r="U951" s="3891"/>
      <c r="V951" s="3891"/>
      <c r="W951" s="3891"/>
      <c r="X951" s="3891"/>
      <c r="Y951" s="3891"/>
      <c r="Z951" s="1927"/>
      <c r="AA951" s="1928"/>
      <c r="AB951" s="1929"/>
      <c r="AC951" s="1930"/>
      <c r="AD951" s="1929"/>
      <c r="AE951" s="1930"/>
      <c r="AF951" s="3897"/>
      <c r="AG951" s="3892"/>
      <c r="AH951" s="3892"/>
      <c r="AI951" s="3897"/>
      <c r="AJ951" s="3892"/>
      <c r="AK951" s="3892"/>
      <c r="AL951" s="1874"/>
      <c r="AM951" s="1714"/>
      <c r="AN951" s="1714"/>
      <c r="AO951" s="1714"/>
      <c r="AP951" s="1714"/>
      <c r="AQ951" s="1714"/>
      <c r="AR951" s="1714"/>
      <c r="AS951" s="1714"/>
      <c r="AT951" s="1714"/>
      <c r="AU951" s="1714"/>
      <c r="AV951" s="1714"/>
      <c r="AW951" s="1714"/>
      <c r="AX951" s="1714"/>
      <c r="AY951" s="1714"/>
      <c r="AZ951" s="1714"/>
      <c r="BA951" s="1714"/>
      <c r="BB951" s="1714"/>
      <c r="BC951" s="1714"/>
      <c r="BD951" s="1714"/>
      <c r="BE951" s="1714"/>
      <c r="BF951" s="1714"/>
    </row>
    <row r="952" spans="1:59" ht="0.75" customHeight="1">
      <c r="A952" s="1088" t="s">
        <v>1403</v>
      </c>
      <c r="D952" s="1082"/>
      <c r="E952" s="1092"/>
      <c r="F952" s="3894"/>
      <c r="G952" s="3885"/>
      <c r="H952" s="3898"/>
      <c r="I952" s="3899"/>
      <c r="J952" s="3891"/>
      <c r="K952" s="3891"/>
      <c r="L952" s="3892"/>
      <c r="M952" s="3743"/>
      <c r="N952" s="3900"/>
      <c r="O952" s="3901"/>
      <c r="P952" s="3890"/>
      <c r="Q952" s="3891"/>
      <c r="R952" s="3891"/>
      <c r="S952" s="3891"/>
      <c r="T952" s="3891"/>
      <c r="U952" s="3891"/>
      <c r="V952" s="3891"/>
      <c r="W952" s="3891"/>
      <c r="X952" s="3891"/>
      <c r="Y952" s="3891"/>
      <c r="Z952" s="1923"/>
      <c r="AA952" s="1924"/>
      <c r="AB952" s="1931"/>
      <c r="AC952" s="1925"/>
      <c r="AD952" s="1925"/>
      <c r="AE952" s="1932"/>
      <c r="AF952" s="3897"/>
      <c r="AG952" s="3892"/>
      <c r="AH952" s="3892"/>
      <c r="AI952" s="3897"/>
      <c r="AJ952" s="3892"/>
      <c r="AK952" s="3892"/>
      <c r="AL952" s="1874"/>
      <c r="AM952" s="1714"/>
      <c r="AN952" s="1714"/>
      <c r="AO952" s="1714"/>
      <c r="AP952" s="1714"/>
      <c r="AQ952" s="1714"/>
      <c r="AR952" s="1714"/>
      <c r="AS952" s="1714"/>
      <c r="AT952" s="1714"/>
      <c r="AU952" s="1714"/>
      <c r="AV952" s="1714"/>
      <c r="AW952" s="1714"/>
      <c r="AX952" s="1714"/>
      <c r="AY952" s="1714"/>
      <c r="AZ952" s="1714"/>
      <c r="BA952" s="1714"/>
      <c r="BB952" s="1714"/>
      <c r="BC952" s="1714"/>
      <c r="BD952" s="1714"/>
      <c r="BE952" s="1714"/>
      <c r="BF952" s="1714"/>
    </row>
    <row r="953" spans="1:59" ht="0.75" customHeight="1">
      <c r="A953" s="1088" t="s">
        <v>1403</v>
      </c>
      <c r="D953" s="1082"/>
      <c r="E953" s="1092"/>
      <c r="F953" s="3894"/>
      <c r="G953" s="3885"/>
      <c r="H953" s="3898"/>
      <c r="I953" s="3899"/>
      <c r="J953" s="3891"/>
      <c r="K953" s="3891"/>
      <c r="L953" s="3892"/>
      <c r="M953" s="3743"/>
      <c r="N953" s="1924"/>
      <c r="O953" s="1924"/>
      <c r="P953" s="1931"/>
      <c r="Q953" s="1924"/>
      <c r="R953" s="1924"/>
      <c r="S953" s="1924"/>
      <c r="T953" s="1924"/>
      <c r="U953" s="1924"/>
      <c r="V953" s="1924"/>
      <c r="W953" s="1924"/>
      <c r="X953" s="1924"/>
      <c r="Y953" s="1924"/>
      <c r="Z953" s="1924"/>
      <c r="AA953" s="1924"/>
      <c r="AB953" s="1924"/>
      <c r="AC953" s="1924"/>
      <c r="AD953" s="1924"/>
      <c r="AE953" s="1933"/>
      <c r="AF953" s="3897"/>
      <c r="AG953" s="3892"/>
      <c r="AH953" s="3892"/>
      <c r="AI953" s="3897"/>
      <c r="AJ953" s="3892"/>
      <c r="AK953" s="3892"/>
      <c r="AL953" s="1874"/>
      <c r="AM953" s="1714"/>
      <c r="AN953" s="1714"/>
      <c r="AO953" s="1714"/>
      <c r="AP953" s="1714"/>
      <c r="AQ953" s="1714"/>
      <c r="AR953" s="1714"/>
      <c r="AS953" s="1714"/>
      <c r="AT953" s="1714"/>
      <c r="AU953" s="1714"/>
      <c r="AV953" s="1714"/>
      <c r="AW953" s="1714"/>
      <c r="AX953" s="1714"/>
      <c r="AY953" s="1714"/>
      <c r="AZ953" s="1714"/>
      <c r="BA953" s="1714"/>
      <c r="BB953" s="1714"/>
      <c r="BC953" s="1714"/>
      <c r="BD953" s="1714"/>
      <c r="BE953" s="1714"/>
      <c r="BF953" s="1714"/>
    </row>
    <row r="954" spans="1:59" ht="11.25" customHeight="1">
      <c r="A954" s="1088" t="s">
        <v>1403</v>
      </c>
      <c r="D954" s="1082"/>
      <c r="E954" s="1092"/>
      <c r="F954" s="3895"/>
      <c r="G954" s="3853" t="s">
        <v>90</v>
      </c>
      <c r="H954" s="3885" t="s">
        <v>164</v>
      </c>
      <c r="I954" s="3886"/>
      <c r="J954" s="3883"/>
      <c r="K954" s="3887" t="s">
        <v>1526</v>
      </c>
      <c r="L954" s="3599" t="s">
        <v>6</v>
      </c>
      <c r="M954" s="3600"/>
      <c r="N954" s="1872"/>
      <c r="O954" s="1099" t="s">
        <v>421</v>
      </c>
      <c r="P954" s="1100"/>
      <c r="Q954" s="1100"/>
      <c r="R954" s="1100"/>
      <c r="S954" s="1100"/>
      <c r="T954" s="1100"/>
      <c r="U954" s="1100"/>
      <c r="V954" s="1100"/>
      <c r="W954" s="1100"/>
      <c r="X954" s="1100"/>
      <c r="Y954" s="1100"/>
      <c r="Z954" s="1100"/>
      <c r="AA954" s="1100"/>
      <c r="AB954" s="1100"/>
      <c r="AC954" s="1100"/>
      <c r="AD954" s="1100"/>
      <c r="AE954" s="1100"/>
      <c r="AF954" s="3876">
        <v>2025</v>
      </c>
      <c r="AG954" s="3877" t="s">
        <v>1447</v>
      </c>
      <c r="AH954" s="3877" t="s">
        <v>1487</v>
      </c>
      <c r="AI954" s="3876">
        <v>2025</v>
      </c>
      <c r="AJ954" s="3877" t="s">
        <v>1447</v>
      </c>
      <c r="AK954" s="3877" t="s">
        <v>1487</v>
      </c>
      <c r="AL954" s="1874"/>
      <c r="AM954" s="1714"/>
      <c r="AN954" s="1714"/>
      <c r="AO954" s="1714"/>
      <c r="AP954" s="1714"/>
      <c r="AQ954" s="1714"/>
      <c r="AR954" s="1714"/>
      <c r="AS954" s="1714"/>
      <c r="AT954" s="1714"/>
      <c r="AU954" s="1714"/>
      <c r="AV954" s="1714"/>
      <c r="AW954" s="1714"/>
      <c r="AX954" s="1714"/>
      <c r="AY954" s="1714"/>
      <c r="AZ954" s="1714"/>
      <c r="BA954" s="1714"/>
      <c r="BB954" s="1714"/>
      <c r="BC954" s="1714"/>
      <c r="BD954" s="1714"/>
      <c r="BE954" s="1714"/>
      <c r="BF954" s="1714"/>
    </row>
    <row r="955" spans="1:59" ht="11.25" customHeight="1">
      <c r="A955" s="1088" t="s">
        <v>1403</v>
      </c>
      <c r="D955" s="1082"/>
      <c r="E955" s="1092"/>
      <c r="F955" s="3895"/>
      <c r="G955" s="3875"/>
      <c r="H955" s="3885" t="s">
        <v>421</v>
      </c>
      <c r="I955" s="3886"/>
      <c r="J955" s="3883"/>
      <c r="K955" s="3887"/>
      <c r="L955" s="3599"/>
      <c r="M955" s="3600"/>
      <c r="N955" s="3878"/>
      <c r="O955" s="3879">
        <v>1</v>
      </c>
      <c r="P955" s="3880" t="s">
        <v>50</v>
      </c>
      <c r="Q955" s="3883" t="s">
        <v>1449</v>
      </c>
      <c r="R955" s="3884" t="s">
        <v>1438</v>
      </c>
      <c r="S955" s="3884" t="s">
        <v>1527</v>
      </c>
      <c r="T955" s="3884" t="s">
        <v>1528</v>
      </c>
      <c r="U955" s="3884" t="s">
        <v>1529</v>
      </c>
      <c r="V955" s="3884" t="s">
        <v>1530</v>
      </c>
      <c r="W955" s="3884" t="s">
        <v>1531</v>
      </c>
      <c r="X955" s="3884" t="s">
        <v>1532</v>
      </c>
      <c r="Y955" s="3884" t="s">
        <v>1442</v>
      </c>
      <c r="Z955" s="1097"/>
      <c r="AA955" s="1098"/>
      <c r="AB955" s="1098"/>
      <c r="AC955" s="1102"/>
      <c r="AD955" s="1102"/>
      <c r="AE955" s="1103"/>
      <c r="AF955" s="3876"/>
      <c r="AG955" s="3877"/>
      <c r="AH955" s="3877"/>
      <c r="AI955" s="3876"/>
      <c r="AJ955" s="3877"/>
      <c r="AK955" s="3877"/>
      <c r="AL955" s="1874"/>
      <c r="AM955" s="1714"/>
      <c r="AN955" s="1714"/>
      <c r="AO955" s="1714"/>
      <c r="AP955" s="1714"/>
      <c r="AQ955" s="1714"/>
      <c r="AR955" s="1714"/>
      <c r="AS955" s="1714"/>
      <c r="AT955" s="1714"/>
      <c r="AU955" s="1714"/>
      <c r="AV955" s="1714"/>
      <c r="AW955" s="1714"/>
      <c r="AX955" s="1714"/>
      <c r="AY955" s="1714"/>
      <c r="AZ955" s="1714"/>
      <c r="BA955" s="1714"/>
      <c r="BB955" s="1714"/>
      <c r="BC955" s="1714"/>
      <c r="BD955" s="1714"/>
      <c r="BE955" s="1714"/>
      <c r="BF955" s="1714"/>
    </row>
    <row r="956" spans="1:59" ht="11.25" customHeight="1">
      <c r="A956" s="1088" t="s">
        <v>1403</v>
      </c>
      <c r="D956" s="1082"/>
      <c r="E956" s="1092"/>
      <c r="F956" s="3895"/>
      <c r="G956" s="3875"/>
      <c r="H956" s="3885" t="s">
        <v>421</v>
      </c>
      <c r="I956" s="3886"/>
      <c r="J956" s="3883"/>
      <c r="K956" s="3887"/>
      <c r="L956" s="3599"/>
      <c r="M956" s="3600"/>
      <c r="N956" s="3878"/>
      <c r="O956" s="3879"/>
      <c r="P956" s="3881"/>
      <c r="Q956" s="3883"/>
      <c r="R956" s="3874"/>
      <c r="S956" s="3884"/>
      <c r="T956" s="3874"/>
      <c r="U956" s="3874"/>
      <c r="V956" s="3874"/>
      <c r="W956" s="3874"/>
      <c r="X956" s="3874"/>
      <c r="Y956" s="3874"/>
      <c r="Z956" s="1719"/>
      <c r="AA956" s="1686">
        <v>1</v>
      </c>
      <c r="AB956" s="1101" t="s">
        <v>1443</v>
      </c>
      <c r="AC956" s="1091">
        <v>2666.66</v>
      </c>
      <c r="AD956" s="1101" t="str">
        <f>AB956</f>
        <v xml:space="preserve">  Прибыль направляемая на инвестиции</v>
      </c>
      <c r="AE956" s="1091">
        <v>0</v>
      </c>
      <c r="AF956" s="3876"/>
      <c r="AG956" s="3877"/>
      <c r="AH956" s="3877"/>
      <c r="AI956" s="3876"/>
      <c r="AJ956" s="3877"/>
      <c r="AK956" s="3877"/>
      <c r="AL956" s="1874"/>
      <c r="AM956" s="1714"/>
      <c r="AN956" s="1714"/>
      <c r="AO956" s="1714"/>
      <c r="AP956" s="1714"/>
      <c r="AQ956" s="1714"/>
      <c r="AR956" s="1714"/>
      <c r="AS956" s="1714"/>
      <c r="AT956" s="1714"/>
      <c r="AU956" s="1714"/>
      <c r="AV956" s="1714"/>
      <c r="AW956" s="1714"/>
      <c r="AX956" s="1714"/>
      <c r="AY956" s="1714"/>
      <c r="AZ956" s="1714"/>
      <c r="BA956" s="1714"/>
      <c r="BB956" s="1714"/>
      <c r="BC956" s="1714"/>
      <c r="BD956" s="1714"/>
      <c r="BE956" s="1714"/>
      <c r="BF956" s="1714"/>
    </row>
    <row r="957" spans="1:59" ht="11.25" customHeight="1">
      <c r="A957" s="1088" t="s">
        <v>1403</v>
      </c>
      <c r="D957" s="1082"/>
      <c r="E957" s="1092"/>
      <c r="F957" s="3895"/>
      <c r="G957" s="3875"/>
      <c r="H957" s="3885" t="s">
        <v>421</v>
      </c>
      <c r="I957" s="3886"/>
      <c r="J957" s="3883"/>
      <c r="K957" s="3887"/>
      <c r="L957" s="3599"/>
      <c r="M957" s="3600"/>
      <c r="N957" s="3878"/>
      <c r="O957" s="3879"/>
      <c r="P957" s="3882"/>
      <c r="Q957" s="3883"/>
      <c r="R957" s="3874"/>
      <c r="S957" s="3884"/>
      <c r="T957" s="3874"/>
      <c r="U957" s="3874"/>
      <c r="V957" s="3874"/>
      <c r="W957" s="3874"/>
      <c r="X957" s="3874"/>
      <c r="Y957" s="3874"/>
      <c r="Z957" s="1097"/>
      <c r="AA957" s="1098"/>
      <c r="AB957" s="1163" t="s">
        <v>1444</v>
      </c>
      <c r="AC957" s="1102"/>
      <c r="AD957" s="1102"/>
      <c r="AE957" s="1104"/>
      <c r="AF957" s="3876"/>
      <c r="AG957" s="3877"/>
      <c r="AH957" s="3877"/>
      <c r="AI957" s="3876"/>
      <c r="AJ957" s="3877"/>
      <c r="AK957" s="3877"/>
      <c r="AL957" s="1874"/>
      <c r="AM957" s="1714"/>
      <c r="AN957" s="1714"/>
      <c r="AO957" s="1714"/>
      <c r="AP957" s="1714"/>
      <c r="AQ957" s="1714"/>
      <c r="AR957" s="1714"/>
      <c r="AS957" s="1714"/>
      <c r="AT957" s="1714"/>
      <c r="AU957" s="1714"/>
      <c r="AV957" s="1714"/>
      <c r="AW957" s="1714"/>
      <c r="AX957" s="1714"/>
      <c r="AY957" s="1714"/>
      <c r="AZ957" s="1714"/>
      <c r="BA957" s="1714"/>
      <c r="BB957" s="1714"/>
      <c r="BC957" s="1714"/>
      <c r="BD957" s="1714"/>
      <c r="BE957" s="1714"/>
      <c r="BF957" s="1714"/>
    </row>
    <row r="958" spans="1:59" ht="11.25" customHeight="1">
      <c r="A958" s="1088" t="s">
        <v>1403</v>
      </c>
      <c r="D958" s="1082"/>
      <c r="E958" s="1092"/>
      <c r="F958" s="3895"/>
      <c r="G958" s="3875"/>
      <c r="H958" s="3885" t="s">
        <v>421</v>
      </c>
      <c r="I958" s="3886"/>
      <c r="J958" s="3883"/>
      <c r="K958" s="3887"/>
      <c r="L958" s="3599"/>
      <c r="M958" s="3600"/>
      <c r="N958" s="1097"/>
      <c r="O958" s="1098"/>
      <c r="P958" s="1090" t="s">
        <v>1445</v>
      </c>
      <c r="Q958" s="1098"/>
      <c r="R958" s="1098"/>
      <c r="S958" s="1098"/>
      <c r="T958" s="1098"/>
      <c r="U958" s="1098"/>
      <c r="V958" s="1098"/>
      <c r="W958" s="1098"/>
      <c r="X958" s="1098"/>
      <c r="Y958" s="1098"/>
      <c r="Z958" s="1098"/>
      <c r="AA958" s="1098"/>
      <c r="AB958" s="1098"/>
      <c r="AC958" s="1098"/>
      <c r="AD958" s="1098"/>
      <c r="AE958" s="1105"/>
      <c r="AF958" s="3876"/>
      <c r="AG958" s="3877"/>
      <c r="AH958" s="3877"/>
      <c r="AI958" s="3876"/>
      <c r="AJ958" s="3877"/>
      <c r="AK958" s="3877"/>
      <c r="AL958" s="1874"/>
      <c r="AM958" s="1714"/>
      <c r="AN958" s="1714"/>
      <c r="AO958" s="1714"/>
      <c r="AP958" s="1714"/>
      <c r="AQ958" s="1714"/>
      <c r="AR958" s="1714"/>
      <c r="AS958" s="1714"/>
      <c r="AT958" s="1714"/>
      <c r="AU958" s="1714"/>
      <c r="AV958" s="1714"/>
      <c r="AW958" s="1714"/>
      <c r="AX958" s="1714"/>
      <c r="AY958" s="1714"/>
      <c r="AZ958" s="1714"/>
      <c r="BA958" s="1714"/>
      <c r="BB958" s="1714"/>
      <c r="BC958" s="1714"/>
      <c r="BD958" s="1714"/>
      <c r="BE958" s="1714"/>
      <c r="BF958" s="1714"/>
    </row>
    <row r="959" spans="1:59" ht="12" customHeight="1">
      <c r="A959" s="1088" t="s">
        <v>1403</v>
      </c>
      <c r="D959" s="1082"/>
      <c r="E959" s="1092"/>
      <c r="F959" s="3896"/>
      <c r="G959" s="1112"/>
      <c r="H959" s="1112"/>
      <c r="I959" s="3893" t="s">
        <v>1451</v>
      </c>
      <c r="J959" s="3893"/>
      <c r="K959" s="3893"/>
      <c r="L959" s="1095"/>
      <c r="M959" s="1095"/>
      <c r="N959" s="1096"/>
      <c r="O959" s="1096"/>
      <c r="P959" s="1096"/>
      <c r="Q959" s="1096"/>
      <c r="R959" s="1096"/>
      <c r="S959" s="1096"/>
      <c r="T959" s="1096"/>
      <c r="U959" s="1096"/>
      <c r="V959" s="1096"/>
      <c r="W959" s="1096"/>
      <c r="X959" s="1096"/>
      <c r="Y959" s="1096"/>
      <c r="Z959" s="1096"/>
      <c r="AA959" s="1096"/>
      <c r="AB959" s="1096"/>
      <c r="AC959" s="1096"/>
      <c r="AD959" s="1096"/>
      <c r="AE959" s="1096"/>
      <c r="AF959" s="1096"/>
      <c r="AG959" s="1095"/>
      <c r="AH959" s="1095"/>
      <c r="AI959" s="1096"/>
      <c r="AJ959" s="1095"/>
      <c r="AK959" s="1096"/>
      <c r="AL959" s="1874"/>
      <c r="AM959" s="1714"/>
      <c r="AN959" s="1714"/>
      <c r="AO959" s="1714"/>
      <c r="AP959" s="1714"/>
      <c r="AQ959" s="1714"/>
      <c r="AR959" s="1714"/>
      <c r="AS959" s="1714"/>
      <c r="AT959" s="1714"/>
      <c r="AU959" s="1714"/>
      <c r="AV959" s="1714"/>
      <c r="AW959" s="1714"/>
      <c r="AX959" s="1714"/>
      <c r="AY959" s="1714"/>
      <c r="AZ959" s="1714"/>
      <c r="BA959" s="1714"/>
      <c r="BB959" s="1714"/>
      <c r="BC959" s="1714"/>
      <c r="BD959" s="1714"/>
      <c r="BE959" s="1714"/>
      <c r="BF959" s="1714"/>
    </row>
    <row r="960" spans="1:59" ht="10.5" customHeight="1">
      <c r="E960" s="834"/>
      <c r="F960" s="845"/>
      <c r="G960" s="845"/>
      <c r="H960" s="1094"/>
      <c r="I960" s="845"/>
      <c r="J960" s="845"/>
      <c r="K960" s="845"/>
      <c r="L960" s="1054"/>
      <c r="M960" s="1054"/>
      <c r="N960" s="845"/>
      <c r="O960" s="845"/>
      <c r="P960" s="845"/>
      <c r="Q960" s="845"/>
      <c r="R960" s="845"/>
      <c r="S960" s="845"/>
      <c r="T960" s="845"/>
      <c r="U960" s="845"/>
      <c r="V960" s="845"/>
      <c r="W960" s="845"/>
      <c r="X960" s="845"/>
      <c r="Y960" s="845"/>
      <c r="Z960" s="845"/>
      <c r="AA960" s="845"/>
      <c r="AB960" s="845"/>
      <c r="AC960" s="845"/>
      <c r="AD960" s="1054"/>
      <c r="AE960" s="845"/>
      <c r="AF960" s="845"/>
      <c r="AG960" s="845"/>
      <c r="AH960" s="1072"/>
      <c r="AI960" s="1065"/>
      <c r="AJ960" s="845"/>
      <c r="AK960" s="845"/>
      <c r="AL960" s="834"/>
      <c r="AM960" s="834"/>
      <c r="AN960" s="834"/>
      <c r="AO960" s="834"/>
      <c r="AP960" s="834"/>
      <c r="AQ960" s="834"/>
      <c r="AR960" s="834"/>
      <c r="AS960" s="834"/>
      <c r="AT960" s="834"/>
      <c r="AU960" s="834"/>
      <c r="AV960" s="834"/>
      <c r="AW960" s="834"/>
      <c r="AX960" s="834"/>
      <c r="AY960" s="834"/>
      <c r="AZ960" s="834"/>
      <c r="BA960" s="834"/>
      <c r="BB960" s="834"/>
      <c r="BC960" s="834"/>
      <c r="BD960" s="834"/>
      <c r="BE960" s="834"/>
      <c r="BF960" s="834"/>
      <c r="BG960" s="690">
        <v>10</v>
      </c>
    </row>
    <row r="961" spans="1:59" ht="13.5" customHeight="1">
      <c r="E961" s="834"/>
      <c r="F961" s="841" t="s">
        <v>1533</v>
      </c>
      <c r="G961" s="841"/>
      <c r="H961" s="1093"/>
      <c r="I961" s="841"/>
      <c r="J961" s="841"/>
      <c r="K961" s="838"/>
      <c r="L961" s="1050"/>
      <c r="M961" s="1050"/>
      <c r="N961" s="840"/>
      <c r="O961" s="840"/>
      <c r="P961" s="840"/>
      <c r="Q961" s="840"/>
      <c r="R961" s="840"/>
      <c r="S961" s="840"/>
      <c r="T961" s="840"/>
      <c r="U961" s="840"/>
      <c r="V961" s="840"/>
      <c r="W961" s="840"/>
      <c r="X961" s="840"/>
      <c r="Y961" s="840"/>
      <c r="Z961" s="838"/>
      <c r="AA961" s="838"/>
      <c r="AB961" s="838"/>
      <c r="AC961" s="838"/>
      <c r="AD961" s="1050"/>
      <c r="AE961" s="838"/>
      <c r="AF961" s="838"/>
      <c r="AG961" s="838"/>
      <c r="AH961" s="1069"/>
      <c r="AI961" s="1062"/>
      <c r="AJ961" s="838"/>
      <c r="AK961" s="838"/>
      <c r="AL961" s="834"/>
      <c r="AM961" s="834"/>
      <c r="AN961" s="834"/>
      <c r="AO961" s="834"/>
      <c r="AP961" s="834"/>
      <c r="AQ961" s="834"/>
      <c r="AR961" s="834"/>
      <c r="AS961" s="834"/>
      <c r="AT961" s="834"/>
      <c r="AU961" s="834"/>
      <c r="AV961" s="834"/>
      <c r="AW961" s="834"/>
      <c r="AX961" s="834"/>
      <c r="AY961" s="834"/>
      <c r="AZ961" s="834"/>
      <c r="BA961" s="834"/>
      <c r="BB961" s="834"/>
      <c r="BC961" s="834"/>
      <c r="BD961" s="834"/>
      <c r="BE961" s="834"/>
      <c r="BF961" s="834"/>
      <c r="BG961" s="690">
        <v>13</v>
      </c>
    </row>
    <row r="962" spans="1:59" ht="10.5" customHeight="1">
      <c r="BG962" s="690">
        <v>10</v>
      </c>
    </row>
    <row r="963" spans="1:59" ht="10.5" customHeight="1">
      <c r="E963" s="834"/>
      <c r="F963" s="3905"/>
      <c r="G963" s="3905"/>
      <c r="H963" s="3905"/>
      <c r="I963" s="3905"/>
      <c r="J963" s="3905"/>
      <c r="K963" s="838"/>
      <c r="L963" s="1050"/>
      <c r="M963" s="1050"/>
      <c r="N963" s="840"/>
      <c r="O963" s="840"/>
      <c r="P963" s="840"/>
      <c r="Q963" s="840"/>
      <c r="R963" s="840"/>
      <c r="S963" s="840"/>
      <c r="T963" s="840"/>
      <c r="U963" s="840"/>
      <c r="V963" s="840"/>
      <c r="W963" s="840"/>
      <c r="X963" s="840"/>
      <c r="Y963" s="840"/>
      <c r="Z963" s="838"/>
      <c r="AA963" s="838"/>
      <c r="AB963" s="838"/>
      <c r="AC963" s="838"/>
      <c r="AD963" s="1050"/>
      <c r="AE963" s="838"/>
      <c r="AF963" s="838"/>
      <c r="AG963" s="838"/>
      <c r="AH963" s="1069"/>
      <c r="AI963" s="1062"/>
      <c r="AJ963" s="838"/>
      <c r="AK963" s="838"/>
      <c r="AL963" s="834"/>
      <c r="AM963" s="834"/>
      <c r="AN963" s="834"/>
      <c r="AO963" s="834"/>
      <c r="AP963" s="834"/>
      <c r="AQ963" s="834"/>
      <c r="AR963" s="834"/>
      <c r="AS963" s="834"/>
      <c r="AT963" s="834"/>
      <c r="AU963" s="834"/>
      <c r="AV963" s="834"/>
      <c r="AW963" s="834"/>
      <c r="AX963" s="834"/>
      <c r="AY963" s="834"/>
      <c r="AZ963" s="834"/>
      <c r="BA963" s="834"/>
      <c r="BB963" s="834"/>
      <c r="BC963" s="834"/>
      <c r="BD963" s="834"/>
      <c r="BE963" s="834"/>
      <c r="BF963" s="834"/>
      <c r="BG963" s="690">
        <v>10</v>
      </c>
    </row>
    <row r="964" spans="1:59" ht="10.5" customHeight="1">
      <c r="E964" s="834"/>
      <c r="F964" s="3905"/>
      <c r="G964" s="3905"/>
      <c r="H964" s="3905"/>
      <c r="I964" s="3905"/>
      <c r="J964" s="3905"/>
      <c r="K964" s="838"/>
      <c r="L964" s="1050"/>
      <c r="M964" s="1050"/>
      <c r="N964" s="840"/>
      <c r="O964" s="840"/>
      <c r="P964" s="840"/>
      <c r="Q964" s="840"/>
      <c r="R964" s="840"/>
      <c r="S964" s="840"/>
      <c r="T964" s="840"/>
      <c r="U964" s="840"/>
      <c r="V964" s="840"/>
      <c r="W964" s="840"/>
      <c r="X964" s="840"/>
      <c r="Y964" s="840"/>
      <c r="Z964" s="838"/>
      <c r="AA964" s="838"/>
      <c r="AB964" s="838"/>
      <c r="AC964" s="838"/>
      <c r="AD964" s="1050"/>
      <c r="AE964" s="838"/>
      <c r="AF964" s="838"/>
      <c r="AG964" s="838"/>
      <c r="AH964" s="1069"/>
      <c r="AI964" s="1062"/>
      <c r="AJ964" s="838"/>
      <c r="AK964" s="838"/>
      <c r="AL964" s="834"/>
      <c r="AM964" s="834"/>
      <c r="AN964" s="834"/>
      <c r="AO964" s="834"/>
      <c r="AP964" s="834"/>
      <c r="AQ964" s="834"/>
      <c r="AR964" s="834"/>
      <c r="AS964" s="834"/>
      <c r="AT964" s="834"/>
      <c r="AU964" s="834"/>
      <c r="AV964" s="834"/>
      <c r="AW964" s="834"/>
      <c r="AX964" s="834"/>
      <c r="AY964" s="834"/>
      <c r="AZ964" s="834"/>
      <c r="BA964" s="834"/>
      <c r="BB964" s="834"/>
      <c r="BC964" s="834"/>
      <c r="BD964" s="834"/>
      <c r="BE964" s="834"/>
      <c r="BF964" s="834"/>
      <c r="BG964" s="690">
        <v>10</v>
      </c>
    </row>
    <row r="965" spans="1:59" ht="10.5" customHeight="1">
      <c r="E965" s="834"/>
      <c r="F965" s="3905"/>
      <c r="G965" s="3905"/>
      <c r="H965" s="3905"/>
      <c r="I965" s="3905"/>
      <c r="J965" s="3905"/>
      <c r="K965" s="838"/>
      <c r="L965" s="1050"/>
      <c r="M965" s="1050"/>
      <c r="N965" s="840"/>
      <c r="O965" s="840"/>
      <c r="P965" s="840"/>
      <c r="Q965" s="840"/>
      <c r="R965" s="840"/>
      <c r="S965" s="840"/>
      <c r="T965" s="840"/>
      <c r="U965" s="840"/>
      <c r="V965" s="840"/>
      <c r="W965" s="840"/>
      <c r="X965" s="840"/>
      <c r="Y965" s="840"/>
      <c r="Z965" s="838"/>
      <c r="AA965" s="838"/>
      <c r="AB965" s="838"/>
      <c r="AC965" s="838"/>
      <c r="AD965" s="1050"/>
      <c r="AE965" s="838"/>
      <c r="AF965" s="838"/>
      <c r="AG965" s="838"/>
      <c r="AH965" s="1069"/>
      <c r="AI965" s="1062"/>
      <c r="AJ965" s="838"/>
      <c r="AK965" s="838"/>
      <c r="AL965" s="834"/>
      <c r="AM965" s="834"/>
      <c r="AN965" s="834"/>
      <c r="AO965" s="834"/>
      <c r="AP965" s="834"/>
      <c r="AQ965" s="834"/>
      <c r="AR965" s="834"/>
      <c r="AS965" s="834"/>
      <c r="AT965" s="834"/>
      <c r="AU965" s="834"/>
      <c r="AV965" s="834"/>
      <c r="AW965" s="834"/>
      <c r="AX965" s="834"/>
      <c r="AY965" s="834"/>
      <c r="AZ965" s="834"/>
      <c r="BA965" s="834"/>
      <c r="BB965" s="834"/>
      <c r="BC965" s="834"/>
      <c r="BD965" s="834"/>
      <c r="BE965" s="834"/>
      <c r="BF965" s="834"/>
      <c r="BG965" s="690">
        <v>10</v>
      </c>
    </row>
    <row r="966" spans="1:59" ht="10.5" hidden="1" customHeight="1">
      <c r="A966" s="822" t="s">
        <v>70</v>
      </c>
      <c r="B966" s="822">
        <v>0</v>
      </c>
      <c r="C966" s="822">
        <v>0</v>
      </c>
      <c r="D966" s="351">
        <v>0</v>
      </c>
      <c r="E966" s="443">
        <v>3</v>
      </c>
      <c r="F966" s="690">
        <v>14</v>
      </c>
      <c r="G966" s="690">
        <v>3</v>
      </c>
      <c r="H966" s="1077">
        <v>7</v>
      </c>
      <c r="I966" s="690">
        <v>16</v>
      </c>
      <c r="J966" s="690">
        <v>16</v>
      </c>
      <c r="K966" s="690">
        <v>25</v>
      </c>
      <c r="L966" s="1048">
        <v>7</v>
      </c>
      <c r="M966" s="1048">
        <v>15</v>
      </c>
      <c r="N966" s="690">
        <v>3</v>
      </c>
      <c r="O966" s="690">
        <v>4</v>
      </c>
      <c r="P966" s="690">
        <v>8</v>
      </c>
      <c r="Q966" s="690">
        <v>21</v>
      </c>
      <c r="R966" s="690">
        <v>14</v>
      </c>
      <c r="S966" s="690">
        <v>17</v>
      </c>
      <c r="T966" s="690">
        <v>17</v>
      </c>
      <c r="U966" s="690">
        <v>9</v>
      </c>
      <c r="V966" s="690">
        <v>12</v>
      </c>
      <c r="W966" s="690">
        <v>9</v>
      </c>
      <c r="X966" s="690">
        <v>21</v>
      </c>
      <c r="Y966" s="690">
        <v>12</v>
      </c>
      <c r="Z966" s="690">
        <v>3</v>
      </c>
      <c r="AA966" s="690">
        <v>6</v>
      </c>
      <c r="AB966" s="690">
        <v>38</v>
      </c>
      <c r="AC966" s="690">
        <v>15</v>
      </c>
      <c r="AD966" s="1048">
        <v>0</v>
      </c>
      <c r="AE966" s="690">
        <v>0</v>
      </c>
      <c r="AF966" s="690">
        <v>16</v>
      </c>
      <c r="AG966" s="690">
        <v>16</v>
      </c>
      <c r="AH966" s="1067">
        <v>16</v>
      </c>
      <c r="AI966" s="1060">
        <v>0</v>
      </c>
      <c r="AJ966" s="690">
        <v>0</v>
      </c>
      <c r="AK966" s="690">
        <v>0</v>
      </c>
      <c r="AL966" s="690">
        <v>8</v>
      </c>
      <c r="AM966" s="690">
        <v>8</v>
      </c>
      <c r="AN966" s="690">
        <v>8</v>
      </c>
      <c r="AO966" s="690">
        <v>8</v>
      </c>
      <c r="AP966" s="690">
        <v>8</v>
      </c>
      <c r="AQ966" s="690">
        <v>8</v>
      </c>
      <c r="AR966" s="690">
        <v>8</v>
      </c>
      <c r="AS966" s="690">
        <v>8</v>
      </c>
      <c r="AT966" s="690">
        <v>8</v>
      </c>
      <c r="AU966" s="690">
        <v>8</v>
      </c>
      <c r="AV966" s="690">
        <v>8</v>
      </c>
      <c r="AW966" s="690">
        <v>8</v>
      </c>
      <c r="AX966" s="690">
        <v>8</v>
      </c>
      <c r="AY966" s="690">
        <v>8</v>
      </c>
      <c r="AZ966" s="690">
        <v>8</v>
      </c>
      <c r="BA966" s="690">
        <v>8</v>
      </c>
      <c r="BB966" s="690">
        <v>8</v>
      </c>
      <c r="BC966" s="690">
        <v>8</v>
      </c>
      <c r="BD966" s="690">
        <v>8</v>
      </c>
      <c r="BE966" s="690">
        <v>8</v>
      </c>
      <c r="BF966" s="690">
        <v>8</v>
      </c>
      <c r="BG966" s="690">
        <v>10</v>
      </c>
    </row>
  </sheetData>
  <sheetProtection formatColumns="0" formatRows="0" insertRows="0" deleteColumns="0" deleteRows="0" sort="0" autoFilter="0"/>
  <mergeCells count="4387">
    <mergeCell ref="AB9:AE10"/>
    <mergeCell ref="S11:Y11"/>
    <mergeCell ref="N10:Y10"/>
    <mergeCell ref="K9:Y9"/>
    <mergeCell ref="N11:O12"/>
    <mergeCell ref="P11:P12"/>
    <mergeCell ref="Q11:Q12"/>
    <mergeCell ref="F965:J965"/>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964:J964"/>
    <mergeCell ref="F963:J963"/>
    <mergeCell ref="P32:P34"/>
    <mergeCell ref="Q32:Q34"/>
    <mergeCell ref="R32:R34"/>
    <mergeCell ref="G31:G35"/>
    <mergeCell ref="AJ31:AJ35"/>
    <mergeCell ref="F5:K5"/>
    <mergeCell ref="P16:P18"/>
    <mergeCell ref="Q16:Q18"/>
    <mergeCell ref="R16:R18"/>
    <mergeCell ref="G15:G19"/>
    <mergeCell ref="AJ15:AJ19"/>
    <mergeCell ref="AK15:AK19"/>
    <mergeCell ref="I30:K30"/>
    <mergeCell ref="F15:F3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K31:AK35"/>
    <mergeCell ref="I46:K46"/>
    <mergeCell ref="F31:F46"/>
    <mergeCell ref="AF31:AF35"/>
    <mergeCell ref="AG31:AG35"/>
    <mergeCell ref="AH31:AH35"/>
    <mergeCell ref="AI31:AI35"/>
    <mergeCell ref="S32:S34"/>
    <mergeCell ref="T32:T34"/>
    <mergeCell ref="U32:U34"/>
    <mergeCell ref="V32:V34"/>
    <mergeCell ref="W32:W34"/>
    <mergeCell ref="X32:X34"/>
    <mergeCell ref="Y32:Y34"/>
    <mergeCell ref="H31:H35"/>
    <mergeCell ref="I31:I35"/>
    <mergeCell ref="J31:J35"/>
    <mergeCell ref="K31:K35"/>
    <mergeCell ref="L31:L35"/>
    <mergeCell ref="M31:M35"/>
    <mergeCell ref="N32:N34"/>
    <mergeCell ref="O32:O34"/>
    <mergeCell ref="H41:H45"/>
    <mergeCell ref="I41:I45"/>
    <mergeCell ref="J41:J45"/>
    <mergeCell ref="K41:K45"/>
    <mergeCell ref="L41:L45"/>
    <mergeCell ref="M41:M45"/>
    <mergeCell ref="AF41:AF45"/>
    <mergeCell ref="AG41:AG45"/>
    <mergeCell ref="AH41:AH45"/>
    <mergeCell ref="AI41:AI45"/>
    <mergeCell ref="P48:P50"/>
    <mergeCell ref="Q48:Q50"/>
    <mergeCell ref="R48:R50"/>
    <mergeCell ref="G47:G51"/>
    <mergeCell ref="AJ47:AJ51"/>
    <mergeCell ref="AK47:AK51"/>
    <mergeCell ref="I63:K63"/>
    <mergeCell ref="F47:F63"/>
    <mergeCell ref="AF47:AF51"/>
    <mergeCell ref="AG47:AG51"/>
    <mergeCell ref="AH47:AH51"/>
    <mergeCell ref="AI47:AI51"/>
    <mergeCell ref="S48:S50"/>
    <mergeCell ref="T48:T50"/>
    <mergeCell ref="U48:U50"/>
    <mergeCell ref="V48:V50"/>
    <mergeCell ref="W48:W50"/>
    <mergeCell ref="X48:X50"/>
    <mergeCell ref="Y48:Y50"/>
    <mergeCell ref="H47:H51"/>
    <mergeCell ref="I47:I51"/>
    <mergeCell ref="J47:J51"/>
    <mergeCell ref="K47:K51"/>
    <mergeCell ref="L47:L51"/>
    <mergeCell ref="M47:M51"/>
    <mergeCell ref="N48:N50"/>
    <mergeCell ref="O48:O50"/>
    <mergeCell ref="S53:S56"/>
    <mergeCell ref="T53:T56"/>
    <mergeCell ref="U53:U56"/>
    <mergeCell ref="V53:V56"/>
    <mergeCell ref="W53:W56"/>
    <mergeCell ref="P65:P67"/>
    <mergeCell ref="Q65:Q67"/>
    <mergeCell ref="R65:R67"/>
    <mergeCell ref="G64:G68"/>
    <mergeCell ref="AJ64:AJ68"/>
    <mergeCell ref="AK64:AK68"/>
    <mergeCell ref="I85:K85"/>
    <mergeCell ref="F64:F85"/>
    <mergeCell ref="AF64:AF68"/>
    <mergeCell ref="AG64:AG68"/>
    <mergeCell ref="AH64:AH68"/>
    <mergeCell ref="AI64:AI68"/>
    <mergeCell ref="S65:S67"/>
    <mergeCell ref="T65:T67"/>
    <mergeCell ref="U65:U67"/>
    <mergeCell ref="V65:V67"/>
    <mergeCell ref="W65:W67"/>
    <mergeCell ref="X65:X67"/>
    <mergeCell ref="Y65:Y67"/>
    <mergeCell ref="H64:H68"/>
    <mergeCell ref="I64:I68"/>
    <mergeCell ref="J64:J68"/>
    <mergeCell ref="K64:K68"/>
    <mergeCell ref="L64:L68"/>
    <mergeCell ref="M64:M68"/>
    <mergeCell ref="N65:N67"/>
    <mergeCell ref="O65:O67"/>
    <mergeCell ref="H69:H74"/>
    <mergeCell ref="I69:I74"/>
    <mergeCell ref="J69:J74"/>
    <mergeCell ref="K69:K74"/>
    <mergeCell ref="L69:L74"/>
    <mergeCell ref="AJ86:AJ90"/>
    <mergeCell ref="AK86:AK90"/>
    <mergeCell ref="I102:K102"/>
    <mergeCell ref="F86:F102"/>
    <mergeCell ref="AF86:AF90"/>
    <mergeCell ref="AG86:AG90"/>
    <mergeCell ref="AH86:AH90"/>
    <mergeCell ref="AI86:AI90"/>
    <mergeCell ref="S87:S89"/>
    <mergeCell ref="T87:T89"/>
    <mergeCell ref="U87:U89"/>
    <mergeCell ref="V87:V89"/>
    <mergeCell ref="W87:W89"/>
    <mergeCell ref="X87:X89"/>
    <mergeCell ref="Y87:Y89"/>
    <mergeCell ref="H86:H90"/>
    <mergeCell ref="I86:I90"/>
    <mergeCell ref="J86:J90"/>
    <mergeCell ref="K86:K90"/>
    <mergeCell ref="L86:L90"/>
    <mergeCell ref="M86:M90"/>
    <mergeCell ref="N87:N89"/>
    <mergeCell ref="O87:O89"/>
    <mergeCell ref="H97:H101"/>
    <mergeCell ref="I97:I101"/>
    <mergeCell ref="J97:J101"/>
    <mergeCell ref="K97:K101"/>
    <mergeCell ref="L97:L101"/>
    <mergeCell ref="P104:P106"/>
    <mergeCell ref="Q104:Q106"/>
    <mergeCell ref="R104:R106"/>
    <mergeCell ref="G103:G107"/>
    <mergeCell ref="AJ103:AJ107"/>
    <mergeCell ref="AK103:AK107"/>
    <mergeCell ref="I119:K119"/>
    <mergeCell ref="F103:F119"/>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H114:H118"/>
    <mergeCell ref="I114:I118"/>
    <mergeCell ref="J114:J118"/>
    <mergeCell ref="K114:K118"/>
    <mergeCell ref="L114:L118"/>
    <mergeCell ref="I131:K131"/>
    <mergeCell ref="F120:F131"/>
    <mergeCell ref="AF120:AF124"/>
    <mergeCell ref="AG120:AG124"/>
    <mergeCell ref="AH120:AH124"/>
    <mergeCell ref="AI120:AI124"/>
    <mergeCell ref="S121:S123"/>
    <mergeCell ref="T121:T123"/>
    <mergeCell ref="U121:U123"/>
    <mergeCell ref="V121:V123"/>
    <mergeCell ref="W121:W123"/>
    <mergeCell ref="X121:X123"/>
    <mergeCell ref="Y121:Y123"/>
    <mergeCell ref="H120:H124"/>
    <mergeCell ref="I120:I124"/>
    <mergeCell ref="J120:J124"/>
    <mergeCell ref="K120:K124"/>
    <mergeCell ref="L120:L124"/>
    <mergeCell ref="M120:M124"/>
    <mergeCell ref="N121:N123"/>
    <mergeCell ref="O121:O123"/>
    <mergeCell ref="P134:P136"/>
    <mergeCell ref="Q134:Q136"/>
    <mergeCell ref="R134:R136"/>
    <mergeCell ref="G133:G137"/>
    <mergeCell ref="AJ133:AJ137"/>
    <mergeCell ref="AK133:AK137"/>
    <mergeCell ref="I153:K153"/>
    <mergeCell ref="F133:F153"/>
    <mergeCell ref="AF133:AF137"/>
    <mergeCell ref="AG133:AG137"/>
    <mergeCell ref="AH133:AH137"/>
    <mergeCell ref="AI133:AI137"/>
    <mergeCell ref="S134:S136"/>
    <mergeCell ref="T134:T136"/>
    <mergeCell ref="U134:U136"/>
    <mergeCell ref="V134:V136"/>
    <mergeCell ref="W134:W136"/>
    <mergeCell ref="X134:X136"/>
    <mergeCell ref="Y134:Y136"/>
    <mergeCell ref="H133:H137"/>
    <mergeCell ref="I133:I137"/>
    <mergeCell ref="J133:J137"/>
    <mergeCell ref="K133:K137"/>
    <mergeCell ref="L133:L137"/>
    <mergeCell ref="M133:M137"/>
    <mergeCell ref="N134:N136"/>
    <mergeCell ref="O134:O136"/>
    <mergeCell ref="H138:H142"/>
    <mergeCell ref="I138:I142"/>
    <mergeCell ref="J138:J142"/>
    <mergeCell ref="K138:K142"/>
    <mergeCell ref="L138:L142"/>
    <mergeCell ref="P155:P157"/>
    <mergeCell ref="Q155:Q157"/>
    <mergeCell ref="R155:R157"/>
    <mergeCell ref="G154:G158"/>
    <mergeCell ref="AJ154:AJ158"/>
    <mergeCell ref="AK154:AK158"/>
    <mergeCell ref="I181:K181"/>
    <mergeCell ref="F154:F181"/>
    <mergeCell ref="AF154:AF158"/>
    <mergeCell ref="AG154:AG158"/>
    <mergeCell ref="AH154:AH158"/>
    <mergeCell ref="AI154:AI158"/>
    <mergeCell ref="S155:S157"/>
    <mergeCell ref="T155:T157"/>
    <mergeCell ref="U155:U157"/>
    <mergeCell ref="V155:V157"/>
    <mergeCell ref="W155:W157"/>
    <mergeCell ref="X155:X157"/>
    <mergeCell ref="Y155:Y157"/>
    <mergeCell ref="H154:H158"/>
    <mergeCell ref="I154:I158"/>
    <mergeCell ref="J154:J158"/>
    <mergeCell ref="K154:K158"/>
    <mergeCell ref="L154:L158"/>
    <mergeCell ref="M154:M158"/>
    <mergeCell ref="N155:N157"/>
    <mergeCell ref="O155:O157"/>
    <mergeCell ref="H166:H170"/>
    <mergeCell ref="I166:I170"/>
    <mergeCell ref="J166:J170"/>
    <mergeCell ref="K166:K170"/>
    <mergeCell ref="L166:L170"/>
    <mergeCell ref="AJ182:AJ186"/>
    <mergeCell ref="AK182:AK186"/>
    <mergeCell ref="I214:K214"/>
    <mergeCell ref="F182:F214"/>
    <mergeCell ref="AF182:AF186"/>
    <mergeCell ref="AG182:AG186"/>
    <mergeCell ref="AH182:AH186"/>
    <mergeCell ref="AI182:AI186"/>
    <mergeCell ref="S183:S185"/>
    <mergeCell ref="T183:T185"/>
    <mergeCell ref="U183:U185"/>
    <mergeCell ref="V183:V185"/>
    <mergeCell ref="W183:W185"/>
    <mergeCell ref="X183:X185"/>
    <mergeCell ref="Y183:Y185"/>
    <mergeCell ref="H182:H186"/>
    <mergeCell ref="I182:I186"/>
    <mergeCell ref="J182:J186"/>
    <mergeCell ref="K182:K186"/>
    <mergeCell ref="L182:L186"/>
    <mergeCell ref="M182:M186"/>
    <mergeCell ref="N183:N185"/>
    <mergeCell ref="O183:O185"/>
    <mergeCell ref="H192:H196"/>
    <mergeCell ref="I192:I196"/>
    <mergeCell ref="J192:J196"/>
    <mergeCell ref="K192:K196"/>
    <mergeCell ref="L192:L196"/>
    <mergeCell ref="P216:P218"/>
    <mergeCell ref="Q216:Q218"/>
    <mergeCell ref="R216:R218"/>
    <mergeCell ref="G215:G219"/>
    <mergeCell ref="AJ215:AJ219"/>
    <mergeCell ref="AK215:AK219"/>
    <mergeCell ref="I247:K247"/>
    <mergeCell ref="F215:F247"/>
    <mergeCell ref="AF215:AF219"/>
    <mergeCell ref="AG215:AG219"/>
    <mergeCell ref="AH215:AH219"/>
    <mergeCell ref="AI215:AI219"/>
    <mergeCell ref="S216:S218"/>
    <mergeCell ref="T216:T218"/>
    <mergeCell ref="U216:U218"/>
    <mergeCell ref="V216:V218"/>
    <mergeCell ref="W216:W218"/>
    <mergeCell ref="X216:X218"/>
    <mergeCell ref="Y216:Y218"/>
    <mergeCell ref="H215:H219"/>
    <mergeCell ref="I215:I219"/>
    <mergeCell ref="J215:J219"/>
    <mergeCell ref="K215:K219"/>
    <mergeCell ref="L215:L219"/>
    <mergeCell ref="M215:M219"/>
    <mergeCell ref="N216:N218"/>
    <mergeCell ref="O216:O218"/>
    <mergeCell ref="H220:H224"/>
    <mergeCell ref="I220:I224"/>
    <mergeCell ref="J220:J224"/>
    <mergeCell ref="K220:K224"/>
    <mergeCell ref="L220:L224"/>
    <mergeCell ref="AJ248:AJ252"/>
    <mergeCell ref="AK248:AK252"/>
    <mergeCell ref="I280:K280"/>
    <mergeCell ref="F248:F280"/>
    <mergeCell ref="AF248:AF252"/>
    <mergeCell ref="AG248:AG252"/>
    <mergeCell ref="AH248:AH252"/>
    <mergeCell ref="AI248:AI252"/>
    <mergeCell ref="S249:S251"/>
    <mergeCell ref="T249:T251"/>
    <mergeCell ref="U249:U251"/>
    <mergeCell ref="V249:V251"/>
    <mergeCell ref="W249:W251"/>
    <mergeCell ref="X249:X251"/>
    <mergeCell ref="Y249:Y251"/>
    <mergeCell ref="H248:H252"/>
    <mergeCell ref="I248:I252"/>
    <mergeCell ref="J248:J252"/>
    <mergeCell ref="K248:K252"/>
    <mergeCell ref="L248:L252"/>
    <mergeCell ref="M248:M252"/>
    <mergeCell ref="N249:N251"/>
    <mergeCell ref="O249:O251"/>
    <mergeCell ref="H260:H264"/>
    <mergeCell ref="I260:I264"/>
    <mergeCell ref="J260:J264"/>
    <mergeCell ref="K260:K264"/>
    <mergeCell ref="L260:L264"/>
    <mergeCell ref="P282:P284"/>
    <mergeCell ref="Q282:Q284"/>
    <mergeCell ref="R282:R284"/>
    <mergeCell ref="G281:G285"/>
    <mergeCell ref="AJ281:AJ285"/>
    <mergeCell ref="AK281:AK285"/>
    <mergeCell ref="I312:K312"/>
    <mergeCell ref="F281:F312"/>
    <mergeCell ref="AF281:AF285"/>
    <mergeCell ref="AG281:AG285"/>
    <mergeCell ref="AH281:AH285"/>
    <mergeCell ref="AI281:AI285"/>
    <mergeCell ref="S282:S284"/>
    <mergeCell ref="T282:T284"/>
    <mergeCell ref="U282:U284"/>
    <mergeCell ref="V282:V284"/>
    <mergeCell ref="W282:W284"/>
    <mergeCell ref="X282:X284"/>
    <mergeCell ref="Y282:Y284"/>
    <mergeCell ref="H281:H285"/>
    <mergeCell ref="I281:I285"/>
    <mergeCell ref="J281:J285"/>
    <mergeCell ref="K281:K285"/>
    <mergeCell ref="L281:L285"/>
    <mergeCell ref="M281:M285"/>
    <mergeCell ref="N282:N284"/>
    <mergeCell ref="O282:O284"/>
    <mergeCell ref="H286:H290"/>
    <mergeCell ref="I286:I290"/>
    <mergeCell ref="J286:J290"/>
    <mergeCell ref="K286:K290"/>
    <mergeCell ref="L286:L290"/>
    <mergeCell ref="AJ313:AJ317"/>
    <mergeCell ref="AK313:AK317"/>
    <mergeCell ref="I344:K344"/>
    <mergeCell ref="F313:F344"/>
    <mergeCell ref="AF313:AF317"/>
    <mergeCell ref="AG313:AG317"/>
    <mergeCell ref="AH313:AH317"/>
    <mergeCell ref="AI313:AI317"/>
    <mergeCell ref="S314:S316"/>
    <mergeCell ref="T314:T316"/>
    <mergeCell ref="U314:U316"/>
    <mergeCell ref="V314:V316"/>
    <mergeCell ref="W314:W316"/>
    <mergeCell ref="X314:X316"/>
    <mergeCell ref="Y314:Y316"/>
    <mergeCell ref="H313:H317"/>
    <mergeCell ref="I313:I317"/>
    <mergeCell ref="J313:J317"/>
    <mergeCell ref="K313:K317"/>
    <mergeCell ref="L313:L317"/>
    <mergeCell ref="M313:M317"/>
    <mergeCell ref="N314:N316"/>
    <mergeCell ref="O314:O316"/>
    <mergeCell ref="H323:H328"/>
    <mergeCell ref="I323:I328"/>
    <mergeCell ref="J323:J328"/>
    <mergeCell ref="K323:K328"/>
    <mergeCell ref="L323:L328"/>
    <mergeCell ref="Q346:Q348"/>
    <mergeCell ref="R346:R348"/>
    <mergeCell ref="G345:G349"/>
    <mergeCell ref="AJ345:AJ349"/>
    <mergeCell ref="AK345:AK349"/>
    <mergeCell ref="I361:K361"/>
    <mergeCell ref="F345:F361"/>
    <mergeCell ref="AF345:AF349"/>
    <mergeCell ref="AG345:AG349"/>
    <mergeCell ref="AH345:AH349"/>
    <mergeCell ref="AI345:AI349"/>
    <mergeCell ref="S346:S348"/>
    <mergeCell ref="T346:T348"/>
    <mergeCell ref="U346:U348"/>
    <mergeCell ref="V346:V348"/>
    <mergeCell ref="W346:W348"/>
    <mergeCell ref="X346:X348"/>
    <mergeCell ref="Y346:Y348"/>
    <mergeCell ref="H345:H349"/>
    <mergeCell ref="I345:I349"/>
    <mergeCell ref="J345:J349"/>
    <mergeCell ref="K345:K349"/>
    <mergeCell ref="L345:L349"/>
    <mergeCell ref="M345:M349"/>
    <mergeCell ref="N346:N348"/>
    <mergeCell ref="O346:O348"/>
    <mergeCell ref="H355:H360"/>
    <mergeCell ref="I355:I360"/>
    <mergeCell ref="J355:J360"/>
    <mergeCell ref="K355:K360"/>
    <mergeCell ref="L355:L360"/>
    <mergeCell ref="AJ362:AJ366"/>
    <mergeCell ref="AK362:AK366"/>
    <mergeCell ref="I378:K378"/>
    <mergeCell ref="F362:F378"/>
    <mergeCell ref="AF362:AF366"/>
    <mergeCell ref="AG362:AG366"/>
    <mergeCell ref="AH362:AH366"/>
    <mergeCell ref="AI362:AI366"/>
    <mergeCell ref="S363:S365"/>
    <mergeCell ref="T363:T365"/>
    <mergeCell ref="U363:U365"/>
    <mergeCell ref="V363:V365"/>
    <mergeCell ref="W363:W365"/>
    <mergeCell ref="X363:X365"/>
    <mergeCell ref="Y363:Y365"/>
    <mergeCell ref="H362:H366"/>
    <mergeCell ref="I362:I366"/>
    <mergeCell ref="J362:J366"/>
    <mergeCell ref="K362:K366"/>
    <mergeCell ref="L362:L366"/>
    <mergeCell ref="M362:M366"/>
    <mergeCell ref="N363:N365"/>
    <mergeCell ref="O363:O365"/>
    <mergeCell ref="H367:H371"/>
    <mergeCell ref="I367:I371"/>
    <mergeCell ref="J367:J371"/>
    <mergeCell ref="K367:K371"/>
    <mergeCell ref="L367:L371"/>
    <mergeCell ref="AJ379:AJ383"/>
    <mergeCell ref="AK379:AK383"/>
    <mergeCell ref="I395:K395"/>
    <mergeCell ref="F379:F395"/>
    <mergeCell ref="AF379:AF383"/>
    <mergeCell ref="AG379:AG383"/>
    <mergeCell ref="AH379:AH383"/>
    <mergeCell ref="AI379:AI383"/>
    <mergeCell ref="S380:S382"/>
    <mergeCell ref="T380:T382"/>
    <mergeCell ref="U380:U382"/>
    <mergeCell ref="V380:V382"/>
    <mergeCell ref="W380:W382"/>
    <mergeCell ref="X380:X382"/>
    <mergeCell ref="Y380:Y382"/>
    <mergeCell ref="H379:H383"/>
    <mergeCell ref="I379:I383"/>
    <mergeCell ref="J379:J383"/>
    <mergeCell ref="K379:K383"/>
    <mergeCell ref="L379:L383"/>
    <mergeCell ref="M379:M383"/>
    <mergeCell ref="N380:N382"/>
    <mergeCell ref="O380:O382"/>
    <mergeCell ref="H389:H394"/>
    <mergeCell ref="I389:I394"/>
    <mergeCell ref="J389:J394"/>
    <mergeCell ref="K389:K394"/>
    <mergeCell ref="L389:L394"/>
    <mergeCell ref="AJ396:AJ400"/>
    <mergeCell ref="AK396:AK400"/>
    <mergeCell ref="I407:K407"/>
    <mergeCell ref="F396:F407"/>
    <mergeCell ref="AF396:AF400"/>
    <mergeCell ref="AG396:AG400"/>
    <mergeCell ref="AH396:AH400"/>
    <mergeCell ref="AI396:AI400"/>
    <mergeCell ref="S397:S399"/>
    <mergeCell ref="T397:T399"/>
    <mergeCell ref="U397:U399"/>
    <mergeCell ref="V397:V399"/>
    <mergeCell ref="W397:W399"/>
    <mergeCell ref="X397:X399"/>
    <mergeCell ref="Y397:Y399"/>
    <mergeCell ref="H396:H400"/>
    <mergeCell ref="I396:I400"/>
    <mergeCell ref="J396:J400"/>
    <mergeCell ref="K396:K400"/>
    <mergeCell ref="L396:L400"/>
    <mergeCell ref="M396:M400"/>
    <mergeCell ref="N397:N399"/>
    <mergeCell ref="O397:O399"/>
    <mergeCell ref="AF401:AF406"/>
    <mergeCell ref="AG401:AG406"/>
    <mergeCell ref="AH401:AH406"/>
    <mergeCell ref="AI401:AI406"/>
    <mergeCell ref="AJ401:AJ406"/>
    <mergeCell ref="AJ408:AJ412"/>
    <mergeCell ref="AK408:AK412"/>
    <mergeCell ref="I419:K419"/>
    <mergeCell ref="F408:F419"/>
    <mergeCell ref="AF408:AF412"/>
    <mergeCell ref="AG408:AG412"/>
    <mergeCell ref="AH408:AH412"/>
    <mergeCell ref="AI408:AI412"/>
    <mergeCell ref="S409:S411"/>
    <mergeCell ref="T409:T411"/>
    <mergeCell ref="U409:U411"/>
    <mergeCell ref="V409:V411"/>
    <mergeCell ref="W409:W411"/>
    <mergeCell ref="X409:X411"/>
    <mergeCell ref="Y409:Y411"/>
    <mergeCell ref="H408:H412"/>
    <mergeCell ref="I408:I412"/>
    <mergeCell ref="J408:J412"/>
    <mergeCell ref="K408:K412"/>
    <mergeCell ref="L408:L412"/>
    <mergeCell ref="M408:M412"/>
    <mergeCell ref="N409:N411"/>
    <mergeCell ref="O409:O411"/>
    <mergeCell ref="P422:P424"/>
    <mergeCell ref="Q422:Q424"/>
    <mergeCell ref="R422:R424"/>
    <mergeCell ref="G421:G425"/>
    <mergeCell ref="AJ421:AJ425"/>
    <mergeCell ref="AK421:AK425"/>
    <mergeCell ref="I432:K432"/>
    <mergeCell ref="F421:F432"/>
    <mergeCell ref="AF421:AF425"/>
    <mergeCell ref="AG421:AG425"/>
    <mergeCell ref="AH421:AH425"/>
    <mergeCell ref="AI421:AI425"/>
    <mergeCell ref="S422:S424"/>
    <mergeCell ref="T422:T424"/>
    <mergeCell ref="U422:U424"/>
    <mergeCell ref="V422:V424"/>
    <mergeCell ref="W422:W424"/>
    <mergeCell ref="X422:X424"/>
    <mergeCell ref="Y422:Y424"/>
    <mergeCell ref="H421:H425"/>
    <mergeCell ref="I421:I425"/>
    <mergeCell ref="J421:J425"/>
    <mergeCell ref="K421:K425"/>
    <mergeCell ref="L421:L425"/>
    <mergeCell ref="M421:M425"/>
    <mergeCell ref="N422:N424"/>
    <mergeCell ref="O422:O424"/>
    <mergeCell ref="P434:P436"/>
    <mergeCell ref="Q434:Q436"/>
    <mergeCell ref="R434:R436"/>
    <mergeCell ref="G433:G437"/>
    <mergeCell ref="AJ433:AJ437"/>
    <mergeCell ref="AK433:AK437"/>
    <mergeCell ref="I443:K443"/>
    <mergeCell ref="F433:F443"/>
    <mergeCell ref="AF433:AF437"/>
    <mergeCell ref="AG433:AG437"/>
    <mergeCell ref="AH433:AH437"/>
    <mergeCell ref="AI433:AI437"/>
    <mergeCell ref="S434:S436"/>
    <mergeCell ref="T434:T436"/>
    <mergeCell ref="U434:U436"/>
    <mergeCell ref="V434:V436"/>
    <mergeCell ref="W434:W436"/>
    <mergeCell ref="X434:X436"/>
    <mergeCell ref="Y434:Y436"/>
    <mergeCell ref="H433:H437"/>
    <mergeCell ref="I433:I437"/>
    <mergeCell ref="J433:J437"/>
    <mergeCell ref="K433:K437"/>
    <mergeCell ref="L433:L437"/>
    <mergeCell ref="M433:M437"/>
    <mergeCell ref="N434:N436"/>
    <mergeCell ref="O434:O436"/>
    <mergeCell ref="H438:H442"/>
    <mergeCell ref="I438:I442"/>
    <mergeCell ref="J438:J442"/>
    <mergeCell ref="K438:K442"/>
    <mergeCell ref="L438:L442"/>
    <mergeCell ref="I454:K454"/>
    <mergeCell ref="F444:F454"/>
    <mergeCell ref="AF444:AF448"/>
    <mergeCell ref="AG444:AG448"/>
    <mergeCell ref="AH444:AH448"/>
    <mergeCell ref="AI444:AI448"/>
    <mergeCell ref="S445:S447"/>
    <mergeCell ref="T445:T447"/>
    <mergeCell ref="U445:U447"/>
    <mergeCell ref="V445:V447"/>
    <mergeCell ref="W445:W447"/>
    <mergeCell ref="X445:X447"/>
    <mergeCell ref="Y445:Y447"/>
    <mergeCell ref="H444:H448"/>
    <mergeCell ref="I444:I448"/>
    <mergeCell ref="J444:J448"/>
    <mergeCell ref="K444:K448"/>
    <mergeCell ref="L444:L448"/>
    <mergeCell ref="M444:M448"/>
    <mergeCell ref="N445:N447"/>
    <mergeCell ref="O445:O447"/>
    <mergeCell ref="P456:P458"/>
    <mergeCell ref="Q456:Q458"/>
    <mergeCell ref="R456:R458"/>
    <mergeCell ref="G455:G459"/>
    <mergeCell ref="AJ455:AJ459"/>
    <mergeCell ref="AK455:AK459"/>
    <mergeCell ref="I465:K465"/>
    <mergeCell ref="F455:F465"/>
    <mergeCell ref="AF455:AF459"/>
    <mergeCell ref="AG455:AG459"/>
    <mergeCell ref="AH455:AH459"/>
    <mergeCell ref="AI455:AI459"/>
    <mergeCell ref="S456:S458"/>
    <mergeCell ref="T456:T458"/>
    <mergeCell ref="U456:U458"/>
    <mergeCell ref="V456:V458"/>
    <mergeCell ref="W456:W458"/>
    <mergeCell ref="X456:X458"/>
    <mergeCell ref="Y456:Y458"/>
    <mergeCell ref="H455:H459"/>
    <mergeCell ref="I455:I459"/>
    <mergeCell ref="J455:J459"/>
    <mergeCell ref="K455:K459"/>
    <mergeCell ref="L455:L459"/>
    <mergeCell ref="M455:M459"/>
    <mergeCell ref="N456:N458"/>
    <mergeCell ref="O456:O458"/>
    <mergeCell ref="H460:H464"/>
    <mergeCell ref="I460:I464"/>
    <mergeCell ref="J460:J464"/>
    <mergeCell ref="K460:K464"/>
    <mergeCell ref="L460:L464"/>
    <mergeCell ref="P467:P469"/>
    <mergeCell ref="Q467:Q469"/>
    <mergeCell ref="R467:R469"/>
    <mergeCell ref="G466:G470"/>
    <mergeCell ref="AJ466:AJ470"/>
    <mergeCell ref="AK466:AK470"/>
    <mergeCell ref="I476:K476"/>
    <mergeCell ref="F466:F476"/>
    <mergeCell ref="AF466:AF470"/>
    <mergeCell ref="AG466:AG470"/>
    <mergeCell ref="AH466:AH470"/>
    <mergeCell ref="AI466:AI470"/>
    <mergeCell ref="S467:S469"/>
    <mergeCell ref="T467:T469"/>
    <mergeCell ref="U467:U469"/>
    <mergeCell ref="V467:V469"/>
    <mergeCell ref="W467:W469"/>
    <mergeCell ref="X467:X469"/>
    <mergeCell ref="Y467:Y469"/>
    <mergeCell ref="H466:H470"/>
    <mergeCell ref="I466:I470"/>
    <mergeCell ref="J466:J470"/>
    <mergeCell ref="K466:K470"/>
    <mergeCell ref="L466:L470"/>
    <mergeCell ref="M466:M470"/>
    <mergeCell ref="N467:N469"/>
    <mergeCell ref="O467:O469"/>
    <mergeCell ref="P478:P480"/>
    <mergeCell ref="Q478:Q480"/>
    <mergeCell ref="R478:R480"/>
    <mergeCell ref="G477:G481"/>
    <mergeCell ref="AJ477:AJ481"/>
    <mergeCell ref="AK477:AK481"/>
    <mergeCell ref="I487:K487"/>
    <mergeCell ref="F477:F487"/>
    <mergeCell ref="AF477:AF481"/>
    <mergeCell ref="AG477:AG481"/>
    <mergeCell ref="AH477:AH481"/>
    <mergeCell ref="AI477:AI481"/>
    <mergeCell ref="S478:S480"/>
    <mergeCell ref="T478:T480"/>
    <mergeCell ref="U478:U480"/>
    <mergeCell ref="V478:V480"/>
    <mergeCell ref="W478:W480"/>
    <mergeCell ref="X478:X480"/>
    <mergeCell ref="Y478:Y480"/>
    <mergeCell ref="H477:H481"/>
    <mergeCell ref="I477:I481"/>
    <mergeCell ref="J477:J481"/>
    <mergeCell ref="K477:K481"/>
    <mergeCell ref="L477:L481"/>
    <mergeCell ref="M477:M481"/>
    <mergeCell ref="N478:N480"/>
    <mergeCell ref="O478:O480"/>
    <mergeCell ref="H482:H486"/>
    <mergeCell ref="I482:I486"/>
    <mergeCell ref="J482:J486"/>
    <mergeCell ref="K482:K486"/>
    <mergeCell ref="L482:L486"/>
    <mergeCell ref="I498:K498"/>
    <mergeCell ref="F488:F498"/>
    <mergeCell ref="AF488:AF492"/>
    <mergeCell ref="AG488:AG492"/>
    <mergeCell ref="AH488:AH492"/>
    <mergeCell ref="AI488:AI492"/>
    <mergeCell ref="S489:S491"/>
    <mergeCell ref="T489:T491"/>
    <mergeCell ref="U489:U491"/>
    <mergeCell ref="V489:V491"/>
    <mergeCell ref="W489:W491"/>
    <mergeCell ref="X489:X491"/>
    <mergeCell ref="Y489:Y491"/>
    <mergeCell ref="H488:H492"/>
    <mergeCell ref="I488:I492"/>
    <mergeCell ref="J488:J492"/>
    <mergeCell ref="K488:K492"/>
    <mergeCell ref="L488:L492"/>
    <mergeCell ref="M488:M492"/>
    <mergeCell ref="N489:N491"/>
    <mergeCell ref="O489:O491"/>
    <mergeCell ref="P500:P502"/>
    <mergeCell ref="Q500:Q502"/>
    <mergeCell ref="R500:R502"/>
    <mergeCell ref="G499:G503"/>
    <mergeCell ref="AJ499:AJ503"/>
    <mergeCell ref="AK499:AK503"/>
    <mergeCell ref="I509:K509"/>
    <mergeCell ref="F499:F509"/>
    <mergeCell ref="AF499:AF503"/>
    <mergeCell ref="AG499:AG503"/>
    <mergeCell ref="AH499:AH503"/>
    <mergeCell ref="AI499:AI503"/>
    <mergeCell ref="S500:S502"/>
    <mergeCell ref="T500:T502"/>
    <mergeCell ref="U500:U502"/>
    <mergeCell ref="V500:V502"/>
    <mergeCell ref="W500:W502"/>
    <mergeCell ref="X500:X502"/>
    <mergeCell ref="Y500:Y502"/>
    <mergeCell ref="H499:H503"/>
    <mergeCell ref="I499:I503"/>
    <mergeCell ref="J499:J503"/>
    <mergeCell ref="K499:K503"/>
    <mergeCell ref="L499:L503"/>
    <mergeCell ref="M499:M503"/>
    <mergeCell ref="N500:N502"/>
    <mergeCell ref="O500:O502"/>
    <mergeCell ref="H504:H508"/>
    <mergeCell ref="I504:I508"/>
    <mergeCell ref="J504:J508"/>
    <mergeCell ref="K504:K508"/>
    <mergeCell ref="L504:L508"/>
    <mergeCell ref="P511:P513"/>
    <mergeCell ref="Q511:Q513"/>
    <mergeCell ref="R511:R513"/>
    <mergeCell ref="G510:G514"/>
    <mergeCell ref="AJ510:AJ514"/>
    <mergeCell ref="AK510:AK514"/>
    <mergeCell ref="I520:K520"/>
    <mergeCell ref="F510:F520"/>
    <mergeCell ref="AF510:AF514"/>
    <mergeCell ref="AG510:AG514"/>
    <mergeCell ref="AH510:AH514"/>
    <mergeCell ref="AI510:AI514"/>
    <mergeCell ref="S511:S513"/>
    <mergeCell ref="T511:T513"/>
    <mergeCell ref="U511:U513"/>
    <mergeCell ref="V511:V513"/>
    <mergeCell ref="W511:W513"/>
    <mergeCell ref="X511:X513"/>
    <mergeCell ref="Y511:Y513"/>
    <mergeCell ref="H510:H514"/>
    <mergeCell ref="I510:I514"/>
    <mergeCell ref="J510:J514"/>
    <mergeCell ref="K510:K514"/>
    <mergeCell ref="L510:L514"/>
    <mergeCell ref="M510:M514"/>
    <mergeCell ref="N511:N513"/>
    <mergeCell ref="O511:O513"/>
    <mergeCell ref="P522:P524"/>
    <mergeCell ref="Q522:Q524"/>
    <mergeCell ref="R522:R524"/>
    <mergeCell ref="G521:G525"/>
    <mergeCell ref="AJ521:AJ525"/>
    <mergeCell ref="AK521:AK525"/>
    <mergeCell ref="I531:K531"/>
    <mergeCell ref="F521:F531"/>
    <mergeCell ref="AF521:AF525"/>
    <mergeCell ref="AG521:AG525"/>
    <mergeCell ref="AH521:AH525"/>
    <mergeCell ref="AI521:AI525"/>
    <mergeCell ref="S522:S524"/>
    <mergeCell ref="T522:T524"/>
    <mergeCell ref="U522:U524"/>
    <mergeCell ref="V522:V524"/>
    <mergeCell ref="W522:W524"/>
    <mergeCell ref="X522:X524"/>
    <mergeCell ref="Y522:Y524"/>
    <mergeCell ref="H521:H525"/>
    <mergeCell ref="I521:I525"/>
    <mergeCell ref="J521:J525"/>
    <mergeCell ref="K521:K525"/>
    <mergeCell ref="L521:L525"/>
    <mergeCell ref="M521:M525"/>
    <mergeCell ref="N522:N524"/>
    <mergeCell ref="O522:O524"/>
    <mergeCell ref="H526:H530"/>
    <mergeCell ref="I526:I530"/>
    <mergeCell ref="J526:J530"/>
    <mergeCell ref="K526:K530"/>
    <mergeCell ref="L526:L530"/>
    <mergeCell ref="I544:K544"/>
    <mergeCell ref="F533:F544"/>
    <mergeCell ref="AF533:AF537"/>
    <mergeCell ref="AG533:AG537"/>
    <mergeCell ref="AH533:AH537"/>
    <mergeCell ref="AI533:AI537"/>
    <mergeCell ref="S534:S536"/>
    <mergeCell ref="T534:T536"/>
    <mergeCell ref="U534:U536"/>
    <mergeCell ref="V534:V536"/>
    <mergeCell ref="W534:W536"/>
    <mergeCell ref="X534:X536"/>
    <mergeCell ref="Y534:Y536"/>
    <mergeCell ref="H533:H537"/>
    <mergeCell ref="I533:I537"/>
    <mergeCell ref="J533:J537"/>
    <mergeCell ref="K533:K537"/>
    <mergeCell ref="L533:L537"/>
    <mergeCell ref="M533:M537"/>
    <mergeCell ref="N534:N536"/>
    <mergeCell ref="O534:O536"/>
    <mergeCell ref="P546:P548"/>
    <mergeCell ref="Q546:Q548"/>
    <mergeCell ref="R546:R548"/>
    <mergeCell ref="G545:G549"/>
    <mergeCell ref="AJ545:AJ549"/>
    <mergeCell ref="AK545:AK549"/>
    <mergeCell ref="I555:K555"/>
    <mergeCell ref="F545:F555"/>
    <mergeCell ref="AF545:AF549"/>
    <mergeCell ref="AG545:AG549"/>
    <mergeCell ref="AH545:AH549"/>
    <mergeCell ref="AI545:AI549"/>
    <mergeCell ref="S546:S548"/>
    <mergeCell ref="T546:T548"/>
    <mergeCell ref="U546:U548"/>
    <mergeCell ref="V546:V548"/>
    <mergeCell ref="W546:W548"/>
    <mergeCell ref="X546:X548"/>
    <mergeCell ref="Y546:Y548"/>
    <mergeCell ref="H545:H549"/>
    <mergeCell ref="I545:I549"/>
    <mergeCell ref="J545:J549"/>
    <mergeCell ref="K545:K549"/>
    <mergeCell ref="L545:L549"/>
    <mergeCell ref="M545:M549"/>
    <mergeCell ref="N546:N548"/>
    <mergeCell ref="O546:O548"/>
    <mergeCell ref="H550:H554"/>
    <mergeCell ref="I550:I554"/>
    <mergeCell ref="J550:J554"/>
    <mergeCell ref="K550:K554"/>
    <mergeCell ref="L550:L554"/>
    <mergeCell ref="P557:P559"/>
    <mergeCell ref="Q557:Q559"/>
    <mergeCell ref="R557:R559"/>
    <mergeCell ref="G556:G560"/>
    <mergeCell ref="AJ556:AJ560"/>
    <mergeCell ref="AK556:AK560"/>
    <mergeCell ref="I566:K566"/>
    <mergeCell ref="F556:F566"/>
    <mergeCell ref="AF556:AF560"/>
    <mergeCell ref="AG556:AG560"/>
    <mergeCell ref="AH556:AH560"/>
    <mergeCell ref="AI556:AI560"/>
    <mergeCell ref="S557:S559"/>
    <mergeCell ref="T557:T559"/>
    <mergeCell ref="U557:U559"/>
    <mergeCell ref="V557:V559"/>
    <mergeCell ref="W557:W559"/>
    <mergeCell ref="X557:X559"/>
    <mergeCell ref="Y557:Y559"/>
    <mergeCell ref="H556:H560"/>
    <mergeCell ref="I556:I560"/>
    <mergeCell ref="J556:J560"/>
    <mergeCell ref="K556:K560"/>
    <mergeCell ref="L556:L560"/>
    <mergeCell ref="M556:M560"/>
    <mergeCell ref="N557:N559"/>
    <mergeCell ref="O557:O559"/>
    <mergeCell ref="P568:P570"/>
    <mergeCell ref="Q568:Q570"/>
    <mergeCell ref="R568:R570"/>
    <mergeCell ref="G567:G571"/>
    <mergeCell ref="AJ567:AJ571"/>
    <mergeCell ref="AK567:AK571"/>
    <mergeCell ref="I577:K577"/>
    <mergeCell ref="F567:F577"/>
    <mergeCell ref="AF567:AF571"/>
    <mergeCell ref="AG567:AG571"/>
    <mergeCell ref="AH567:AH571"/>
    <mergeCell ref="AI567:AI571"/>
    <mergeCell ref="S568:S570"/>
    <mergeCell ref="T568:T570"/>
    <mergeCell ref="U568:U570"/>
    <mergeCell ref="V568:V570"/>
    <mergeCell ref="W568:W570"/>
    <mergeCell ref="X568:X570"/>
    <mergeCell ref="Y568:Y570"/>
    <mergeCell ref="H567:H571"/>
    <mergeCell ref="I567:I571"/>
    <mergeCell ref="J567:J571"/>
    <mergeCell ref="K567:K571"/>
    <mergeCell ref="L567:L571"/>
    <mergeCell ref="M567:M571"/>
    <mergeCell ref="N568:N570"/>
    <mergeCell ref="O568:O570"/>
    <mergeCell ref="H572:H576"/>
    <mergeCell ref="I572:I576"/>
    <mergeCell ref="J572:J576"/>
    <mergeCell ref="K572:K576"/>
    <mergeCell ref="L572:L576"/>
    <mergeCell ref="I588:K588"/>
    <mergeCell ref="F578:F588"/>
    <mergeCell ref="AF578:AF582"/>
    <mergeCell ref="AG578:AG582"/>
    <mergeCell ref="AH578:AH582"/>
    <mergeCell ref="AI578:AI582"/>
    <mergeCell ref="S579:S581"/>
    <mergeCell ref="T579:T581"/>
    <mergeCell ref="U579:U581"/>
    <mergeCell ref="V579:V581"/>
    <mergeCell ref="W579:W581"/>
    <mergeCell ref="X579:X581"/>
    <mergeCell ref="Y579:Y581"/>
    <mergeCell ref="H578:H582"/>
    <mergeCell ref="I578:I582"/>
    <mergeCell ref="J578:J582"/>
    <mergeCell ref="K578:K582"/>
    <mergeCell ref="L578:L582"/>
    <mergeCell ref="M578:M582"/>
    <mergeCell ref="N579:N581"/>
    <mergeCell ref="O579:O581"/>
    <mergeCell ref="P590:P592"/>
    <mergeCell ref="Q590:Q592"/>
    <mergeCell ref="R590:R592"/>
    <mergeCell ref="G589:G593"/>
    <mergeCell ref="AJ589:AJ593"/>
    <mergeCell ref="AK589:AK593"/>
    <mergeCell ref="I599:K599"/>
    <mergeCell ref="F589:F599"/>
    <mergeCell ref="AF589:AF593"/>
    <mergeCell ref="AG589:AG593"/>
    <mergeCell ref="AH589:AH593"/>
    <mergeCell ref="AI589:AI593"/>
    <mergeCell ref="S590:S592"/>
    <mergeCell ref="T590:T592"/>
    <mergeCell ref="U590:U592"/>
    <mergeCell ref="V590:V592"/>
    <mergeCell ref="W590:W592"/>
    <mergeCell ref="X590:X592"/>
    <mergeCell ref="Y590:Y592"/>
    <mergeCell ref="H589:H593"/>
    <mergeCell ref="I589:I593"/>
    <mergeCell ref="J589:J593"/>
    <mergeCell ref="K589:K593"/>
    <mergeCell ref="L589:L593"/>
    <mergeCell ref="M589:M593"/>
    <mergeCell ref="N590:N592"/>
    <mergeCell ref="O590:O592"/>
    <mergeCell ref="H594:H598"/>
    <mergeCell ref="I594:I598"/>
    <mergeCell ref="J594:J598"/>
    <mergeCell ref="K594:K598"/>
    <mergeCell ref="L594:L598"/>
    <mergeCell ref="P601:P603"/>
    <mergeCell ref="Q601:Q603"/>
    <mergeCell ref="R601:R603"/>
    <mergeCell ref="G600:G604"/>
    <mergeCell ref="AJ600:AJ604"/>
    <mergeCell ref="AK600:AK604"/>
    <mergeCell ref="I610:K610"/>
    <mergeCell ref="F600:F610"/>
    <mergeCell ref="AF600:AF604"/>
    <mergeCell ref="AG600:AG604"/>
    <mergeCell ref="AH600:AH604"/>
    <mergeCell ref="AI600:AI604"/>
    <mergeCell ref="S601:S603"/>
    <mergeCell ref="T601:T603"/>
    <mergeCell ref="U601:U603"/>
    <mergeCell ref="V601:V603"/>
    <mergeCell ref="W601:W603"/>
    <mergeCell ref="X601:X603"/>
    <mergeCell ref="Y601:Y603"/>
    <mergeCell ref="H600:H604"/>
    <mergeCell ref="I600:I604"/>
    <mergeCell ref="J600:J604"/>
    <mergeCell ref="K600:K604"/>
    <mergeCell ref="L600:L604"/>
    <mergeCell ref="M600:M604"/>
    <mergeCell ref="N601:N603"/>
    <mergeCell ref="O601:O603"/>
    <mergeCell ref="P612:P614"/>
    <mergeCell ref="Q612:Q614"/>
    <mergeCell ref="R612:R614"/>
    <mergeCell ref="G611:G615"/>
    <mergeCell ref="AJ611:AJ615"/>
    <mergeCell ref="AK611:AK615"/>
    <mergeCell ref="I621:K621"/>
    <mergeCell ref="F611:F621"/>
    <mergeCell ref="AF611:AF615"/>
    <mergeCell ref="AG611:AG615"/>
    <mergeCell ref="AH611:AH615"/>
    <mergeCell ref="AI611:AI615"/>
    <mergeCell ref="S612:S614"/>
    <mergeCell ref="T612:T614"/>
    <mergeCell ref="U612:U614"/>
    <mergeCell ref="V612:V614"/>
    <mergeCell ref="W612:W614"/>
    <mergeCell ref="X612:X614"/>
    <mergeCell ref="Y612:Y614"/>
    <mergeCell ref="H611:H615"/>
    <mergeCell ref="I611:I615"/>
    <mergeCell ref="J611:J615"/>
    <mergeCell ref="K611:K615"/>
    <mergeCell ref="L611:L615"/>
    <mergeCell ref="M611:M615"/>
    <mergeCell ref="N612:N614"/>
    <mergeCell ref="O612:O614"/>
    <mergeCell ref="H616:H620"/>
    <mergeCell ref="I616:I620"/>
    <mergeCell ref="J616:J620"/>
    <mergeCell ref="K616:K620"/>
    <mergeCell ref="L616:L620"/>
    <mergeCell ref="I632:K632"/>
    <mergeCell ref="F622:F632"/>
    <mergeCell ref="AF622:AF626"/>
    <mergeCell ref="AG622:AG626"/>
    <mergeCell ref="AH622:AH626"/>
    <mergeCell ref="AI622:AI626"/>
    <mergeCell ref="S623:S625"/>
    <mergeCell ref="T623:T625"/>
    <mergeCell ref="U623:U625"/>
    <mergeCell ref="V623:V625"/>
    <mergeCell ref="W623:W625"/>
    <mergeCell ref="X623:X625"/>
    <mergeCell ref="Y623:Y625"/>
    <mergeCell ref="H622:H626"/>
    <mergeCell ref="I622:I626"/>
    <mergeCell ref="J622:J626"/>
    <mergeCell ref="K622:K626"/>
    <mergeCell ref="L622:L626"/>
    <mergeCell ref="M622:M626"/>
    <mergeCell ref="N623:N625"/>
    <mergeCell ref="O623:O625"/>
    <mergeCell ref="P634:P636"/>
    <mergeCell ref="Q634:Q636"/>
    <mergeCell ref="R634:R636"/>
    <mergeCell ref="G633:G637"/>
    <mergeCell ref="AJ633:AJ637"/>
    <mergeCell ref="AK633:AK637"/>
    <mergeCell ref="I643:K643"/>
    <mergeCell ref="F633:F643"/>
    <mergeCell ref="AF633:AF637"/>
    <mergeCell ref="AG633:AG637"/>
    <mergeCell ref="AH633:AH637"/>
    <mergeCell ref="AI633:AI637"/>
    <mergeCell ref="S634:S636"/>
    <mergeCell ref="T634:T636"/>
    <mergeCell ref="U634:U636"/>
    <mergeCell ref="V634:V636"/>
    <mergeCell ref="W634:W636"/>
    <mergeCell ref="X634:X636"/>
    <mergeCell ref="Y634:Y636"/>
    <mergeCell ref="H633:H637"/>
    <mergeCell ref="I633:I637"/>
    <mergeCell ref="J633:J637"/>
    <mergeCell ref="K633:K637"/>
    <mergeCell ref="L633:L637"/>
    <mergeCell ref="M633:M637"/>
    <mergeCell ref="N634:N636"/>
    <mergeCell ref="O634:O636"/>
    <mergeCell ref="H638:H642"/>
    <mergeCell ref="I638:I642"/>
    <mergeCell ref="J638:J642"/>
    <mergeCell ref="K638:K642"/>
    <mergeCell ref="L638:L642"/>
    <mergeCell ref="P646:P648"/>
    <mergeCell ref="Q646:Q648"/>
    <mergeCell ref="R646:R648"/>
    <mergeCell ref="G645:G649"/>
    <mergeCell ref="AJ645:AJ649"/>
    <mergeCell ref="AK645:AK649"/>
    <mergeCell ref="I655:K655"/>
    <mergeCell ref="F645:F655"/>
    <mergeCell ref="AF645:AF649"/>
    <mergeCell ref="AG645:AG649"/>
    <mergeCell ref="AH645:AH649"/>
    <mergeCell ref="AI645:AI649"/>
    <mergeCell ref="S646:S648"/>
    <mergeCell ref="T646:T648"/>
    <mergeCell ref="U646:U648"/>
    <mergeCell ref="V646:V648"/>
    <mergeCell ref="W646:W648"/>
    <mergeCell ref="X646:X648"/>
    <mergeCell ref="Y646:Y648"/>
    <mergeCell ref="H645:H649"/>
    <mergeCell ref="I645:I649"/>
    <mergeCell ref="J645:J649"/>
    <mergeCell ref="K645:K649"/>
    <mergeCell ref="L645:L649"/>
    <mergeCell ref="M645:M649"/>
    <mergeCell ref="N646:N648"/>
    <mergeCell ref="O646:O648"/>
    <mergeCell ref="P657:P659"/>
    <mergeCell ref="Q657:Q659"/>
    <mergeCell ref="R657:R659"/>
    <mergeCell ref="G656:G660"/>
    <mergeCell ref="AJ656:AJ660"/>
    <mergeCell ref="AK656:AK660"/>
    <mergeCell ref="I666:K666"/>
    <mergeCell ref="F656:F666"/>
    <mergeCell ref="AF656:AF660"/>
    <mergeCell ref="AG656:AG660"/>
    <mergeCell ref="AH656:AH660"/>
    <mergeCell ref="AI656:AI660"/>
    <mergeCell ref="S657:S659"/>
    <mergeCell ref="T657:T659"/>
    <mergeCell ref="U657:U659"/>
    <mergeCell ref="V657:V659"/>
    <mergeCell ref="W657:W659"/>
    <mergeCell ref="X657:X659"/>
    <mergeCell ref="Y657:Y659"/>
    <mergeCell ref="H656:H660"/>
    <mergeCell ref="I656:I660"/>
    <mergeCell ref="J656:J660"/>
    <mergeCell ref="K656:K660"/>
    <mergeCell ref="L656:L660"/>
    <mergeCell ref="M656:M660"/>
    <mergeCell ref="N657:N659"/>
    <mergeCell ref="O657:O659"/>
    <mergeCell ref="H661:H665"/>
    <mergeCell ref="I661:I665"/>
    <mergeCell ref="J661:J665"/>
    <mergeCell ref="K661:K665"/>
    <mergeCell ref="L661:L665"/>
    <mergeCell ref="I678:K678"/>
    <mergeCell ref="F667:F678"/>
    <mergeCell ref="AF667:AF671"/>
    <mergeCell ref="AG667:AG671"/>
    <mergeCell ref="AH667:AH671"/>
    <mergeCell ref="AI667:AI671"/>
    <mergeCell ref="S668:S670"/>
    <mergeCell ref="T668:T670"/>
    <mergeCell ref="U668:U670"/>
    <mergeCell ref="V668:V670"/>
    <mergeCell ref="W668:W670"/>
    <mergeCell ref="X668:X670"/>
    <mergeCell ref="Y668:Y670"/>
    <mergeCell ref="H667:H671"/>
    <mergeCell ref="I667:I671"/>
    <mergeCell ref="J667:J671"/>
    <mergeCell ref="K667:K671"/>
    <mergeCell ref="L667:L671"/>
    <mergeCell ref="M667:M671"/>
    <mergeCell ref="N668:N670"/>
    <mergeCell ref="O668:O670"/>
    <mergeCell ref="P681:P683"/>
    <mergeCell ref="Q681:Q683"/>
    <mergeCell ref="R681:R683"/>
    <mergeCell ref="G680:G684"/>
    <mergeCell ref="AJ680:AJ684"/>
    <mergeCell ref="AK680:AK684"/>
    <mergeCell ref="I690:K690"/>
    <mergeCell ref="F680:F690"/>
    <mergeCell ref="AF680:AF684"/>
    <mergeCell ref="AG680:AG684"/>
    <mergeCell ref="AH680:AH684"/>
    <mergeCell ref="AI680:AI684"/>
    <mergeCell ref="S681:S683"/>
    <mergeCell ref="T681:T683"/>
    <mergeCell ref="U681:U683"/>
    <mergeCell ref="V681:V683"/>
    <mergeCell ref="W681:W683"/>
    <mergeCell ref="X681:X683"/>
    <mergeCell ref="Y681:Y683"/>
    <mergeCell ref="H680:H684"/>
    <mergeCell ref="I680:I684"/>
    <mergeCell ref="J680:J684"/>
    <mergeCell ref="K680:K684"/>
    <mergeCell ref="L680:L684"/>
    <mergeCell ref="M680:M684"/>
    <mergeCell ref="N681:N683"/>
    <mergeCell ref="O681:O683"/>
    <mergeCell ref="H685:H689"/>
    <mergeCell ref="I685:I689"/>
    <mergeCell ref="J685:J689"/>
    <mergeCell ref="K685:K689"/>
    <mergeCell ref="L685:L689"/>
    <mergeCell ref="P692:P694"/>
    <mergeCell ref="Q692:Q694"/>
    <mergeCell ref="R692:R694"/>
    <mergeCell ref="G691:G695"/>
    <mergeCell ref="AJ691:AJ695"/>
    <mergeCell ref="AK691:AK695"/>
    <mergeCell ref="I701:K701"/>
    <mergeCell ref="F691:F701"/>
    <mergeCell ref="AF691:AF695"/>
    <mergeCell ref="AG691:AG695"/>
    <mergeCell ref="AH691:AH695"/>
    <mergeCell ref="AI691:AI695"/>
    <mergeCell ref="S692:S694"/>
    <mergeCell ref="T692:T694"/>
    <mergeCell ref="U692:U694"/>
    <mergeCell ref="V692:V694"/>
    <mergeCell ref="W692:W694"/>
    <mergeCell ref="X692:X694"/>
    <mergeCell ref="Y692:Y694"/>
    <mergeCell ref="H691:H695"/>
    <mergeCell ref="I691:I695"/>
    <mergeCell ref="J691:J695"/>
    <mergeCell ref="K691:K695"/>
    <mergeCell ref="L691:L695"/>
    <mergeCell ref="M691:M695"/>
    <mergeCell ref="N692:N694"/>
    <mergeCell ref="O692:O694"/>
    <mergeCell ref="P703:P705"/>
    <mergeCell ref="Q703:Q705"/>
    <mergeCell ref="R703:R705"/>
    <mergeCell ref="G702:G706"/>
    <mergeCell ref="AJ702:AJ706"/>
    <mergeCell ref="AK702:AK706"/>
    <mergeCell ref="I713:K713"/>
    <mergeCell ref="F702:F713"/>
    <mergeCell ref="AF702:AF706"/>
    <mergeCell ref="AG702:AG706"/>
    <mergeCell ref="AH702:AH706"/>
    <mergeCell ref="AI702:AI706"/>
    <mergeCell ref="S703:S705"/>
    <mergeCell ref="T703:T705"/>
    <mergeCell ref="U703:U705"/>
    <mergeCell ref="V703:V705"/>
    <mergeCell ref="W703:W705"/>
    <mergeCell ref="X703:X705"/>
    <mergeCell ref="Y703:Y705"/>
    <mergeCell ref="H702:H706"/>
    <mergeCell ref="I702:I706"/>
    <mergeCell ref="J702:J706"/>
    <mergeCell ref="K702:K706"/>
    <mergeCell ref="L702:L706"/>
    <mergeCell ref="M702:M706"/>
    <mergeCell ref="N703:N705"/>
    <mergeCell ref="O703:O705"/>
    <mergeCell ref="H707:H712"/>
    <mergeCell ref="I707:I712"/>
    <mergeCell ref="J707:J712"/>
    <mergeCell ref="K707:K712"/>
    <mergeCell ref="L707:L712"/>
    <mergeCell ref="I725:K725"/>
    <mergeCell ref="F714:F725"/>
    <mergeCell ref="AF714:AF718"/>
    <mergeCell ref="AG714:AG718"/>
    <mergeCell ref="AH714:AH718"/>
    <mergeCell ref="AI714:AI718"/>
    <mergeCell ref="S715:S717"/>
    <mergeCell ref="T715:T717"/>
    <mergeCell ref="U715:U717"/>
    <mergeCell ref="V715:V717"/>
    <mergeCell ref="W715:W717"/>
    <mergeCell ref="X715:X717"/>
    <mergeCell ref="Y715:Y717"/>
    <mergeCell ref="H714:H718"/>
    <mergeCell ref="I714:I718"/>
    <mergeCell ref="J714:J718"/>
    <mergeCell ref="K714:K718"/>
    <mergeCell ref="L714:L718"/>
    <mergeCell ref="M714:M718"/>
    <mergeCell ref="N715:N717"/>
    <mergeCell ref="O715:O717"/>
    <mergeCell ref="P728:P730"/>
    <mergeCell ref="Q728:Q730"/>
    <mergeCell ref="R728:R730"/>
    <mergeCell ref="G727:G731"/>
    <mergeCell ref="AJ727:AJ731"/>
    <mergeCell ref="AK727:AK731"/>
    <mergeCell ref="I737:K737"/>
    <mergeCell ref="F727:F737"/>
    <mergeCell ref="AF727:AF731"/>
    <mergeCell ref="AG727:AG731"/>
    <mergeCell ref="AH727:AH731"/>
    <mergeCell ref="AI727:AI731"/>
    <mergeCell ref="S728:S730"/>
    <mergeCell ref="T728:T730"/>
    <mergeCell ref="U728:U730"/>
    <mergeCell ref="V728:V730"/>
    <mergeCell ref="W728:W730"/>
    <mergeCell ref="X728:X730"/>
    <mergeCell ref="Y728:Y730"/>
    <mergeCell ref="H727:H731"/>
    <mergeCell ref="I727:I731"/>
    <mergeCell ref="J727:J731"/>
    <mergeCell ref="K727:K731"/>
    <mergeCell ref="L727:L731"/>
    <mergeCell ref="M727:M731"/>
    <mergeCell ref="N728:N730"/>
    <mergeCell ref="O728:O730"/>
    <mergeCell ref="H732:H736"/>
    <mergeCell ref="I732:I736"/>
    <mergeCell ref="J732:J736"/>
    <mergeCell ref="K732:K736"/>
    <mergeCell ref="L732:L736"/>
    <mergeCell ref="P739:P741"/>
    <mergeCell ref="Q739:Q741"/>
    <mergeCell ref="R739:R741"/>
    <mergeCell ref="G738:G742"/>
    <mergeCell ref="AJ738:AJ742"/>
    <mergeCell ref="AK738:AK742"/>
    <mergeCell ref="I748:K748"/>
    <mergeCell ref="F738:F748"/>
    <mergeCell ref="AF738:AF742"/>
    <mergeCell ref="AG738:AG742"/>
    <mergeCell ref="AH738:AH742"/>
    <mergeCell ref="AI738:AI742"/>
    <mergeCell ref="S739:S741"/>
    <mergeCell ref="T739:T741"/>
    <mergeCell ref="U739:U741"/>
    <mergeCell ref="V739:V741"/>
    <mergeCell ref="W739:W741"/>
    <mergeCell ref="X739:X741"/>
    <mergeCell ref="Y739:Y741"/>
    <mergeCell ref="H738:H742"/>
    <mergeCell ref="I738:I742"/>
    <mergeCell ref="J738:J742"/>
    <mergeCell ref="K738:K742"/>
    <mergeCell ref="L738:L742"/>
    <mergeCell ref="M738:M742"/>
    <mergeCell ref="N739:N741"/>
    <mergeCell ref="O739:O741"/>
    <mergeCell ref="P750:P752"/>
    <mergeCell ref="Q750:Q752"/>
    <mergeCell ref="R750:R752"/>
    <mergeCell ref="G749:G753"/>
    <mergeCell ref="AJ749:AJ753"/>
    <mergeCell ref="AK749:AK753"/>
    <mergeCell ref="I759:K759"/>
    <mergeCell ref="F749:F759"/>
    <mergeCell ref="AF749:AF753"/>
    <mergeCell ref="AG749:AG753"/>
    <mergeCell ref="AH749:AH753"/>
    <mergeCell ref="AI749:AI753"/>
    <mergeCell ref="S750:S752"/>
    <mergeCell ref="T750:T752"/>
    <mergeCell ref="U750:U752"/>
    <mergeCell ref="V750:V752"/>
    <mergeCell ref="W750:W752"/>
    <mergeCell ref="X750:X752"/>
    <mergeCell ref="Y750:Y752"/>
    <mergeCell ref="H749:H753"/>
    <mergeCell ref="I749:I753"/>
    <mergeCell ref="J749:J753"/>
    <mergeCell ref="K749:K753"/>
    <mergeCell ref="L749:L753"/>
    <mergeCell ref="M749:M753"/>
    <mergeCell ref="N750:N752"/>
    <mergeCell ref="O750:O752"/>
    <mergeCell ref="H754:H758"/>
    <mergeCell ref="I754:I758"/>
    <mergeCell ref="J754:J758"/>
    <mergeCell ref="K754:K758"/>
    <mergeCell ref="L754:L758"/>
    <mergeCell ref="I771:K771"/>
    <mergeCell ref="F761:F771"/>
    <mergeCell ref="AF761:AF765"/>
    <mergeCell ref="AG761:AG765"/>
    <mergeCell ref="AH761:AH765"/>
    <mergeCell ref="AI761:AI765"/>
    <mergeCell ref="S762:S764"/>
    <mergeCell ref="T762:T764"/>
    <mergeCell ref="U762:U764"/>
    <mergeCell ref="V762:V764"/>
    <mergeCell ref="W762:W764"/>
    <mergeCell ref="X762:X764"/>
    <mergeCell ref="Y762:Y764"/>
    <mergeCell ref="H761:H765"/>
    <mergeCell ref="I761:I765"/>
    <mergeCell ref="J761:J765"/>
    <mergeCell ref="K761:K765"/>
    <mergeCell ref="L761:L765"/>
    <mergeCell ref="M761:M765"/>
    <mergeCell ref="N762:N764"/>
    <mergeCell ref="O762:O764"/>
    <mergeCell ref="P773:P775"/>
    <mergeCell ref="Q773:Q775"/>
    <mergeCell ref="R773:R775"/>
    <mergeCell ref="G772:G776"/>
    <mergeCell ref="AJ772:AJ776"/>
    <mergeCell ref="AK772:AK776"/>
    <mergeCell ref="I782:K782"/>
    <mergeCell ref="F772:F782"/>
    <mergeCell ref="AF772:AF776"/>
    <mergeCell ref="AG772:AG776"/>
    <mergeCell ref="AH772:AH776"/>
    <mergeCell ref="AI772:AI776"/>
    <mergeCell ref="S773:S775"/>
    <mergeCell ref="T773:T775"/>
    <mergeCell ref="U773:U775"/>
    <mergeCell ref="V773:V775"/>
    <mergeCell ref="W773:W775"/>
    <mergeCell ref="X773:X775"/>
    <mergeCell ref="Y773:Y775"/>
    <mergeCell ref="H772:H776"/>
    <mergeCell ref="I772:I776"/>
    <mergeCell ref="J772:J776"/>
    <mergeCell ref="K772:K776"/>
    <mergeCell ref="L772:L776"/>
    <mergeCell ref="M772:M776"/>
    <mergeCell ref="N773:N775"/>
    <mergeCell ref="O773:O775"/>
    <mergeCell ref="H777:H781"/>
    <mergeCell ref="I777:I781"/>
    <mergeCell ref="J777:J781"/>
    <mergeCell ref="K777:K781"/>
    <mergeCell ref="L777:L781"/>
    <mergeCell ref="P784:P786"/>
    <mergeCell ref="Q784:Q786"/>
    <mergeCell ref="R784:R786"/>
    <mergeCell ref="G783:G787"/>
    <mergeCell ref="AJ783:AJ787"/>
    <mergeCell ref="AK783:AK787"/>
    <mergeCell ref="I793:K793"/>
    <mergeCell ref="F783:F793"/>
    <mergeCell ref="AF783:AF787"/>
    <mergeCell ref="AG783:AG787"/>
    <mergeCell ref="AH783:AH787"/>
    <mergeCell ref="AI783:AI787"/>
    <mergeCell ref="S784:S786"/>
    <mergeCell ref="T784:T786"/>
    <mergeCell ref="U784:U786"/>
    <mergeCell ref="V784:V786"/>
    <mergeCell ref="W784:W786"/>
    <mergeCell ref="X784:X786"/>
    <mergeCell ref="Y784:Y786"/>
    <mergeCell ref="H783:H787"/>
    <mergeCell ref="I783:I787"/>
    <mergeCell ref="J783:J787"/>
    <mergeCell ref="K783:K787"/>
    <mergeCell ref="L783:L787"/>
    <mergeCell ref="M783:M787"/>
    <mergeCell ref="N784:N786"/>
    <mergeCell ref="O784:O786"/>
    <mergeCell ref="P795:P797"/>
    <mergeCell ref="Q795:Q797"/>
    <mergeCell ref="R795:R797"/>
    <mergeCell ref="G794:G798"/>
    <mergeCell ref="AJ794:AJ798"/>
    <mergeCell ref="AK794:AK798"/>
    <mergeCell ref="I804:K804"/>
    <mergeCell ref="F794:F804"/>
    <mergeCell ref="AF794:AF798"/>
    <mergeCell ref="AG794:AG798"/>
    <mergeCell ref="AH794:AH798"/>
    <mergeCell ref="AI794:AI798"/>
    <mergeCell ref="S795:S797"/>
    <mergeCell ref="T795:T797"/>
    <mergeCell ref="U795:U797"/>
    <mergeCell ref="V795:V797"/>
    <mergeCell ref="W795:W797"/>
    <mergeCell ref="X795:X797"/>
    <mergeCell ref="Y795:Y797"/>
    <mergeCell ref="H794:H798"/>
    <mergeCell ref="I794:I798"/>
    <mergeCell ref="J794:J798"/>
    <mergeCell ref="K794:K798"/>
    <mergeCell ref="L794:L798"/>
    <mergeCell ref="M794:M798"/>
    <mergeCell ref="N795:N797"/>
    <mergeCell ref="O795:O797"/>
    <mergeCell ref="H799:H803"/>
    <mergeCell ref="I799:I803"/>
    <mergeCell ref="J799:J803"/>
    <mergeCell ref="K799:K803"/>
    <mergeCell ref="L799:L803"/>
    <mergeCell ref="I815:K815"/>
    <mergeCell ref="F805:F815"/>
    <mergeCell ref="AF805:AF809"/>
    <mergeCell ref="AG805:AG809"/>
    <mergeCell ref="AH805:AH809"/>
    <mergeCell ref="AI805:AI809"/>
    <mergeCell ref="S806:S808"/>
    <mergeCell ref="T806:T808"/>
    <mergeCell ref="U806:U808"/>
    <mergeCell ref="V806:V808"/>
    <mergeCell ref="W806:W808"/>
    <mergeCell ref="X806:X808"/>
    <mergeCell ref="Y806:Y808"/>
    <mergeCell ref="H805:H809"/>
    <mergeCell ref="I805:I809"/>
    <mergeCell ref="J805:J809"/>
    <mergeCell ref="K805:K809"/>
    <mergeCell ref="L805:L809"/>
    <mergeCell ref="M805:M809"/>
    <mergeCell ref="N806:N808"/>
    <mergeCell ref="O806:O808"/>
    <mergeCell ref="P817:P819"/>
    <mergeCell ref="Q817:Q819"/>
    <mergeCell ref="R817:R819"/>
    <mergeCell ref="G816:G820"/>
    <mergeCell ref="AJ816:AJ820"/>
    <mergeCell ref="AK816:AK820"/>
    <mergeCell ref="I826:K826"/>
    <mergeCell ref="F816:F826"/>
    <mergeCell ref="AF816:AF820"/>
    <mergeCell ref="AG816:AG820"/>
    <mergeCell ref="AH816:AH820"/>
    <mergeCell ref="AI816:AI820"/>
    <mergeCell ref="S817:S819"/>
    <mergeCell ref="T817:T819"/>
    <mergeCell ref="U817:U819"/>
    <mergeCell ref="V817:V819"/>
    <mergeCell ref="W817:W819"/>
    <mergeCell ref="X817:X819"/>
    <mergeCell ref="Y817:Y819"/>
    <mergeCell ref="H816:H820"/>
    <mergeCell ref="I816:I820"/>
    <mergeCell ref="J816:J820"/>
    <mergeCell ref="K816:K820"/>
    <mergeCell ref="L816:L820"/>
    <mergeCell ref="M816:M820"/>
    <mergeCell ref="N817:N819"/>
    <mergeCell ref="O817:O819"/>
    <mergeCell ref="H821:H825"/>
    <mergeCell ref="I821:I825"/>
    <mergeCell ref="J821:J825"/>
    <mergeCell ref="K821:K825"/>
    <mergeCell ref="L821:L825"/>
    <mergeCell ref="P828:P830"/>
    <mergeCell ref="Q828:Q830"/>
    <mergeCell ref="R828:R830"/>
    <mergeCell ref="G827:G831"/>
    <mergeCell ref="AJ827:AJ831"/>
    <mergeCell ref="AK827:AK831"/>
    <mergeCell ref="I837:K837"/>
    <mergeCell ref="F827:F837"/>
    <mergeCell ref="AF827:AF831"/>
    <mergeCell ref="AG827:AG831"/>
    <mergeCell ref="AH827:AH831"/>
    <mergeCell ref="AI827:AI831"/>
    <mergeCell ref="S828:S830"/>
    <mergeCell ref="T828:T830"/>
    <mergeCell ref="U828:U830"/>
    <mergeCell ref="V828:V830"/>
    <mergeCell ref="W828:W830"/>
    <mergeCell ref="X828:X830"/>
    <mergeCell ref="Y828:Y830"/>
    <mergeCell ref="H827:H831"/>
    <mergeCell ref="I827:I831"/>
    <mergeCell ref="J827:J831"/>
    <mergeCell ref="K827:K831"/>
    <mergeCell ref="L827:L831"/>
    <mergeCell ref="M827:M831"/>
    <mergeCell ref="N828:N830"/>
    <mergeCell ref="O828:O830"/>
    <mergeCell ref="P839:P841"/>
    <mergeCell ref="Q839:Q841"/>
    <mergeCell ref="R839:R841"/>
    <mergeCell ref="G838:G842"/>
    <mergeCell ref="AJ838:AJ842"/>
    <mergeCell ref="AK838:AK842"/>
    <mergeCell ref="I848:K848"/>
    <mergeCell ref="F838:F848"/>
    <mergeCell ref="AF838:AF842"/>
    <mergeCell ref="AG838:AG842"/>
    <mergeCell ref="AH838:AH842"/>
    <mergeCell ref="AI838:AI842"/>
    <mergeCell ref="S839:S841"/>
    <mergeCell ref="T839:T841"/>
    <mergeCell ref="U839:U841"/>
    <mergeCell ref="V839:V841"/>
    <mergeCell ref="W839:W841"/>
    <mergeCell ref="X839:X841"/>
    <mergeCell ref="Y839:Y841"/>
    <mergeCell ref="H838:H842"/>
    <mergeCell ref="I838:I842"/>
    <mergeCell ref="J838:J842"/>
    <mergeCell ref="K838:K842"/>
    <mergeCell ref="L838:L842"/>
    <mergeCell ref="M838:M842"/>
    <mergeCell ref="N839:N841"/>
    <mergeCell ref="O839:O841"/>
    <mergeCell ref="H843:H847"/>
    <mergeCell ref="I843:I847"/>
    <mergeCell ref="J843:J847"/>
    <mergeCell ref="K843:K847"/>
    <mergeCell ref="L843:L847"/>
    <mergeCell ref="I859:K859"/>
    <mergeCell ref="F849:F859"/>
    <mergeCell ref="AF849:AF853"/>
    <mergeCell ref="AG849:AG853"/>
    <mergeCell ref="AH849:AH853"/>
    <mergeCell ref="AI849:AI853"/>
    <mergeCell ref="S850:S852"/>
    <mergeCell ref="T850:T852"/>
    <mergeCell ref="U850:U852"/>
    <mergeCell ref="V850:V852"/>
    <mergeCell ref="W850:W852"/>
    <mergeCell ref="X850:X852"/>
    <mergeCell ref="Y850:Y852"/>
    <mergeCell ref="H849:H853"/>
    <mergeCell ref="I849:I853"/>
    <mergeCell ref="J849:J853"/>
    <mergeCell ref="K849:K853"/>
    <mergeCell ref="L849:L853"/>
    <mergeCell ref="M849:M853"/>
    <mergeCell ref="N850:N852"/>
    <mergeCell ref="O850:O852"/>
    <mergeCell ref="P861:P863"/>
    <mergeCell ref="Q861:Q863"/>
    <mergeCell ref="R861:R863"/>
    <mergeCell ref="G860:G864"/>
    <mergeCell ref="AJ860:AJ864"/>
    <mergeCell ref="AK860:AK864"/>
    <mergeCell ref="I870:K870"/>
    <mergeCell ref="F860:F870"/>
    <mergeCell ref="AF860:AF864"/>
    <mergeCell ref="AG860:AG864"/>
    <mergeCell ref="AH860:AH864"/>
    <mergeCell ref="AI860:AI864"/>
    <mergeCell ref="S861:S863"/>
    <mergeCell ref="T861:T863"/>
    <mergeCell ref="U861:U863"/>
    <mergeCell ref="V861:V863"/>
    <mergeCell ref="W861:W863"/>
    <mergeCell ref="X861:X863"/>
    <mergeCell ref="Y861:Y863"/>
    <mergeCell ref="H860:H864"/>
    <mergeCell ref="I860:I864"/>
    <mergeCell ref="J860:J864"/>
    <mergeCell ref="K860:K864"/>
    <mergeCell ref="L860:L864"/>
    <mergeCell ref="M860:M864"/>
    <mergeCell ref="N861:N863"/>
    <mergeCell ref="O861:O863"/>
    <mergeCell ref="H865:H869"/>
    <mergeCell ref="I865:I869"/>
    <mergeCell ref="J865:J869"/>
    <mergeCell ref="K865:K869"/>
    <mergeCell ref="L865:L869"/>
    <mergeCell ref="P872:P874"/>
    <mergeCell ref="Q872:Q874"/>
    <mergeCell ref="R872:R874"/>
    <mergeCell ref="G871:G875"/>
    <mergeCell ref="AJ871:AJ875"/>
    <mergeCell ref="AK871:AK875"/>
    <mergeCell ref="I881:K881"/>
    <mergeCell ref="F871:F881"/>
    <mergeCell ref="AF871:AF875"/>
    <mergeCell ref="AG871:AG875"/>
    <mergeCell ref="AH871:AH875"/>
    <mergeCell ref="AI871:AI875"/>
    <mergeCell ref="S872:S874"/>
    <mergeCell ref="T872:T874"/>
    <mergeCell ref="U872:U874"/>
    <mergeCell ref="V872:V874"/>
    <mergeCell ref="W872:W874"/>
    <mergeCell ref="X872:X874"/>
    <mergeCell ref="Y872:Y874"/>
    <mergeCell ref="H871:H875"/>
    <mergeCell ref="I871:I875"/>
    <mergeCell ref="J871:J875"/>
    <mergeCell ref="K871:K875"/>
    <mergeCell ref="L871:L875"/>
    <mergeCell ref="M871:M875"/>
    <mergeCell ref="N872:N874"/>
    <mergeCell ref="O872:O874"/>
    <mergeCell ref="P883:P885"/>
    <mergeCell ref="Q883:Q885"/>
    <mergeCell ref="R883:R885"/>
    <mergeCell ref="G882:G886"/>
    <mergeCell ref="AJ882:AJ886"/>
    <mergeCell ref="AK882:AK886"/>
    <mergeCell ref="I892:K892"/>
    <mergeCell ref="F882:F892"/>
    <mergeCell ref="AF882:AF886"/>
    <mergeCell ref="AG882:AG886"/>
    <mergeCell ref="AH882:AH886"/>
    <mergeCell ref="AI882:AI886"/>
    <mergeCell ref="S883:S885"/>
    <mergeCell ref="T883:T885"/>
    <mergeCell ref="U883:U885"/>
    <mergeCell ref="V883:V885"/>
    <mergeCell ref="W883:W885"/>
    <mergeCell ref="X883:X885"/>
    <mergeCell ref="Y883:Y885"/>
    <mergeCell ref="H882:H886"/>
    <mergeCell ref="I882:I886"/>
    <mergeCell ref="J882:J886"/>
    <mergeCell ref="K882:K886"/>
    <mergeCell ref="L882:L886"/>
    <mergeCell ref="M882:M886"/>
    <mergeCell ref="N883:N885"/>
    <mergeCell ref="O883:O885"/>
    <mergeCell ref="H887:H891"/>
    <mergeCell ref="I887:I891"/>
    <mergeCell ref="J887:J891"/>
    <mergeCell ref="K887:K891"/>
    <mergeCell ref="L887:L891"/>
    <mergeCell ref="I903:K903"/>
    <mergeCell ref="F893:F903"/>
    <mergeCell ref="AF893:AF897"/>
    <mergeCell ref="AG893:AG897"/>
    <mergeCell ref="AH893:AH897"/>
    <mergeCell ref="AI893:AI897"/>
    <mergeCell ref="S894:S896"/>
    <mergeCell ref="T894:T896"/>
    <mergeCell ref="U894:U896"/>
    <mergeCell ref="V894:V896"/>
    <mergeCell ref="W894:W896"/>
    <mergeCell ref="X894:X896"/>
    <mergeCell ref="Y894:Y896"/>
    <mergeCell ref="H893:H897"/>
    <mergeCell ref="I893:I897"/>
    <mergeCell ref="J893:J897"/>
    <mergeCell ref="K893:K897"/>
    <mergeCell ref="L893:L897"/>
    <mergeCell ref="M893:M897"/>
    <mergeCell ref="N894:N896"/>
    <mergeCell ref="O894:O896"/>
    <mergeCell ref="P905:P907"/>
    <mergeCell ref="Q905:Q907"/>
    <mergeCell ref="R905:R907"/>
    <mergeCell ref="G904:G908"/>
    <mergeCell ref="AJ904:AJ908"/>
    <mergeCell ref="AK904:AK908"/>
    <mergeCell ref="I914:K914"/>
    <mergeCell ref="F904:F914"/>
    <mergeCell ref="AF904:AF908"/>
    <mergeCell ref="AG904:AG908"/>
    <mergeCell ref="AH904:AH908"/>
    <mergeCell ref="AI904:AI908"/>
    <mergeCell ref="S905:S907"/>
    <mergeCell ref="T905:T907"/>
    <mergeCell ref="U905:U907"/>
    <mergeCell ref="V905:V907"/>
    <mergeCell ref="W905:W907"/>
    <mergeCell ref="X905:X907"/>
    <mergeCell ref="Y905:Y907"/>
    <mergeCell ref="H904:H908"/>
    <mergeCell ref="I904:I908"/>
    <mergeCell ref="J904:J908"/>
    <mergeCell ref="K904:K908"/>
    <mergeCell ref="L904:L908"/>
    <mergeCell ref="M904:M908"/>
    <mergeCell ref="N905:N907"/>
    <mergeCell ref="O905:O907"/>
    <mergeCell ref="H909:H913"/>
    <mergeCell ref="I909:I913"/>
    <mergeCell ref="J909:J913"/>
    <mergeCell ref="K909:K913"/>
    <mergeCell ref="L909:L913"/>
    <mergeCell ref="P916:P918"/>
    <mergeCell ref="Q916:Q918"/>
    <mergeCell ref="R916:R918"/>
    <mergeCell ref="G915:G919"/>
    <mergeCell ref="AJ915:AJ919"/>
    <mergeCell ref="AK915:AK919"/>
    <mergeCell ref="I925:K925"/>
    <mergeCell ref="F915:F925"/>
    <mergeCell ref="AF915:AF919"/>
    <mergeCell ref="AG915:AG919"/>
    <mergeCell ref="AH915:AH919"/>
    <mergeCell ref="AI915:AI919"/>
    <mergeCell ref="S916:S918"/>
    <mergeCell ref="T916:T918"/>
    <mergeCell ref="U916:U918"/>
    <mergeCell ref="V916:V918"/>
    <mergeCell ref="W916:W918"/>
    <mergeCell ref="X916:X918"/>
    <mergeCell ref="Y916:Y918"/>
    <mergeCell ref="H915:H919"/>
    <mergeCell ref="I915:I919"/>
    <mergeCell ref="J915:J919"/>
    <mergeCell ref="K915:K919"/>
    <mergeCell ref="L915:L919"/>
    <mergeCell ref="M915:M919"/>
    <mergeCell ref="N916:N918"/>
    <mergeCell ref="O916:O918"/>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36:H40"/>
    <mergeCell ref="I36:I40"/>
    <mergeCell ref="J36:J40"/>
    <mergeCell ref="K36:K40"/>
    <mergeCell ref="L36:L40"/>
    <mergeCell ref="M36:M40"/>
    <mergeCell ref="AF36:AF40"/>
    <mergeCell ref="AG36:AG40"/>
    <mergeCell ref="AH36:AH40"/>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G36:G40"/>
    <mergeCell ref="H25:H29"/>
    <mergeCell ref="I25:I29"/>
    <mergeCell ref="J25:J29"/>
    <mergeCell ref="K25:K29"/>
    <mergeCell ref="L25:L29"/>
    <mergeCell ref="M25:M29"/>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41:G45"/>
    <mergeCell ref="H52:H57"/>
    <mergeCell ref="I52:I57"/>
    <mergeCell ref="J52:J57"/>
    <mergeCell ref="K52:K57"/>
    <mergeCell ref="L52:L57"/>
    <mergeCell ref="M52:M57"/>
    <mergeCell ref="AF52:AF57"/>
    <mergeCell ref="AG52:AG57"/>
    <mergeCell ref="AH52:AH57"/>
    <mergeCell ref="AI52:AI57"/>
    <mergeCell ref="AJ52:AJ57"/>
    <mergeCell ref="AK52:AK57"/>
    <mergeCell ref="N53:N56"/>
    <mergeCell ref="O53:O56"/>
    <mergeCell ref="P53:P56"/>
    <mergeCell ref="Q53:Q56"/>
    <mergeCell ref="R53:R56"/>
    <mergeCell ref="X53:X56"/>
    <mergeCell ref="Y53:Y56"/>
    <mergeCell ref="G52:G57"/>
    <mergeCell ref="H58:H62"/>
    <mergeCell ref="I58:I62"/>
    <mergeCell ref="J58:J62"/>
    <mergeCell ref="K58:K62"/>
    <mergeCell ref="L58:L62"/>
    <mergeCell ref="M58:M62"/>
    <mergeCell ref="AF58:AF62"/>
    <mergeCell ref="AG58:AG62"/>
    <mergeCell ref="AH58:AH62"/>
    <mergeCell ref="AI58:AI62"/>
    <mergeCell ref="AJ58:AJ62"/>
    <mergeCell ref="AK58:AK62"/>
    <mergeCell ref="N59:N61"/>
    <mergeCell ref="O59:O61"/>
    <mergeCell ref="P59:P61"/>
    <mergeCell ref="Q59:Q61"/>
    <mergeCell ref="R59:R61"/>
    <mergeCell ref="S59:S61"/>
    <mergeCell ref="T59:T61"/>
    <mergeCell ref="U59:U61"/>
    <mergeCell ref="V59:V61"/>
    <mergeCell ref="W59:W61"/>
    <mergeCell ref="X59:X61"/>
    <mergeCell ref="Y59:Y61"/>
    <mergeCell ref="G58:G62"/>
    <mergeCell ref="S76:S78"/>
    <mergeCell ref="T76:T78"/>
    <mergeCell ref="U76:U78"/>
    <mergeCell ref="V76:V78"/>
    <mergeCell ref="W76:W78"/>
    <mergeCell ref="X76:X78"/>
    <mergeCell ref="Y76:Y78"/>
    <mergeCell ref="G75:G79"/>
    <mergeCell ref="M69:M74"/>
    <mergeCell ref="AF69:AF74"/>
    <mergeCell ref="AG69:AG74"/>
    <mergeCell ref="AH69:AH74"/>
    <mergeCell ref="AI69:AI74"/>
    <mergeCell ref="AJ69:AJ74"/>
    <mergeCell ref="AK69:AK74"/>
    <mergeCell ref="N70:N73"/>
    <mergeCell ref="O70:O73"/>
    <mergeCell ref="P70:P73"/>
    <mergeCell ref="Q70:Q73"/>
    <mergeCell ref="R70:R73"/>
    <mergeCell ref="S70:S73"/>
    <mergeCell ref="T70:T73"/>
    <mergeCell ref="U70:U73"/>
    <mergeCell ref="V70:V73"/>
    <mergeCell ref="W70:W73"/>
    <mergeCell ref="X70:X73"/>
    <mergeCell ref="Y70:Y73"/>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G69:G74"/>
    <mergeCell ref="H75:H79"/>
    <mergeCell ref="I75:I79"/>
    <mergeCell ref="J75:J79"/>
    <mergeCell ref="K75:K79"/>
    <mergeCell ref="L75:L79"/>
    <mergeCell ref="M75:M79"/>
    <mergeCell ref="AF75:AF79"/>
    <mergeCell ref="AG75:AG79"/>
    <mergeCell ref="AH75:AH79"/>
    <mergeCell ref="AI75:AI79"/>
    <mergeCell ref="AJ75:AJ79"/>
    <mergeCell ref="AK75:AK79"/>
    <mergeCell ref="N76:N78"/>
    <mergeCell ref="O76:O78"/>
    <mergeCell ref="P76:P78"/>
    <mergeCell ref="Q76:Q78"/>
    <mergeCell ref="R76:R78"/>
    <mergeCell ref="T92:T95"/>
    <mergeCell ref="U92:U95"/>
    <mergeCell ref="V92:V95"/>
    <mergeCell ref="W92:W95"/>
    <mergeCell ref="X92:X95"/>
    <mergeCell ref="Y92:Y95"/>
    <mergeCell ref="G91:G96"/>
    <mergeCell ref="H80:H84"/>
    <mergeCell ref="I80:I84"/>
    <mergeCell ref="J80:J84"/>
    <mergeCell ref="K80:K84"/>
    <mergeCell ref="L80:L84"/>
    <mergeCell ref="M80:M84"/>
    <mergeCell ref="AF80:AF84"/>
    <mergeCell ref="AG80:AG84"/>
    <mergeCell ref="AH80:AH84"/>
    <mergeCell ref="AI80:AI84"/>
    <mergeCell ref="P87:P89"/>
    <mergeCell ref="Q87:Q89"/>
    <mergeCell ref="R87:R89"/>
    <mergeCell ref="G86:G90"/>
    <mergeCell ref="AK97:AK101"/>
    <mergeCell ref="N98:N100"/>
    <mergeCell ref="O98:O100"/>
    <mergeCell ref="P98:P100"/>
    <mergeCell ref="Q98:Q100"/>
    <mergeCell ref="R98:R100"/>
    <mergeCell ref="S98:S100"/>
    <mergeCell ref="T98:T100"/>
    <mergeCell ref="U98:U100"/>
    <mergeCell ref="V98:V100"/>
    <mergeCell ref="W98:W100"/>
    <mergeCell ref="X98:X100"/>
    <mergeCell ref="Y98:Y100"/>
    <mergeCell ref="G80:G84"/>
    <mergeCell ref="H91:H96"/>
    <mergeCell ref="I91:I96"/>
    <mergeCell ref="J91:J96"/>
    <mergeCell ref="K91:K96"/>
    <mergeCell ref="L91:L96"/>
    <mergeCell ref="M91:M96"/>
    <mergeCell ref="AF91:AF96"/>
    <mergeCell ref="AG91:AG96"/>
    <mergeCell ref="AH91:AH96"/>
    <mergeCell ref="AI91:AI96"/>
    <mergeCell ref="AJ91:AJ96"/>
    <mergeCell ref="AK91:AK96"/>
    <mergeCell ref="N92:N95"/>
    <mergeCell ref="O92:O95"/>
    <mergeCell ref="P92:P95"/>
    <mergeCell ref="Q92:Q95"/>
    <mergeCell ref="R92:R95"/>
    <mergeCell ref="S92:S95"/>
    <mergeCell ref="G97:G101"/>
    <mergeCell ref="H108:H113"/>
    <mergeCell ref="I108:I113"/>
    <mergeCell ref="J108:J113"/>
    <mergeCell ref="K108:K113"/>
    <mergeCell ref="L108:L113"/>
    <mergeCell ref="M108:M113"/>
    <mergeCell ref="AF108:AF113"/>
    <mergeCell ref="AG108:AG113"/>
    <mergeCell ref="AH108:AH113"/>
    <mergeCell ref="AI108:AI113"/>
    <mergeCell ref="AJ108:AJ113"/>
    <mergeCell ref="AK108:AK113"/>
    <mergeCell ref="N109:N112"/>
    <mergeCell ref="O109:O112"/>
    <mergeCell ref="P109:P112"/>
    <mergeCell ref="Q109:Q112"/>
    <mergeCell ref="R109:R112"/>
    <mergeCell ref="S109:S112"/>
    <mergeCell ref="T109:T112"/>
    <mergeCell ref="U109:U112"/>
    <mergeCell ref="V109:V112"/>
    <mergeCell ref="W109:W112"/>
    <mergeCell ref="X109:X112"/>
    <mergeCell ref="Y109:Y112"/>
    <mergeCell ref="G108:G113"/>
    <mergeCell ref="M97:M101"/>
    <mergeCell ref="AF97:AF101"/>
    <mergeCell ref="AG97:AG101"/>
    <mergeCell ref="AH97:AH101"/>
    <mergeCell ref="AI97:AI101"/>
    <mergeCell ref="AJ97:AJ101"/>
    <mergeCell ref="T126:T129"/>
    <mergeCell ref="U126:U129"/>
    <mergeCell ref="V126:V129"/>
    <mergeCell ref="W126:W129"/>
    <mergeCell ref="X126:X129"/>
    <mergeCell ref="Y126:Y129"/>
    <mergeCell ref="G125:G130"/>
    <mergeCell ref="M114:M118"/>
    <mergeCell ref="AF114:AF118"/>
    <mergeCell ref="AG114:AG118"/>
    <mergeCell ref="AH114:AH118"/>
    <mergeCell ref="AI114:AI118"/>
    <mergeCell ref="AJ114:AJ118"/>
    <mergeCell ref="AK114:AK118"/>
    <mergeCell ref="N115:N117"/>
    <mergeCell ref="O115:O117"/>
    <mergeCell ref="P115:P117"/>
    <mergeCell ref="Q115:Q117"/>
    <mergeCell ref="R115:R117"/>
    <mergeCell ref="S115:S117"/>
    <mergeCell ref="T115:T117"/>
    <mergeCell ref="U115:U117"/>
    <mergeCell ref="V115:V117"/>
    <mergeCell ref="W115:W117"/>
    <mergeCell ref="X115:X117"/>
    <mergeCell ref="Y115:Y117"/>
    <mergeCell ref="P121:P123"/>
    <mergeCell ref="Q121:Q123"/>
    <mergeCell ref="R121:R123"/>
    <mergeCell ref="G120:G124"/>
    <mergeCell ref="AJ120:AJ124"/>
    <mergeCell ref="AK120:AK124"/>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114:G118"/>
    <mergeCell ref="H125:H130"/>
    <mergeCell ref="I125:I130"/>
    <mergeCell ref="J125:J130"/>
    <mergeCell ref="K125:K130"/>
    <mergeCell ref="L125:L130"/>
    <mergeCell ref="M125:M130"/>
    <mergeCell ref="AF125:AF130"/>
    <mergeCell ref="AG125:AG130"/>
    <mergeCell ref="AH125:AH130"/>
    <mergeCell ref="AI125:AI130"/>
    <mergeCell ref="AJ125:AJ130"/>
    <mergeCell ref="AK125:AK130"/>
    <mergeCell ref="N126:N129"/>
    <mergeCell ref="O126:O129"/>
    <mergeCell ref="P126:P129"/>
    <mergeCell ref="Q126:Q129"/>
    <mergeCell ref="R126:R129"/>
    <mergeCell ref="S126:S129"/>
    <mergeCell ref="G138:G142"/>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43:G147"/>
    <mergeCell ref="M138:M142"/>
    <mergeCell ref="AF138:AF142"/>
    <mergeCell ref="AG138:AG142"/>
    <mergeCell ref="AH138:AH142"/>
    <mergeCell ref="AI138:AI142"/>
    <mergeCell ref="AJ138:AJ142"/>
    <mergeCell ref="AF148:AF152"/>
    <mergeCell ref="AG148:AG152"/>
    <mergeCell ref="AH148:AH152"/>
    <mergeCell ref="AI148:AI15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G148:G152"/>
    <mergeCell ref="H159:H165"/>
    <mergeCell ref="I159:I165"/>
    <mergeCell ref="J159:J165"/>
    <mergeCell ref="K159:K165"/>
    <mergeCell ref="L159:L165"/>
    <mergeCell ref="M159:M165"/>
    <mergeCell ref="AF159:AF165"/>
    <mergeCell ref="AG159:AG165"/>
    <mergeCell ref="AH159:AH165"/>
    <mergeCell ref="AI159:AI165"/>
    <mergeCell ref="AJ159:AJ165"/>
    <mergeCell ref="AK159:AK165"/>
    <mergeCell ref="N160:N164"/>
    <mergeCell ref="O160:O164"/>
    <mergeCell ref="P160:P164"/>
    <mergeCell ref="Q160:Q164"/>
    <mergeCell ref="R160:R164"/>
    <mergeCell ref="S160:S164"/>
    <mergeCell ref="T160:T164"/>
    <mergeCell ref="U160:U164"/>
    <mergeCell ref="V160:V164"/>
    <mergeCell ref="W160:W164"/>
    <mergeCell ref="X160:X164"/>
    <mergeCell ref="Y160:Y164"/>
    <mergeCell ref="G159:G165"/>
    <mergeCell ref="H148:H152"/>
    <mergeCell ref="I148:I152"/>
    <mergeCell ref="J148:J152"/>
    <mergeCell ref="K148:K152"/>
    <mergeCell ref="L148:L152"/>
    <mergeCell ref="M148:M152"/>
    <mergeCell ref="S172:S174"/>
    <mergeCell ref="T172:T174"/>
    <mergeCell ref="U172:U174"/>
    <mergeCell ref="V172:V174"/>
    <mergeCell ref="W172:W174"/>
    <mergeCell ref="X172:X174"/>
    <mergeCell ref="Y172:Y174"/>
    <mergeCell ref="G171:G175"/>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66:G170"/>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T188:T190"/>
    <mergeCell ref="U188:U190"/>
    <mergeCell ref="V188:V190"/>
    <mergeCell ref="W188:W190"/>
    <mergeCell ref="X188:X190"/>
    <mergeCell ref="Y188:Y190"/>
    <mergeCell ref="G187:G191"/>
    <mergeCell ref="H176:H180"/>
    <mergeCell ref="I176:I180"/>
    <mergeCell ref="J176:J180"/>
    <mergeCell ref="K176:K180"/>
    <mergeCell ref="L176:L180"/>
    <mergeCell ref="M176:M180"/>
    <mergeCell ref="AF176:AF180"/>
    <mergeCell ref="AG176:AG180"/>
    <mergeCell ref="AH176:AH180"/>
    <mergeCell ref="AI176:AI180"/>
    <mergeCell ref="P183:P185"/>
    <mergeCell ref="Q183:Q185"/>
    <mergeCell ref="R183:R185"/>
    <mergeCell ref="G182:G18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76:G180"/>
    <mergeCell ref="H187:H191"/>
    <mergeCell ref="I187:I191"/>
    <mergeCell ref="J187:J191"/>
    <mergeCell ref="K187:K191"/>
    <mergeCell ref="L187:L191"/>
    <mergeCell ref="M187:M191"/>
    <mergeCell ref="AF187:AF191"/>
    <mergeCell ref="AG187:AG191"/>
    <mergeCell ref="AH187:AH191"/>
    <mergeCell ref="AI187:AI191"/>
    <mergeCell ref="AJ187:AJ191"/>
    <mergeCell ref="AK187:AK191"/>
    <mergeCell ref="N188:N190"/>
    <mergeCell ref="O188:O190"/>
    <mergeCell ref="P188:P190"/>
    <mergeCell ref="Q188:Q190"/>
    <mergeCell ref="R188:R190"/>
    <mergeCell ref="S188:S190"/>
    <mergeCell ref="G192:G196"/>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97:G201"/>
    <mergeCell ref="M192:M196"/>
    <mergeCell ref="AF192:AF196"/>
    <mergeCell ref="AG192:AG196"/>
    <mergeCell ref="AH192:AH196"/>
    <mergeCell ref="AI192:AI196"/>
    <mergeCell ref="AJ192:AJ196"/>
    <mergeCell ref="AF202:AF208"/>
    <mergeCell ref="AG202:AG208"/>
    <mergeCell ref="AH202:AH208"/>
    <mergeCell ref="AI202:AI208"/>
    <mergeCell ref="AJ202:AJ208"/>
    <mergeCell ref="AK202:AK208"/>
    <mergeCell ref="N203:N207"/>
    <mergeCell ref="O203:O207"/>
    <mergeCell ref="P203:P207"/>
    <mergeCell ref="Q203:Q207"/>
    <mergeCell ref="R203:R207"/>
    <mergeCell ref="S203:S207"/>
    <mergeCell ref="T203:T207"/>
    <mergeCell ref="U203:U207"/>
    <mergeCell ref="V203:V207"/>
    <mergeCell ref="W203:W207"/>
    <mergeCell ref="X203:X207"/>
    <mergeCell ref="Y203:Y207"/>
    <mergeCell ref="G202:G208"/>
    <mergeCell ref="H209:H213"/>
    <mergeCell ref="I209:I213"/>
    <mergeCell ref="J209:J213"/>
    <mergeCell ref="K209:K213"/>
    <mergeCell ref="L209:L213"/>
    <mergeCell ref="M209:M213"/>
    <mergeCell ref="AF209:AF213"/>
    <mergeCell ref="AG209:AG213"/>
    <mergeCell ref="AH209:AH213"/>
    <mergeCell ref="AI209:AI213"/>
    <mergeCell ref="AJ209:AJ213"/>
    <mergeCell ref="AK209:AK213"/>
    <mergeCell ref="N210:N212"/>
    <mergeCell ref="O210:O212"/>
    <mergeCell ref="P210:P212"/>
    <mergeCell ref="Q210:Q212"/>
    <mergeCell ref="R210:R212"/>
    <mergeCell ref="S210:S212"/>
    <mergeCell ref="T210:T212"/>
    <mergeCell ref="U210:U212"/>
    <mergeCell ref="V210:V212"/>
    <mergeCell ref="W210:W212"/>
    <mergeCell ref="X210:X212"/>
    <mergeCell ref="Y210:Y212"/>
    <mergeCell ref="G209:G213"/>
    <mergeCell ref="H202:H208"/>
    <mergeCell ref="I202:I208"/>
    <mergeCell ref="J202:J208"/>
    <mergeCell ref="K202:K208"/>
    <mergeCell ref="L202:L208"/>
    <mergeCell ref="M202:M208"/>
    <mergeCell ref="R226:R228"/>
    <mergeCell ref="S226:S228"/>
    <mergeCell ref="T226:T228"/>
    <mergeCell ref="U226:U228"/>
    <mergeCell ref="V226:V228"/>
    <mergeCell ref="W226:W228"/>
    <mergeCell ref="X226:X228"/>
    <mergeCell ref="Y226:Y228"/>
    <mergeCell ref="G225:G229"/>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S236:S240"/>
    <mergeCell ref="T236:T240"/>
    <mergeCell ref="U236:U240"/>
    <mergeCell ref="V236:V240"/>
    <mergeCell ref="W236:W240"/>
    <mergeCell ref="X236:X240"/>
    <mergeCell ref="Y236:Y240"/>
    <mergeCell ref="G235:G241"/>
    <mergeCell ref="H230:H234"/>
    <mergeCell ref="I230:I234"/>
    <mergeCell ref="J230:J234"/>
    <mergeCell ref="K230:K234"/>
    <mergeCell ref="L230:L234"/>
    <mergeCell ref="M230:M234"/>
    <mergeCell ref="AF230:AF234"/>
    <mergeCell ref="AG230:AG234"/>
    <mergeCell ref="AH230:AH234"/>
    <mergeCell ref="AJ242:AJ246"/>
    <mergeCell ref="AK242:AK246"/>
    <mergeCell ref="N243:N245"/>
    <mergeCell ref="O243:O245"/>
    <mergeCell ref="P243:P245"/>
    <mergeCell ref="Q243:Q245"/>
    <mergeCell ref="R243:R245"/>
    <mergeCell ref="S243:S245"/>
    <mergeCell ref="T243:T245"/>
    <mergeCell ref="U243:U245"/>
    <mergeCell ref="V243:V245"/>
    <mergeCell ref="W243:W245"/>
    <mergeCell ref="X243:X245"/>
    <mergeCell ref="Y243:Y245"/>
    <mergeCell ref="G230:G234"/>
    <mergeCell ref="H235:H241"/>
    <mergeCell ref="I235:I241"/>
    <mergeCell ref="J235:J241"/>
    <mergeCell ref="K235:K241"/>
    <mergeCell ref="L235:L241"/>
    <mergeCell ref="M235:M241"/>
    <mergeCell ref="AF235:AF241"/>
    <mergeCell ref="AG235:AG241"/>
    <mergeCell ref="AH235:AH241"/>
    <mergeCell ref="AI235:AI241"/>
    <mergeCell ref="AJ235:AJ241"/>
    <mergeCell ref="AK235:AK241"/>
    <mergeCell ref="N236:N240"/>
    <mergeCell ref="O236:O240"/>
    <mergeCell ref="P236:P240"/>
    <mergeCell ref="Q236:Q240"/>
    <mergeCell ref="R236:R240"/>
    <mergeCell ref="T254:T258"/>
    <mergeCell ref="U254:U258"/>
    <mergeCell ref="V254:V258"/>
    <mergeCell ref="W254:W258"/>
    <mergeCell ref="X254:X258"/>
    <mergeCell ref="Y254:Y258"/>
    <mergeCell ref="G253:G259"/>
    <mergeCell ref="H242:H246"/>
    <mergeCell ref="I242:I246"/>
    <mergeCell ref="J242:J246"/>
    <mergeCell ref="K242:K246"/>
    <mergeCell ref="L242:L246"/>
    <mergeCell ref="M242:M246"/>
    <mergeCell ref="AF242:AF246"/>
    <mergeCell ref="AG242:AG246"/>
    <mergeCell ref="AH242:AH246"/>
    <mergeCell ref="AI242:AI246"/>
    <mergeCell ref="P249:P251"/>
    <mergeCell ref="Q249:Q251"/>
    <mergeCell ref="R249:R251"/>
    <mergeCell ref="G248:G252"/>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42:G246"/>
    <mergeCell ref="H253:H259"/>
    <mergeCell ref="I253:I259"/>
    <mergeCell ref="J253:J259"/>
    <mergeCell ref="K253:K259"/>
    <mergeCell ref="L253:L259"/>
    <mergeCell ref="M253:M259"/>
    <mergeCell ref="AF253:AF259"/>
    <mergeCell ref="AG253:AG259"/>
    <mergeCell ref="AH253:AH259"/>
    <mergeCell ref="AI253:AI259"/>
    <mergeCell ref="AJ253:AJ259"/>
    <mergeCell ref="AK253:AK259"/>
    <mergeCell ref="N254:N258"/>
    <mergeCell ref="O254:O258"/>
    <mergeCell ref="P254:P258"/>
    <mergeCell ref="Q254:Q258"/>
    <mergeCell ref="R254:R258"/>
    <mergeCell ref="S254:S258"/>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M260:M264"/>
    <mergeCell ref="AF260:AF264"/>
    <mergeCell ref="AG260:AG264"/>
    <mergeCell ref="AH260:AH264"/>
    <mergeCell ref="AI260:AI264"/>
    <mergeCell ref="AJ260:AJ26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70:H274"/>
    <mergeCell ref="I270:I274"/>
    <mergeCell ref="J270:J274"/>
    <mergeCell ref="K270:K274"/>
    <mergeCell ref="L270:L274"/>
    <mergeCell ref="M270:M274"/>
    <mergeCell ref="R292:R294"/>
    <mergeCell ref="S292:S294"/>
    <mergeCell ref="T292:T294"/>
    <mergeCell ref="U292:U294"/>
    <mergeCell ref="V292:V294"/>
    <mergeCell ref="W292:W294"/>
    <mergeCell ref="X292:X294"/>
    <mergeCell ref="Y292:Y294"/>
    <mergeCell ref="G291:G295"/>
    <mergeCell ref="M286:M290"/>
    <mergeCell ref="AF286:AF290"/>
    <mergeCell ref="AG286:AG290"/>
    <mergeCell ref="AH286:AH290"/>
    <mergeCell ref="AI286:AI290"/>
    <mergeCell ref="AJ286:AJ290"/>
    <mergeCell ref="AK286:AK290"/>
    <mergeCell ref="N287:N289"/>
    <mergeCell ref="O287:O289"/>
    <mergeCell ref="P287:P289"/>
    <mergeCell ref="Q287:Q289"/>
    <mergeCell ref="R287:R289"/>
    <mergeCell ref="S287:S289"/>
    <mergeCell ref="T287:T289"/>
    <mergeCell ref="U287:U289"/>
    <mergeCell ref="V287:V289"/>
    <mergeCell ref="W287:W289"/>
    <mergeCell ref="X287:X289"/>
    <mergeCell ref="Y287:Y289"/>
    <mergeCell ref="AI296:AI300"/>
    <mergeCell ref="AJ296:AJ300"/>
    <mergeCell ref="AK296:AK300"/>
    <mergeCell ref="N297:N299"/>
    <mergeCell ref="O297:O299"/>
    <mergeCell ref="P297:P299"/>
    <mergeCell ref="Q297:Q299"/>
    <mergeCell ref="R297:R299"/>
    <mergeCell ref="S297:S299"/>
    <mergeCell ref="T297:T299"/>
    <mergeCell ref="U297:U299"/>
    <mergeCell ref="V297:V299"/>
    <mergeCell ref="W297:W299"/>
    <mergeCell ref="X297:X299"/>
    <mergeCell ref="Y297:Y299"/>
    <mergeCell ref="G286:G290"/>
    <mergeCell ref="H291:H295"/>
    <mergeCell ref="I291:I295"/>
    <mergeCell ref="J291:J295"/>
    <mergeCell ref="K291:K295"/>
    <mergeCell ref="L291:L295"/>
    <mergeCell ref="M291:M295"/>
    <mergeCell ref="AF291:AF295"/>
    <mergeCell ref="AG291:AG295"/>
    <mergeCell ref="AH291:AH295"/>
    <mergeCell ref="AI291:AI295"/>
    <mergeCell ref="AJ291:AJ295"/>
    <mergeCell ref="AK291:AK295"/>
    <mergeCell ref="N292:N294"/>
    <mergeCell ref="O292:O294"/>
    <mergeCell ref="P292:P294"/>
    <mergeCell ref="Q292:Q294"/>
    <mergeCell ref="S302:S305"/>
    <mergeCell ref="T302:T305"/>
    <mergeCell ref="U302:U305"/>
    <mergeCell ref="V302:V305"/>
    <mergeCell ref="W302:W305"/>
    <mergeCell ref="X302:X305"/>
    <mergeCell ref="Y302:Y305"/>
    <mergeCell ref="G301:G306"/>
    <mergeCell ref="H296:H300"/>
    <mergeCell ref="I296:I300"/>
    <mergeCell ref="J296:J300"/>
    <mergeCell ref="K296:K300"/>
    <mergeCell ref="L296:L300"/>
    <mergeCell ref="M296:M300"/>
    <mergeCell ref="AF296:AF300"/>
    <mergeCell ref="AG296:AG300"/>
    <mergeCell ref="AH296:AH300"/>
    <mergeCell ref="AJ307:AJ311"/>
    <mergeCell ref="AK307:AK311"/>
    <mergeCell ref="N308:N310"/>
    <mergeCell ref="O308:O310"/>
    <mergeCell ref="P308:P310"/>
    <mergeCell ref="Q308:Q310"/>
    <mergeCell ref="R308:R310"/>
    <mergeCell ref="S308:S310"/>
    <mergeCell ref="T308:T310"/>
    <mergeCell ref="U308:U310"/>
    <mergeCell ref="V308:V310"/>
    <mergeCell ref="W308:W310"/>
    <mergeCell ref="X308:X310"/>
    <mergeCell ref="Y308:Y310"/>
    <mergeCell ref="G296:G300"/>
    <mergeCell ref="H301:H306"/>
    <mergeCell ref="I301:I306"/>
    <mergeCell ref="J301:J306"/>
    <mergeCell ref="K301:K306"/>
    <mergeCell ref="L301:L306"/>
    <mergeCell ref="M301:M306"/>
    <mergeCell ref="AF301:AF306"/>
    <mergeCell ref="AG301:AG306"/>
    <mergeCell ref="AH301:AH306"/>
    <mergeCell ref="AI301:AI306"/>
    <mergeCell ref="AJ301:AJ306"/>
    <mergeCell ref="AK301:AK306"/>
    <mergeCell ref="N302:N305"/>
    <mergeCell ref="O302:O305"/>
    <mergeCell ref="P302:P305"/>
    <mergeCell ref="Q302:Q305"/>
    <mergeCell ref="R302:R305"/>
    <mergeCell ref="T319:T321"/>
    <mergeCell ref="U319:U321"/>
    <mergeCell ref="V319:V321"/>
    <mergeCell ref="W319:W321"/>
    <mergeCell ref="X319:X321"/>
    <mergeCell ref="Y319:Y321"/>
    <mergeCell ref="G318:G322"/>
    <mergeCell ref="H307:H311"/>
    <mergeCell ref="I307:I311"/>
    <mergeCell ref="J307:J311"/>
    <mergeCell ref="K307:K311"/>
    <mergeCell ref="L307:L311"/>
    <mergeCell ref="M307:M311"/>
    <mergeCell ref="AF307:AF311"/>
    <mergeCell ref="AG307:AG311"/>
    <mergeCell ref="AH307:AH311"/>
    <mergeCell ref="AI307:AI311"/>
    <mergeCell ref="P314:P316"/>
    <mergeCell ref="Q314:Q316"/>
    <mergeCell ref="R314:R316"/>
    <mergeCell ref="G313:G317"/>
    <mergeCell ref="AK323:AK328"/>
    <mergeCell ref="N324:N327"/>
    <mergeCell ref="O324:O327"/>
    <mergeCell ref="P324:P327"/>
    <mergeCell ref="Q324:Q327"/>
    <mergeCell ref="R324:R327"/>
    <mergeCell ref="S324:S327"/>
    <mergeCell ref="T324:T327"/>
    <mergeCell ref="U324:U327"/>
    <mergeCell ref="V324:V327"/>
    <mergeCell ref="W324:W327"/>
    <mergeCell ref="X324:X327"/>
    <mergeCell ref="Y324:Y327"/>
    <mergeCell ref="G307:G311"/>
    <mergeCell ref="H318:H322"/>
    <mergeCell ref="I318:I322"/>
    <mergeCell ref="J318:J322"/>
    <mergeCell ref="K318:K322"/>
    <mergeCell ref="L318:L322"/>
    <mergeCell ref="M318:M322"/>
    <mergeCell ref="AF318:AF322"/>
    <mergeCell ref="AG318:AG322"/>
    <mergeCell ref="AH318:AH322"/>
    <mergeCell ref="AI318:AI322"/>
    <mergeCell ref="AJ318:AJ322"/>
    <mergeCell ref="AK318:AK322"/>
    <mergeCell ref="N319:N321"/>
    <mergeCell ref="O319:O321"/>
    <mergeCell ref="P319:P321"/>
    <mergeCell ref="Q319:Q321"/>
    <mergeCell ref="R319:R321"/>
    <mergeCell ref="S319:S321"/>
    <mergeCell ref="G323:G328"/>
    <mergeCell ref="H329:H333"/>
    <mergeCell ref="I329:I333"/>
    <mergeCell ref="J329:J333"/>
    <mergeCell ref="K329:K333"/>
    <mergeCell ref="L329:L333"/>
    <mergeCell ref="M329:M333"/>
    <mergeCell ref="AF329:AF333"/>
    <mergeCell ref="AG329:AG333"/>
    <mergeCell ref="AH329:AH333"/>
    <mergeCell ref="AI329:AI333"/>
    <mergeCell ref="AJ329:AJ333"/>
    <mergeCell ref="AK329:AK333"/>
    <mergeCell ref="N330:N332"/>
    <mergeCell ref="O330:O332"/>
    <mergeCell ref="P330:P332"/>
    <mergeCell ref="Q330:Q332"/>
    <mergeCell ref="R330:R332"/>
    <mergeCell ref="S330:S332"/>
    <mergeCell ref="T330:T332"/>
    <mergeCell ref="U330:U332"/>
    <mergeCell ref="V330:V332"/>
    <mergeCell ref="W330:W332"/>
    <mergeCell ref="X330:X332"/>
    <mergeCell ref="Y330:Y332"/>
    <mergeCell ref="G329:G333"/>
    <mergeCell ref="M323:M328"/>
    <mergeCell ref="AF323:AF328"/>
    <mergeCell ref="AG323:AG328"/>
    <mergeCell ref="AH323:AH328"/>
    <mergeCell ref="AI323:AI328"/>
    <mergeCell ref="AJ323:AJ328"/>
    <mergeCell ref="AF367:AF371"/>
    <mergeCell ref="AG367:AG371"/>
    <mergeCell ref="AH367:AH371"/>
    <mergeCell ref="AI367:AI371"/>
    <mergeCell ref="AJ367:AJ371"/>
    <mergeCell ref="AK367:AK371"/>
    <mergeCell ref="N368:N370"/>
    <mergeCell ref="O368:O370"/>
    <mergeCell ref="P368:P370"/>
    <mergeCell ref="Q368:Q370"/>
    <mergeCell ref="R368:R370"/>
    <mergeCell ref="S368:S370"/>
    <mergeCell ref="T368:T370"/>
    <mergeCell ref="U368:U370"/>
    <mergeCell ref="V368:V370"/>
    <mergeCell ref="W368:W370"/>
    <mergeCell ref="X368:X370"/>
    <mergeCell ref="Y368:Y370"/>
    <mergeCell ref="AF334:AF338"/>
    <mergeCell ref="AG334:AG338"/>
    <mergeCell ref="AH334:AH338"/>
    <mergeCell ref="AI334:AI338"/>
    <mergeCell ref="AJ334:AJ338"/>
    <mergeCell ref="AK334:AK338"/>
    <mergeCell ref="N335:N337"/>
    <mergeCell ref="O335:O337"/>
    <mergeCell ref="P335:P337"/>
    <mergeCell ref="Q335:Q337"/>
    <mergeCell ref="R335:R337"/>
    <mergeCell ref="S335:S337"/>
    <mergeCell ref="T335:T337"/>
    <mergeCell ref="U335:U337"/>
    <mergeCell ref="V335:V337"/>
    <mergeCell ref="W335:W337"/>
    <mergeCell ref="X335:X337"/>
    <mergeCell ref="Y335:Y337"/>
    <mergeCell ref="N340:N342"/>
    <mergeCell ref="O340:O342"/>
    <mergeCell ref="P340:P342"/>
    <mergeCell ref="Q340:Q342"/>
    <mergeCell ref="R340:R342"/>
    <mergeCell ref="S340:S342"/>
    <mergeCell ref="T340:T342"/>
    <mergeCell ref="U340:U342"/>
    <mergeCell ref="V340:V342"/>
    <mergeCell ref="W340:W342"/>
    <mergeCell ref="X340:X342"/>
    <mergeCell ref="Y340:Y342"/>
    <mergeCell ref="G367:G371"/>
    <mergeCell ref="H334:H338"/>
    <mergeCell ref="I334:I338"/>
    <mergeCell ref="J334:J338"/>
    <mergeCell ref="K334:K338"/>
    <mergeCell ref="L334:L338"/>
    <mergeCell ref="M334:M338"/>
    <mergeCell ref="G334:G338"/>
    <mergeCell ref="H339:H343"/>
    <mergeCell ref="I339:I343"/>
    <mergeCell ref="J339:J343"/>
    <mergeCell ref="K339:K343"/>
    <mergeCell ref="L339:L343"/>
    <mergeCell ref="M339:M343"/>
    <mergeCell ref="M367:M371"/>
    <mergeCell ref="P363:P365"/>
    <mergeCell ref="Q363:Q365"/>
    <mergeCell ref="R363:R365"/>
    <mergeCell ref="G362:G366"/>
    <mergeCell ref="P346:P348"/>
    <mergeCell ref="G339:G343"/>
    <mergeCell ref="H350:H354"/>
    <mergeCell ref="I350:I354"/>
    <mergeCell ref="J350:J354"/>
    <mergeCell ref="K350:K354"/>
    <mergeCell ref="L350:L354"/>
    <mergeCell ref="M350:M354"/>
    <mergeCell ref="AF350:AF354"/>
    <mergeCell ref="AG350:AG354"/>
    <mergeCell ref="AH350:AH354"/>
    <mergeCell ref="AI350:AI354"/>
    <mergeCell ref="AJ350:AJ354"/>
    <mergeCell ref="AK350:AK354"/>
    <mergeCell ref="N351:N353"/>
    <mergeCell ref="O351:O353"/>
    <mergeCell ref="P351:P353"/>
    <mergeCell ref="Q351:Q353"/>
    <mergeCell ref="R351:R353"/>
    <mergeCell ref="S351:S353"/>
    <mergeCell ref="T351:T353"/>
    <mergeCell ref="U351:U353"/>
    <mergeCell ref="V351:V353"/>
    <mergeCell ref="W351:W353"/>
    <mergeCell ref="X351:X353"/>
    <mergeCell ref="Y351:Y353"/>
    <mergeCell ref="G350:G354"/>
    <mergeCell ref="AF339:AF343"/>
    <mergeCell ref="AG339:AG343"/>
    <mergeCell ref="AH339:AH343"/>
    <mergeCell ref="AI339:AI343"/>
    <mergeCell ref="AJ339:AJ343"/>
    <mergeCell ref="AK339:AK343"/>
    <mergeCell ref="M355:M360"/>
    <mergeCell ref="AF355:AF360"/>
    <mergeCell ref="AG355:AG360"/>
    <mergeCell ref="AH355:AH360"/>
    <mergeCell ref="AI355:AI360"/>
    <mergeCell ref="AJ355:AJ360"/>
    <mergeCell ref="AK355:AK360"/>
    <mergeCell ref="N356:N359"/>
    <mergeCell ref="O356:O359"/>
    <mergeCell ref="P356:P359"/>
    <mergeCell ref="Q356:Q359"/>
    <mergeCell ref="R356:R359"/>
    <mergeCell ref="S356:S359"/>
    <mergeCell ref="T356:T359"/>
    <mergeCell ref="U356:U359"/>
    <mergeCell ref="V356:V359"/>
    <mergeCell ref="W356:W359"/>
    <mergeCell ref="X356:X359"/>
    <mergeCell ref="Y356:Y359"/>
    <mergeCell ref="G355:G360"/>
    <mergeCell ref="H384:H388"/>
    <mergeCell ref="I384:I388"/>
    <mergeCell ref="J384:J388"/>
    <mergeCell ref="K384:K388"/>
    <mergeCell ref="L384:L388"/>
    <mergeCell ref="M384:M388"/>
    <mergeCell ref="AF384:AF388"/>
    <mergeCell ref="AG384:AG388"/>
    <mergeCell ref="AH384:AH388"/>
    <mergeCell ref="AI384:AI388"/>
    <mergeCell ref="AJ384:AJ388"/>
    <mergeCell ref="AK384:AK388"/>
    <mergeCell ref="N385:N387"/>
    <mergeCell ref="O385:O387"/>
    <mergeCell ref="P385:P387"/>
    <mergeCell ref="Q385:Q387"/>
    <mergeCell ref="R385:R387"/>
    <mergeCell ref="S385:S387"/>
    <mergeCell ref="T385:T387"/>
    <mergeCell ref="U385:U387"/>
    <mergeCell ref="V385:V387"/>
    <mergeCell ref="W385:W387"/>
    <mergeCell ref="X385:X387"/>
    <mergeCell ref="Y385:Y387"/>
    <mergeCell ref="G384:G388"/>
    <mergeCell ref="T373:T376"/>
    <mergeCell ref="U373:U376"/>
    <mergeCell ref="V373:V376"/>
    <mergeCell ref="W373:W376"/>
    <mergeCell ref="X373:X376"/>
    <mergeCell ref="Y373:Y376"/>
    <mergeCell ref="X414:X417"/>
    <mergeCell ref="Y414:Y417"/>
    <mergeCell ref="G413:G418"/>
    <mergeCell ref="H401:H406"/>
    <mergeCell ref="I401:I406"/>
    <mergeCell ref="J401:J406"/>
    <mergeCell ref="K401:K406"/>
    <mergeCell ref="L401:L406"/>
    <mergeCell ref="M401:M406"/>
    <mergeCell ref="M389:M394"/>
    <mergeCell ref="AF389:AF394"/>
    <mergeCell ref="AG389:AG394"/>
    <mergeCell ref="AH389:AH394"/>
    <mergeCell ref="AI389:AI394"/>
    <mergeCell ref="AJ389:AJ394"/>
    <mergeCell ref="AK389:AK394"/>
    <mergeCell ref="N390:N393"/>
    <mergeCell ref="O390:O393"/>
    <mergeCell ref="P390:P393"/>
    <mergeCell ref="Q390:Q393"/>
    <mergeCell ref="R390:R393"/>
    <mergeCell ref="S390:S393"/>
    <mergeCell ref="T390:T393"/>
    <mergeCell ref="U390:U393"/>
    <mergeCell ref="V390:V393"/>
    <mergeCell ref="W390:W393"/>
    <mergeCell ref="X390:X393"/>
    <mergeCell ref="Y390:Y393"/>
    <mergeCell ref="P409:P411"/>
    <mergeCell ref="Q409:Q411"/>
    <mergeCell ref="R409:R411"/>
    <mergeCell ref="G408:G412"/>
    <mergeCell ref="AI372:AI377"/>
    <mergeCell ref="AJ372:AJ377"/>
    <mergeCell ref="AK372:AK377"/>
    <mergeCell ref="N373:N376"/>
    <mergeCell ref="O373:O376"/>
    <mergeCell ref="P373:P376"/>
    <mergeCell ref="Q373:Q376"/>
    <mergeCell ref="R373:R376"/>
    <mergeCell ref="S373:S376"/>
    <mergeCell ref="G389:G394"/>
    <mergeCell ref="H413:H418"/>
    <mergeCell ref="I413:I418"/>
    <mergeCell ref="J413:J418"/>
    <mergeCell ref="K413:K418"/>
    <mergeCell ref="L413:L418"/>
    <mergeCell ref="M413:M418"/>
    <mergeCell ref="AF413:AF418"/>
    <mergeCell ref="AG413:AG418"/>
    <mergeCell ref="AH413:AH418"/>
    <mergeCell ref="AI413:AI418"/>
    <mergeCell ref="AJ413:AJ418"/>
    <mergeCell ref="AK413:AK418"/>
    <mergeCell ref="N414:N417"/>
    <mergeCell ref="O414:O417"/>
    <mergeCell ref="P414:P417"/>
    <mergeCell ref="Q414:Q417"/>
    <mergeCell ref="R414:R417"/>
    <mergeCell ref="S414:S417"/>
    <mergeCell ref="T414:T417"/>
    <mergeCell ref="U414:U417"/>
    <mergeCell ref="V414:V417"/>
    <mergeCell ref="W414:W417"/>
    <mergeCell ref="S402:S405"/>
    <mergeCell ref="T402:T405"/>
    <mergeCell ref="U402:U405"/>
    <mergeCell ref="V402:V405"/>
    <mergeCell ref="W402:W405"/>
    <mergeCell ref="X402:X405"/>
    <mergeCell ref="Y402:Y405"/>
    <mergeCell ref="G401:G406"/>
    <mergeCell ref="H372:H377"/>
    <mergeCell ref="I372:I377"/>
    <mergeCell ref="J372:J377"/>
    <mergeCell ref="K372:K377"/>
    <mergeCell ref="L372:L377"/>
    <mergeCell ref="M372:M377"/>
    <mergeCell ref="AF372:AF377"/>
    <mergeCell ref="AG372:AG377"/>
    <mergeCell ref="AH372:AH377"/>
    <mergeCell ref="P397:P399"/>
    <mergeCell ref="Q397:Q399"/>
    <mergeCell ref="R397:R399"/>
    <mergeCell ref="G396:G400"/>
    <mergeCell ref="P380:P382"/>
    <mergeCell ref="Q380:Q382"/>
    <mergeCell ref="R380:R382"/>
    <mergeCell ref="G379:G383"/>
    <mergeCell ref="G372:G377"/>
    <mergeCell ref="H426:H431"/>
    <mergeCell ref="I426:I431"/>
    <mergeCell ref="J426:J431"/>
    <mergeCell ref="K426:K431"/>
    <mergeCell ref="L426:L431"/>
    <mergeCell ref="M426:M431"/>
    <mergeCell ref="AF426:AF431"/>
    <mergeCell ref="AG426:AG431"/>
    <mergeCell ref="AH426:AH431"/>
    <mergeCell ref="AI426:AI431"/>
    <mergeCell ref="AJ426:AJ431"/>
    <mergeCell ref="AK426:AK431"/>
    <mergeCell ref="N427:N430"/>
    <mergeCell ref="O427:O430"/>
    <mergeCell ref="P427:P430"/>
    <mergeCell ref="Q427:Q430"/>
    <mergeCell ref="R427:R430"/>
    <mergeCell ref="S427:S430"/>
    <mergeCell ref="T427:T430"/>
    <mergeCell ref="U427:U430"/>
    <mergeCell ref="V427:V430"/>
    <mergeCell ref="W427:W430"/>
    <mergeCell ref="X427:X430"/>
    <mergeCell ref="Y427:Y430"/>
    <mergeCell ref="G426:G431"/>
    <mergeCell ref="AK401:AK406"/>
    <mergeCell ref="N402:N405"/>
    <mergeCell ref="O402:O405"/>
    <mergeCell ref="P402:P405"/>
    <mergeCell ref="Q402:Q405"/>
    <mergeCell ref="R402:R405"/>
    <mergeCell ref="T450:T452"/>
    <mergeCell ref="U450:U452"/>
    <mergeCell ref="V450:V452"/>
    <mergeCell ref="W450:W452"/>
    <mergeCell ref="X450:X452"/>
    <mergeCell ref="Y450:Y452"/>
    <mergeCell ref="G449:G453"/>
    <mergeCell ref="M438:M442"/>
    <mergeCell ref="AF438:AF442"/>
    <mergeCell ref="AG438:AG442"/>
    <mergeCell ref="AH438:AH442"/>
    <mergeCell ref="AI438:AI442"/>
    <mergeCell ref="AJ438:AJ442"/>
    <mergeCell ref="AK438:AK442"/>
    <mergeCell ref="N439:N441"/>
    <mergeCell ref="O439:O441"/>
    <mergeCell ref="P439:P441"/>
    <mergeCell ref="Q439:Q441"/>
    <mergeCell ref="R439:R441"/>
    <mergeCell ref="S439:S441"/>
    <mergeCell ref="T439:T441"/>
    <mergeCell ref="U439:U441"/>
    <mergeCell ref="V439:V441"/>
    <mergeCell ref="W439:W441"/>
    <mergeCell ref="X439:X441"/>
    <mergeCell ref="Y439:Y441"/>
    <mergeCell ref="P445:P447"/>
    <mergeCell ref="Q445:Q447"/>
    <mergeCell ref="R445:R447"/>
    <mergeCell ref="G444:G448"/>
    <mergeCell ref="AJ444:AJ448"/>
    <mergeCell ref="AK444:AK448"/>
    <mergeCell ref="AK460:AK464"/>
    <mergeCell ref="N461:N463"/>
    <mergeCell ref="O461:O463"/>
    <mergeCell ref="P461:P463"/>
    <mergeCell ref="Q461:Q463"/>
    <mergeCell ref="R461:R463"/>
    <mergeCell ref="S461:S463"/>
    <mergeCell ref="T461:T463"/>
    <mergeCell ref="U461:U463"/>
    <mergeCell ref="V461:V463"/>
    <mergeCell ref="W461:W463"/>
    <mergeCell ref="X461:X463"/>
    <mergeCell ref="Y461:Y463"/>
    <mergeCell ref="G438:G442"/>
    <mergeCell ref="H449:H453"/>
    <mergeCell ref="I449:I453"/>
    <mergeCell ref="J449:J453"/>
    <mergeCell ref="K449:K453"/>
    <mergeCell ref="L449:L453"/>
    <mergeCell ref="M449:M453"/>
    <mergeCell ref="AF449:AF453"/>
    <mergeCell ref="AG449:AG453"/>
    <mergeCell ref="AH449:AH453"/>
    <mergeCell ref="AI449:AI453"/>
    <mergeCell ref="AJ449:AJ453"/>
    <mergeCell ref="AK449:AK453"/>
    <mergeCell ref="N450:N452"/>
    <mergeCell ref="O450:O452"/>
    <mergeCell ref="P450:P452"/>
    <mergeCell ref="Q450:Q452"/>
    <mergeCell ref="R450:R452"/>
    <mergeCell ref="S450:S452"/>
    <mergeCell ref="G460:G464"/>
    <mergeCell ref="H471:H475"/>
    <mergeCell ref="I471:I475"/>
    <mergeCell ref="J471:J475"/>
    <mergeCell ref="K471:K475"/>
    <mergeCell ref="L471:L475"/>
    <mergeCell ref="M471:M475"/>
    <mergeCell ref="AF471:AF475"/>
    <mergeCell ref="AG471:AG475"/>
    <mergeCell ref="AH471:AH475"/>
    <mergeCell ref="AI471:AI475"/>
    <mergeCell ref="AJ471:AJ475"/>
    <mergeCell ref="AK471:AK475"/>
    <mergeCell ref="N472:N474"/>
    <mergeCell ref="O472:O474"/>
    <mergeCell ref="P472:P474"/>
    <mergeCell ref="Q472:Q474"/>
    <mergeCell ref="R472:R474"/>
    <mergeCell ref="S472:S474"/>
    <mergeCell ref="T472:T474"/>
    <mergeCell ref="U472:U474"/>
    <mergeCell ref="V472:V474"/>
    <mergeCell ref="W472:W474"/>
    <mergeCell ref="X472:X474"/>
    <mergeCell ref="Y472:Y474"/>
    <mergeCell ref="G471:G475"/>
    <mergeCell ref="M460:M464"/>
    <mergeCell ref="AF460:AF464"/>
    <mergeCell ref="AG460:AG464"/>
    <mergeCell ref="AH460:AH464"/>
    <mergeCell ref="AI460:AI464"/>
    <mergeCell ref="AJ460:AJ464"/>
    <mergeCell ref="T494:T496"/>
    <mergeCell ref="U494:U496"/>
    <mergeCell ref="V494:V496"/>
    <mergeCell ref="W494:W496"/>
    <mergeCell ref="X494:X496"/>
    <mergeCell ref="Y494:Y496"/>
    <mergeCell ref="G493:G497"/>
    <mergeCell ref="M482:M486"/>
    <mergeCell ref="AF482:AF486"/>
    <mergeCell ref="AG482:AG486"/>
    <mergeCell ref="AH482:AH486"/>
    <mergeCell ref="AI482:AI486"/>
    <mergeCell ref="AJ482:AJ486"/>
    <mergeCell ref="AK482:AK486"/>
    <mergeCell ref="N483:N485"/>
    <mergeCell ref="O483:O485"/>
    <mergeCell ref="P483:P485"/>
    <mergeCell ref="Q483:Q485"/>
    <mergeCell ref="R483:R485"/>
    <mergeCell ref="S483:S485"/>
    <mergeCell ref="T483:T485"/>
    <mergeCell ref="U483:U485"/>
    <mergeCell ref="V483:V485"/>
    <mergeCell ref="W483:W485"/>
    <mergeCell ref="X483:X485"/>
    <mergeCell ref="Y483:Y485"/>
    <mergeCell ref="P489:P491"/>
    <mergeCell ref="Q489:Q491"/>
    <mergeCell ref="R489:R491"/>
    <mergeCell ref="G488:G492"/>
    <mergeCell ref="AJ488:AJ492"/>
    <mergeCell ref="AK488:AK492"/>
    <mergeCell ref="AK504:AK508"/>
    <mergeCell ref="N505:N507"/>
    <mergeCell ref="O505:O507"/>
    <mergeCell ref="P505:P507"/>
    <mergeCell ref="Q505:Q507"/>
    <mergeCell ref="R505:R507"/>
    <mergeCell ref="S505:S507"/>
    <mergeCell ref="T505:T507"/>
    <mergeCell ref="U505:U507"/>
    <mergeCell ref="V505:V507"/>
    <mergeCell ref="W505:W507"/>
    <mergeCell ref="X505:X507"/>
    <mergeCell ref="Y505:Y507"/>
    <mergeCell ref="G482:G486"/>
    <mergeCell ref="H493:H497"/>
    <mergeCell ref="I493:I497"/>
    <mergeCell ref="J493:J497"/>
    <mergeCell ref="K493:K497"/>
    <mergeCell ref="L493:L497"/>
    <mergeCell ref="M493:M497"/>
    <mergeCell ref="AF493:AF497"/>
    <mergeCell ref="AG493:AG497"/>
    <mergeCell ref="AH493:AH497"/>
    <mergeCell ref="AI493:AI497"/>
    <mergeCell ref="AJ493:AJ497"/>
    <mergeCell ref="AK493:AK497"/>
    <mergeCell ref="N494:N496"/>
    <mergeCell ref="O494:O496"/>
    <mergeCell ref="P494:P496"/>
    <mergeCell ref="Q494:Q496"/>
    <mergeCell ref="R494:R496"/>
    <mergeCell ref="S494:S496"/>
    <mergeCell ref="G504:G508"/>
    <mergeCell ref="H515:H519"/>
    <mergeCell ref="I515:I519"/>
    <mergeCell ref="J515:J519"/>
    <mergeCell ref="K515:K519"/>
    <mergeCell ref="L515:L519"/>
    <mergeCell ref="M515:M519"/>
    <mergeCell ref="AF515:AF519"/>
    <mergeCell ref="AG515:AG519"/>
    <mergeCell ref="AH515:AH519"/>
    <mergeCell ref="AI515:AI519"/>
    <mergeCell ref="AJ515:AJ519"/>
    <mergeCell ref="AK515:AK519"/>
    <mergeCell ref="N516:N518"/>
    <mergeCell ref="O516:O518"/>
    <mergeCell ref="P516:P518"/>
    <mergeCell ref="Q516:Q518"/>
    <mergeCell ref="R516:R518"/>
    <mergeCell ref="S516:S518"/>
    <mergeCell ref="T516:T518"/>
    <mergeCell ref="U516:U518"/>
    <mergeCell ref="V516:V518"/>
    <mergeCell ref="W516:W518"/>
    <mergeCell ref="X516:X518"/>
    <mergeCell ref="Y516:Y518"/>
    <mergeCell ref="G515:G519"/>
    <mergeCell ref="M504:M508"/>
    <mergeCell ref="AF504:AF508"/>
    <mergeCell ref="AG504:AG508"/>
    <mergeCell ref="AH504:AH508"/>
    <mergeCell ref="AI504:AI508"/>
    <mergeCell ref="AJ504:AJ508"/>
    <mergeCell ref="T539:T542"/>
    <mergeCell ref="U539:U542"/>
    <mergeCell ref="V539:V542"/>
    <mergeCell ref="W539:W542"/>
    <mergeCell ref="X539:X542"/>
    <mergeCell ref="Y539:Y542"/>
    <mergeCell ref="G538:G543"/>
    <mergeCell ref="M526:M530"/>
    <mergeCell ref="AF526:AF530"/>
    <mergeCell ref="AG526:AG530"/>
    <mergeCell ref="AH526:AH530"/>
    <mergeCell ref="AI526:AI530"/>
    <mergeCell ref="AJ526:AJ530"/>
    <mergeCell ref="AK526:AK530"/>
    <mergeCell ref="N527:N529"/>
    <mergeCell ref="O527:O529"/>
    <mergeCell ref="P527:P529"/>
    <mergeCell ref="Q527:Q529"/>
    <mergeCell ref="R527:R529"/>
    <mergeCell ref="S527:S529"/>
    <mergeCell ref="T527:T529"/>
    <mergeCell ref="U527:U529"/>
    <mergeCell ref="V527:V529"/>
    <mergeCell ref="W527:W529"/>
    <mergeCell ref="X527:X529"/>
    <mergeCell ref="Y527:Y529"/>
    <mergeCell ref="P534:P536"/>
    <mergeCell ref="Q534:Q536"/>
    <mergeCell ref="R534:R536"/>
    <mergeCell ref="G533:G537"/>
    <mergeCell ref="AJ533:AJ537"/>
    <mergeCell ref="AK533:AK537"/>
    <mergeCell ref="AK550:AK554"/>
    <mergeCell ref="N551:N553"/>
    <mergeCell ref="O551:O553"/>
    <mergeCell ref="P551:P553"/>
    <mergeCell ref="Q551:Q553"/>
    <mergeCell ref="R551:R553"/>
    <mergeCell ref="S551:S553"/>
    <mergeCell ref="T551:T553"/>
    <mergeCell ref="U551:U553"/>
    <mergeCell ref="V551:V553"/>
    <mergeCell ref="W551:W553"/>
    <mergeCell ref="X551:X553"/>
    <mergeCell ref="Y551:Y553"/>
    <mergeCell ref="G526:G530"/>
    <mergeCell ref="H538:H543"/>
    <mergeCell ref="I538:I543"/>
    <mergeCell ref="J538:J543"/>
    <mergeCell ref="K538:K543"/>
    <mergeCell ref="L538:L543"/>
    <mergeCell ref="M538:M543"/>
    <mergeCell ref="AF538:AF543"/>
    <mergeCell ref="AG538:AG543"/>
    <mergeCell ref="AH538:AH543"/>
    <mergeCell ref="AI538:AI543"/>
    <mergeCell ref="AJ538:AJ543"/>
    <mergeCell ref="AK538:AK543"/>
    <mergeCell ref="N539:N542"/>
    <mergeCell ref="O539:O542"/>
    <mergeCell ref="P539:P542"/>
    <mergeCell ref="Q539:Q542"/>
    <mergeCell ref="R539:R542"/>
    <mergeCell ref="S539:S542"/>
    <mergeCell ref="G550:G554"/>
    <mergeCell ref="H561:H565"/>
    <mergeCell ref="I561:I565"/>
    <mergeCell ref="J561:J565"/>
    <mergeCell ref="K561:K565"/>
    <mergeCell ref="L561:L565"/>
    <mergeCell ref="M561:M565"/>
    <mergeCell ref="AF561:AF565"/>
    <mergeCell ref="AG561:AG565"/>
    <mergeCell ref="AH561:AH565"/>
    <mergeCell ref="AI561:AI565"/>
    <mergeCell ref="AJ561:AJ565"/>
    <mergeCell ref="AK561:AK565"/>
    <mergeCell ref="N562:N564"/>
    <mergeCell ref="O562:O564"/>
    <mergeCell ref="P562:P564"/>
    <mergeCell ref="Q562:Q564"/>
    <mergeCell ref="R562:R564"/>
    <mergeCell ref="S562:S564"/>
    <mergeCell ref="T562:T564"/>
    <mergeCell ref="U562:U564"/>
    <mergeCell ref="V562:V564"/>
    <mergeCell ref="W562:W564"/>
    <mergeCell ref="X562:X564"/>
    <mergeCell ref="Y562:Y564"/>
    <mergeCell ref="G561:G565"/>
    <mergeCell ref="M550:M554"/>
    <mergeCell ref="AF550:AF554"/>
    <mergeCell ref="AG550:AG554"/>
    <mergeCell ref="AH550:AH554"/>
    <mergeCell ref="AI550:AI554"/>
    <mergeCell ref="AJ550:AJ554"/>
    <mergeCell ref="T584:T586"/>
    <mergeCell ref="U584:U586"/>
    <mergeCell ref="V584:V586"/>
    <mergeCell ref="W584:W586"/>
    <mergeCell ref="X584:X586"/>
    <mergeCell ref="Y584:Y586"/>
    <mergeCell ref="G583:G587"/>
    <mergeCell ref="M572:M576"/>
    <mergeCell ref="AF572:AF576"/>
    <mergeCell ref="AG572:AG576"/>
    <mergeCell ref="AH572:AH576"/>
    <mergeCell ref="AI572:AI576"/>
    <mergeCell ref="AJ572:AJ576"/>
    <mergeCell ref="AK572:AK576"/>
    <mergeCell ref="N573:N575"/>
    <mergeCell ref="O573:O575"/>
    <mergeCell ref="P573:P575"/>
    <mergeCell ref="Q573:Q575"/>
    <mergeCell ref="R573:R575"/>
    <mergeCell ref="S573:S575"/>
    <mergeCell ref="T573:T575"/>
    <mergeCell ref="U573:U575"/>
    <mergeCell ref="V573:V575"/>
    <mergeCell ref="W573:W575"/>
    <mergeCell ref="X573:X575"/>
    <mergeCell ref="Y573:Y575"/>
    <mergeCell ref="P579:P581"/>
    <mergeCell ref="Q579:Q581"/>
    <mergeCell ref="R579:R581"/>
    <mergeCell ref="G578:G582"/>
    <mergeCell ref="AJ578:AJ582"/>
    <mergeCell ref="AK578:AK582"/>
    <mergeCell ref="AK594:AK598"/>
    <mergeCell ref="N595:N597"/>
    <mergeCell ref="O595:O597"/>
    <mergeCell ref="P595:P597"/>
    <mergeCell ref="Q595:Q597"/>
    <mergeCell ref="R595:R597"/>
    <mergeCell ref="S595:S597"/>
    <mergeCell ref="T595:T597"/>
    <mergeCell ref="U595:U597"/>
    <mergeCell ref="V595:V597"/>
    <mergeCell ref="W595:W597"/>
    <mergeCell ref="X595:X597"/>
    <mergeCell ref="Y595:Y597"/>
    <mergeCell ref="G572:G576"/>
    <mergeCell ref="H583:H587"/>
    <mergeCell ref="I583:I587"/>
    <mergeCell ref="J583:J587"/>
    <mergeCell ref="K583:K587"/>
    <mergeCell ref="L583:L587"/>
    <mergeCell ref="M583:M587"/>
    <mergeCell ref="AF583:AF587"/>
    <mergeCell ref="AG583:AG587"/>
    <mergeCell ref="AH583:AH587"/>
    <mergeCell ref="AI583:AI587"/>
    <mergeCell ref="AJ583:AJ587"/>
    <mergeCell ref="AK583:AK587"/>
    <mergeCell ref="N584:N586"/>
    <mergeCell ref="O584:O586"/>
    <mergeCell ref="P584:P586"/>
    <mergeCell ref="Q584:Q586"/>
    <mergeCell ref="R584:R586"/>
    <mergeCell ref="S584:S586"/>
    <mergeCell ref="G594:G598"/>
    <mergeCell ref="H605:H609"/>
    <mergeCell ref="I605:I609"/>
    <mergeCell ref="J605:J609"/>
    <mergeCell ref="K605:K609"/>
    <mergeCell ref="L605:L609"/>
    <mergeCell ref="M605:M609"/>
    <mergeCell ref="AF605:AF609"/>
    <mergeCell ref="AG605:AG609"/>
    <mergeCell ref="AH605:AH609"/>
    <mergeCell ref="AI605:AI609"/>
    <mergeCell ref="AJ605:AJ609"/>
    <mergeCell ref="AK605:AK609"/>
    <mergeCell ref="N606:N608"/>
    <mergeCell ref="O606:O608"/>
    <mergeCell ref="P606:P608"/>
    <mergeCell ref="Q606:Q608"/>
    <mergeCell ref="R606:R608"/>
    <mergeCell ref="S606:S608"/>
    <mergeCell ref="T606:T608"/>
    <mergeCell ref="U606:U608"/>
    <mergeCell ref="V606:V608"/>
    <mergeCell ref="W606:W608"/>
    <mergeCell ref="X606:X608"/>
    <mergeCell ref="Y606:Y608"/>
    <mergeCell ref="G605:G609"/>
    <mergeCell ref="M594:M598"/>
    <mergeCell ref="AF594:AF598"/>
    <mergeCell ref="AG594:AG598"/>
    <mergeCell ref="AH594:AH598"/>
    <mergeCell ref="AI594:AI598"/>
    <mergeCell ref="AJ594:AJ598"/>
    <mergeCell ref="T628:T630"/>
    <mergeCell ref="U628:U630"/>
    <mergeCell ref="V628:V630"/>
    <mergeCell ref="W628:W630"/>
    <mergeCell ref="X628:X630"/>
    <mergeCell ref="Y628:Y630"/>
    <mergeCell ref="G627:G631"/>
    <mergeCell ref="M616:M620"/>
    <mergeCell ref="AF616:AF620"/>
    <mergeCell ref="AG616:AG620"/>
    <mergeCell ref="AH616:AH620"/>
    <mergeCell ref="AI616:AI620"/>
    <mergeCell ref="AJ616:AJ620"/>
    <mergeCell ref="AK616:AK620"/>
    <mergeCell ref="N617:N619"/>
    <mergeCell ref="O617:O619"/>
    <mergeCell ref="P617:P619"/>
    <mergeCell ref="Q617:Q619"/>
    <mergeCell ref="R617:R619"/>
    <mergeCell ref="S617:S619"/>
    <mergeCell ref="T617:T619"/>
    <mergeCell ref="U617:U619"/>
    <mergeCell ref="V617:V619"/>
    <mergeCell ref="W617:W619"/>
    <mergeCell ref="X617:X619"/>
    <mergeCell ref="Y617:Y619"/>
    <mergeCell ref="P623:P625"/>
    <mergeCell ref="Q623:Q625"/>
    <mergeCell ref="R623:R625"/>
    <mergeCell ref="G622:G626"/>
    <mergeCell ref="AJ622:AJ626"/>
    <mergeCell ref="AK622:AK626"/>
    <mergeCell ref="AK638:AK642"/>
    <mergeCell ref="N639:N641"/>
    <mergeCell ref="O639:O641"/>
    <mergeCell ref="P639:P641"/>
    <mergeCell ref="Q639:Q641"/>
    <mergeCell ref="R639:R641"/>
    <mergeCell ref="S639:S641"/>
    <mergeCell ref="T639:T641"/>
    <mergeCell ref="U639:U641"/>
    <mergeCell ref="V639:V641"/>
    <mergeCell ref="W639:W641"/>
    <mergeCell ref="X639:X641"/>
    <mergeCell ref="Y639:Y641"/>
    <mergeCell ref="G616:G620"/>
    <mergeCell ref="H627:H631"/>
    <mergeCell ref="I627:I631"/>
    <mergeCell ref="J627:J631"/>
    <mergeCell ref="K627:K631"/>
    <mergeCell ref="L627:L631"/>
    <mergeCell ref="M627:M631"/>
    <mergeCell ref="AF627:AF631"/>
    <mergeCell ref="AG627:AG631"/>
    <mergeCell ref="AH627:AH631"/>
    <mergeCell ref="AI627:AI631"/>
    <mergeCell ref="AJ627:AJ631"/>
    <mergeCell ref="AK627:AK631"/>
    <mergeCell ref="N628:N630"/>
    <mergeCell ref="O628:O630"/>
    <mergeCell ref="P628:P630"/>
    <mergeCell ref="Q628:Q630"/>
    <mergeCell ref="R628:R630"/>
    <mergeCell ref="S628:S630"/>
    <mergeCell ref="G638:G642"/>
    <mergeCell ref="H650:H654"/>
    <mergeCell ref="I650:I654"/>
    <mergeCell ref="J650:J654"/>
    <mergeCell ref="K650:K654"/>
    <mergeCell ref="L650:L654"/>
    <mergeCell ref="M650:M654"/>
    <mergeCell ref="AF650:AF654"/>
    <mergeCell ref="AG650:AG654"/>
    <mergeCell ref="AH650:AH654"/>
    <mergeCell ref="AI650:AI654"/>
    <mergeCell ref="AJ650:AJ654"/>
    <mergeCell ref="AK650:AK654"/>
    <mergeCell ref="N651:N653"/>
    <mergeCell ref="O651:O653"/>
    <mergeCell ref="P651:P653"/>
    <mergeCell ref="Q651:Q653"/>
    <mergeCell ref="R651:R653"/>
    <mergeCell ref="S651:S653"/>
    <mergeCell ref="T651:T653"/>
    <mergeCell ref="U651:U653"/>
    <mergeCell ref="V651:V653"/>
    <mergeCell ref="W651:W653"/>
    <mergeCell ref="X651:X653"/>
    <mergeCell ref="Y651:Y653"/>
    <mergeCell ref="G650:G654"/>
    <mergeCell ref="M638:M642"/>
    <mergeCell ref="AF638:AF642"/>
    <mergeCell ref="AG638:AG642"/>
    <mergeCell ref="AH638:AH642"/>
    <mergeCell ref="AI638:AI642"/>
    <mergeCell ref="AJ638:AJ642"/>
    <mergeCell ref="T673:T676"/>
    <mergeCell ref="U673:U676"/>
    <mergeCell ref="V673:V676"/>
    <mergeCell ref="W673:W676"/>
    <mergeCell ref="X673:X676"/>
    <mergeCell ref="Y673:Y676"/>
    <mergeCell ref="G672:G677"/>
    <mergeCell ref="M661:M665"/>
    <mergeCell ref="AF661:AF665"/>
    <mergeCell ref="AG661:AG665"/>
    <mergeCell ref="AH661:AH665"/>
    <mergeCell ref="AI661:AI665"/>
    <mergeCell ref="AJ661:AJ665"/>
    <mergeCell ref="AK661:AK665"/>
    <mergeCell ref="N662:N664"/>
    <mergeCell ref="O662:O664"/>
    <mergeCell ref="P662:P664"/>
    <mergeCell ref="Q662:Q664"/>
    <mergeCell ref="R662:R664"/>
    <mergeCell ref="S662:S664"/>
    <mergeCell ref="T662:T664"/>
    <mergeCell ref="U662:U664"/>
    <mergeCell ref="V662:V664"/>
    <mergeCell ref="W662:W664"/>
    <mergeCell ref="X662:X664"/>
    <mergeCell ref="Y662:Y664"/>
    <mergeCell ref="P668:P670"/>
    <mergeCell ref="Q668:Q670"/>
    <mergeCell ref="R668:R670"/>
    <mergeCell ref="G667:G671"/>
    <mergeCell ref="AJ667:AJ671"/>
    <mergeCell ref="AK667:AK671"/>
    <mergeCell ref="AK685:AK689"/>
    <mergeCell ref="N686:N688"/>
    <mergeCell ref="O686:O688"/>
    <mergeCell ref="P686:P688"/>
    <mergeCell ref="Q686:Q688"/>
    <mergeCell ref="R686:R688"/>
    <mergeCell ref="S686:S688"/>
    <mergeCell ref="T686:T688"/>
    <mergeCell ref="U686:U688"/>
    <mergeCell ref="V686:V688"/>
    <mergeCell ref="W686:W688"/>
    <mergeCell ref="X686:X688"/>
    <mergeCell ref="Y686:Y688"/>
    <mergeCell ref="G661:G665"/>
    <mergeCell ref="H672:H677"/>
    <mergeCell ref="I672:I677"/>
    <mergeCell ref="J672:J677"/>
    <mergeCell ref="K672:K677"/>
    <mergeCell ref="L672:L677"/>
    <mergeCell ref="M672:M677"/>
    <mergeCell ref="AF672:AF677"/>
    <mergeCell ref="AG672:AG677"/>
    <mergeCell ref="AH672:AH677"/>
    <mergeCell ref="AI672:AI677"/>
    <mergeCell ref="AJ672:AJ677"/>
    <mergeCell ref="AK672:AK677"/>
    <mergeCell ref="N673:N676"/>
    <mergeCell ref="O673:O676"/>
    <mergeCell ref="P673:P676"/>
    <mergeCell ref="Q673:Q676"/>
    <mergeCell ref="R673:R676"/>
    <mergeCell ref="S673:S676"/>
    <mergeCell ref="G685:G689"/>
    <mergeCell ref="H696:H700"/>
    <mergeCell ref="I696:I700"/>
    <mergeCell ref="J696:J700"/>
    <mergeCell ref="K696:K700"/>
    <mergeCell ref="L696:L700"/>
    <mergeCell ref="M696:M700"/>
    <mergeCell ref="AF696:AF700"/>
    <mergeCell ref="AG696:AG700"/>
    <mergeCell ref="AH696:AH700"/>
    <mergeCell ref="AI696:AI700"/>
    <mergeCell ref="AJ696:AJ700"/>
    <mergeCell ref="AK696:AK700"/>
    <mergeCell ref="N697:N699"/>
    <mergeCell ref="O697:O699"/>
    <mergeCell ref="P697:P699"/>
    <mergeCell ref="Q697:Q699"/>
    <mergeCell ref="R697:R699"/>
    <mergeCell ref="S697:S699"/>
    <mergeCell ref="T697:T699"/>
    <mergeCell ref="U697:U699"/>
    <mergeCell ref="V697:V699"/>
    <mergeCell ref="W697:W699"/>
    <mergeCell ref="X697:X699"/>
    <mergeCell ref="Y697:Y699"/>
    <mergeCell ref="G696:G700"/>
    <mergeCell ref="M685:M689"/>
    <mergeCell ref="AF685:AF689"/>
    <mergeCell ref="AG685:AG689"/>
    <mergeCell ref="AH685:AH689"/>
    <mergeCell ref="AI685:AI689"/>
    <mergeCell ref="AJ685:AJ689"/>
    <mergeCell ref="T720:T723"/>
    <mergeCell ref="U720:U723"/>
    <mergeCell ref="V720:V723"/>
    <mergeCell ref="W720:W723"/>
    <mergeCell ref="X720:X723"/>
    <mergeCell ref="Y720:Y723"/>
    <mergeCell ref="G719:G724"/>
    <mergeCell ref="M707:M712"/>
    <mergeCell ref="AF707:AF712"/>
    <mergeCell ref="AG707:AG712"/>
    <mergeCell ref="AH707:AH712"/>
    <mergeCell ref="AI707:AI712"/>
    <mergeCell ref="AJ707:AJ712"/>
    <mergeCell ref="AK707:AK712"/>
    <mergeCell ref="N708:N711"/>
    <mergeCell ref="O708:O711"/>
    <mergeCell ref="P708:P711"/>
    <mergeCell ref="Q708:Q711"/>
    <mergeCell ref="R708:R711"/>
    <mergeCell ref="S708:S711"/>
    <mergeCell ref="T708:T711"/>
    <mergeCell ref="U708:U711"/>
    <mergeCell ref="V708:V711"/>
    <mergeCell ref="W708:W711"/>
    <mergeCell ref="X708:X711"/>
    <mergeCell ref="Y708:Y711"/>
    <mergeCell ref="P715:P717"/>
    <mergeCell ref="Q715:Q717"/>
    <mergeCell ref="R715:R717"/>
    <mergeCell ref="G714:G718"/>
    <mergeCell ref="AJ714:AJ718"/>
    <mergeCell ref="AK714:AK718"/>
    <mergeCell ref="AK732:AK736"/>
    <mergeCell ref="N733:N735"/>
    <mergeCell ref="O733:O735"/>
    <mergeCell ref="P733:P735"/>
    <mergeCell ref="Q733:Q735"/>
    <mergeCell ref="R733:R735"/>
    <mergeCell ref="S733:S735"/>
    <mergeCell ref="T733:T735"/>
    <mergeCell ref="U733:U735"/>
    <mergeCell ref="V733:V735"/>
    <mergeCell ref="W733:W735"/>
    <mergeCell ref="X733:X735"/>
    <mergeCell ref="Y733:Y735"/>
    <mergeCell ref="G707:G712"/>
    <mergeCell ref="H719:H724"/>
    <mergeCell ref="I719:I724"/>
    <mergeCell ref="J719:J724"/>
    <mergeCell ref="K719:K724"/>
    <mergeCell ref="L719:L724"/>
    <mergeCell ref="M719:M724"/>
    <mergeCell ref="AF719:AF724"/>
    <mergeCell ref="AG719:AG724"/>
    <mergeCell ref="AH719:AH724"/>
    <mergeCell ref="AI719:AI724"/>
    <mergeCell ref="AJ719:AJ724"/>
    <mergeCell ref="AK719:AK724"/>
    <mergeCell ref="N720:N723"/>
    <mergeCell ref="O720:O723"/>
    <mergeCell ref="P720:P723"/>
    <mergeCell ref="Q720:Q723"/>
    <mergeCell ref="R720:R723"/>
    <mergeCell ref="S720:S723"/>
    <mergeCell ref="G732:G736"/>
    <mergeCell ref="H743:H747"/>
    <mergeCell ref="I743:I747"/>
    <mergeCell ref="J743:J747"/>
    <mergeCell ref="K743:K747"/>
    <mergeCell ref="L743:L747"/>
    <mergeCell ref="M743:M747"/>
    <mergeCell ref="AF743:AF747"/>
    <mergeCell ref="AG743:AG747"/>
    <mergeCell ref="AH743:AH747"/>
    <mergeCell ref="AI743:AI747"/>
    <mergeCell ref="AJ743:AJ747"/>
    <mergeCell ref="AK743:AK747"/>
    <mergeCell ref="N744:N746"/>
    <mergeCell ref="O744:O746"/>
    <mergeCell ref="P744:P746"/>
    <mergeCell ref="Q744:Q746"/>
    <mergeCell ref="R744:R746"/>
    <mergeCell ref="S744:S746"/>
    <mergeCell ref="T744:T746"/>
    <mergeCell ref="U744:U746"/>
    <mergeCell ref="V744:V746"/>
    <mergeCell ref="W744:W746"/>
    <mergeCell ref="X744:X746"/>
    <mergeCell ref="Y744:Y746"/>
    <mergeCell ref="G743:G747"/>
    <mergeCell ref="M732:M736"/>
    <mergeCell ref="AF732:AF736"/>
    <mergeCell ref="AG732:AG736"/>
    <mergeCell ref="AH732:AH736"/>
    <mergeCell ref="AI732:AI736"/>
    <mergeCell ref="AJ732:AJ736"/>
    <mergeCell ref="T767:T769"/>
    <mergeCell ref="U767:U769"/>
    <mergeCell ref="V767:V769"/>
    <mergeCell ref="W767:W769"/>
    <mergeCell ref="X767:X769"/>
    <mergeCell ref="Y767:Y769"/>
    <mergeCell ref="G766:G770"/>
    <mergeCell ref="M754:M758"/>
    <mergeCell ref="AF754:AF758"/>
    <mergeCell ref="AG754:AG758"/>
    <mergeCell ref="AH754:AH758"/>
    <mergeCell ref="AI754:AI758"/>
    <mergeCell ref="AJ754:AJ758"/>
    <mergeCell ref="AK754:AK758"/>
    <mergeCell ref="N755:N757"/>
    <mergeCell ref="O755:O757"/>
    <mergeCell ref="P755:P757"/>
    <mergeCell ref="Q755:Q757"/>
    <mergeCell ref="R755:R757"/>
    <mergeCell ref="S755:S757"/>
    <mergeCell ref="T755:T757"/>
    <mergeCell ref="U755:U757"/>
    <mergeCell ref="V755:V757"/>
    <mergeCell ref="W755:W757"/>
    <mergeCell ref="X755:X757"/>
    <mergeCell ref="Y755:Y757"/>
    <mergeCell ref="P762:P764"/>
    <mergeCell ref="Q762:Q764"/>
    <mergeCell ref="R762:R764"/>
    <mergeCell ref="G761:G765"/>
    <mergeCell ref="AJ761:AJ765"/>
    <mergeCell ref="AK761:AK765"/>
    <mergeCell ref="AK777:AK781"/>
    <mergeCell ref="N778:N780"/>
    <mergeCell ref="O778:O780"/>
    <mergeCell ref="P778:P780"/>
    <mergeCell ref="Q778:Q780"/>
    <mergeCell ref="R778:R780"/>
    <mergeCell ref="S778:S780"/>
    <mergeCell ref="T778:T780"/>
    <mergeCell ref="U778:U780"/>
    <mergeCell ref="V778:V780"/>
    <mergeCell ref="W778:W780"/>
    <mergeCell ref="X778:X780"/>
    <mergeCell ref="Y778:Y780"/>
    <mergeCell ref="G754:G758"/>
    <mergeCell ref="H766:H770"/>
    <mergeCell ref="I766:I770"/>
    <mergeCell ref="J766:J770"/>
    <mergeCell ref="K766:K770"/>
    <mergeCell ref="L766:L770"/>
    <mergeCell ref="M766:M770"/>
    <mergeCell ref="AF766:AF770"/>
    <mergeCell ref="AG766:AG770"/>
    <mergeCell ref="AH766:AH770"/>
    <mergeCell ref="AI766:AI770"/>
    <mergeCell ref="AJ766:AJ770"/>
    <mergeCell ref="AK766:AK770"/>
    <mergeCell ref="N767:N769"/>
    <mergeCell ref="O767:O769"/>
    <mergeCell ref="P767:P769"/>
    <mergeCell ref="Q767:Q769"/>
    <mergeCell ref="R767:R769"/>
    <mergeCell ref="S767:S769"/>
    <mergeCell ref="G777:G781"/>
    <mergeCell ref="H788:H792"/>
    <mergeCell ref="I788:I792"/>
    <mergeCell ref="J788:J792"/>
    <mergeCell ref="K788:K792"/>
    <mergeCell ref="L788:L792"/>
    <mergeCell ref="M788:M792"/>
    <mergeCell ref="AF788:AF792"/>
    <mergeCell ref="AG788:AG792"/>
    <mergeCell ref="AH788:AH792"/>
    <mergeCell ref="AI788:AI792"/>
    <mergeCell ref="AJ788:AJ792"/>
    <mergeCell ref="AK788:AK792"/>
    <mergeCell ref="N789:N791"/>
    <mergeCell ref="O789:O791"/>
    <mergeCell ref="P789:P791"/>
    <mergeCell ref="Q789:Q791"/>
    <mergeCell ref="R789:R791"/>
    <mergeCell ref="S789:S791"/>
    <mergeCell ref="T789:T791"/>
    <mergeCell ref="U789:U791"/>
    <mergeCell ref="V789:V791"/>
    <mergeCell ref="W789:W791"/>
    <mergeCell ref="X789:X791"/>
    <mergeCell ref="Y789:Y791"/>
    <mergeCell ref="G788:G792"/>
    <mergeCell ref="M777:M781"/>
    <mergeCell ref="AF777:AF781"/>
    <mergeCell ref="AG777:AG781"/>
    <mergeCell ref="AH777:AH781"/>
    <mergeCell ref="AI777:AI781"/>
    <mergeCell ref="AJ777:AJ781"/>
    <mergeCell ref="T811:T813"/>
    <mergeCell ref="U811:U813"/>
    <mergeCell ref="V811:V813"/>
    <mergeCell ref="W811:W813"/>
    <mergeCell ref="X811:X813"/>
    <mergeCell ref="Y811:Y813"/>
    <mergeCell ref="G810:G814"/>
    <mergeCell ref="M799:M803"/>
    <mergeCell ref="AF799:AF803"/>
    <mergeCell ref="AG799:AG803"/>
    <mergeCell ref="AH799:AH803"/>
    <mergeCell ref="AI799:AI803"/>
    <mergeCell ref="AJ799:AJ803"/>
    <mergeCell ref="AK799:AK803"/>
    <mergeCell ref="N800:N802"/>
    <mergeCell ref="O800:O802"/>
    <mergeCell ref="P800:P802"/>
    <mergeCell ref="Q800:Q802"/>
    <mergeCell ref="R800:R802"/>
    <mergeCell ref="S800:S802"/>
    <mergeCell ref="T800:T802"/>
    <mergeCell ref="U800:U802"/>
    <mergeCell ref="V800:V802"/>
    <mergeCell ref="W800:W802"/>
    <mergeCell ref="X800:X802"/>
    <mergeCell ref="Y800:Y802"/>
    <mergeCell ref="P806:P808"/>
    <mergeCell ref="Q806:Q808"/>
    <mergeCell ref="R806:R808"/>
    <mergeCell ref="G805:G809"/>
    <mergeCell ref="AJ805:AJ809"/>
    <mergeCell ref="AK805:AK809"/>
    <mergeCell ref="AK821:AK825"/>
    <mergeCell ref="N822:N824"/>
    <mergeCell ref="O822:O824"/>
    <mergeCell ref="P822:P824"/>
    <mergeCell ref="Q822:Q824"/>
    <mergeCell ref="R822:R824"/>
    <mergeCell ref="S822:S824"/>
    <mergeCell ref="T822:T824"/>
    <mergeCell ref="U822:U824"/>
    <mergeCell ref="V822:V824"/>
    <mergeCell ref="W822:W824"/>
    <mergeCell ref="X822:X824"/>
    <mergeCell ref="Y822:Y824"/>
    <mergeCell ref="G799:G803"/>
    <mergeCell ref="H810:H814"/>
    <mergeCell ref="I810:I814"/>
    <mergeCell ref="J810:J814"/>
    <mergeCell ref="K810:K814"/>
    <mergeCell ref="L810:L814"/>
    <mergeCell ref="M810:M814"/>
    <mergeCell ref="AF810:AF814"/>
    <mergeCell ref="AG810:AG814"/>
    <mergeCell ref="AH810:AH814"/>
    <mergeCell ref="AI810:AI814"/>
    <mergeCell ref="AJ810:AJ814"/>
    <mergeCell ref="AK810:AK814"/>
    <mergeCell ref="N811:N813"/>
    <mergeCell ref="O811:O813"/>
    <mergeCell ref="P811:P813"/>
    <mergeCell ref="Q811:Q813"/>
    <mergeCell ref="R811:R813"/>
    <mergeCell ref="S811:S813"/>
    <mergeCell ref="G821:G825"/>
    <mergeCell ref="H832:H836"/>
    <mergeCell ref="I832:I836"/>
    <mergeCell ref="J832:J836"/>
    <mergeCell ref="K832:K836"/>
    <mergeCell ref="L832:L836"/>
    <mergeCell ref="M832:M836"/>
    <mergeCell ref="AF832:AF836"/>
    <mergeCell ref="AG832:AG836"/>
    <mergeCell ref="AH832:AH836"/>
    <mergeCell ref="AI832:AI836"/>
    <mergeCell ref="AJ832:AJ836"/>
    <mergeCell ref="AK832:AK836"/>
    <mergeCell ref="N833:N835"/>
    <mergeCell ref="O833:O835"/>
    <mergeCell ref="P833:P835"/>
    <mergeCell ref="Q833:Q835"/>
    <mergeCell ref="R833:R835"/>
    <mergeCell ref="S833:S835"/>
    <mergeCell ref="T833:T835"/>
    <mergeCell ref="U833:U835"/>
    <mergeCell ref="V833:V835"/>
    <mergeCell ref="W833:W835"/>
    <mergeCell ref="X833:X835"/>
    <mergeCell ref="Y833:Y835"/>
    <mergeCell ref="G832:G836"/>
    <mergeCell ref="M821:M825"/>
    <mergeCell ref="AF821:AF825"/>
    <mergeCell ref="AG821:AG825"/>
    <mergeCell ref="AH821:AH825"/>
    <mergeCell ref="AI821:AI825"/>
    <mergeCell ref="AJ821:AJ825"/>
    <mergeCell ref="T855:T857"/>
    <mergeCell ref="U855:U857"/>
    <mergeCell ref="V855:V857"/>
    <mergeCell ref="W855:W857"/>
    <mergeCell ref="X855:X857"/>
    <mergeCell ref="Y855:Y857"/>
    <mergeCell ref="G854:G858"/>
    <mergeCell ref="M843:M847"/>
    <mergeCell ref="AF843:AF847"/>
    <mergeCell ref="AG843:AG847"/>
    <mergeCell ref="AH843:AH847"/>
    <mergeCell ref="AI843:AI847"/>
    <mergeCell ref="AJ843:AJ847"/>
    <mergeCell ref="AK843:AK847"/>
    <mergeCell ref="N844:N846"/>
    <mergeCell ref="O844:O846"/>
    <mergeCell ref="P844:P846"/>
    <mergeCell ref="Q844:Q846"/>
    <mergeCell ref="R844:R846"/>
    <mergeCell ref="S844:S846"/>
    <mergeCell ref="T844:T846"/>
    <mergeCell ref="U844:U846"/>
    <mergeCell ref="V844:V846"/>
    <mergeCell ref="W844:W846"/>
    <mergeCell ref="X844:X846"/>
    <mergeCell ref="Y844:Y846"/>
    <mergeCell ref="P850:P852"/>
    <mergeCell ref="Q850:Q852"/>
    <mergeCell ref="R850:R852"/>
    <mergeCell ref="G849:G853"/>
    <mergeCell ref="AJ849:AJ853"/>
    <mergeCell ref="AK849:AK853"/>
    <mergeCell ref="AK865:AK869"/>
    <mergeCell ref="N866:N868"/>
    <mergeCell ref="O866:O868"/>
    <mergeCell ref="P866:P868"/>
    <mergeCell ref="Q866:Q868"/>
    <mergeCell ref="R866:R868"/>
    <mergeCell ref="S866:S868"/>
    <mergeCell ref="T866:T868"/>
    <mergeCell ref="U866:U868"/>
    <mergeCell ref="V866:V868"/>
    <mergeCell ref="W866:W868"/>
    <mergeCell ref="X866:X868"/>
    <mergeCell ref="Y866:Y868"/>
    <mergeCell ref="G843:G847"/>
    <mergeCell ref="H854:H858"/>
    <mergeCell ref="I854:I858"/>
    <mergeCell ref="J854:J858"/>
    <mergeCell ref="K854:K858"/>
    <mergeCell ref="L854:L858"/>
    <mergeCell ref="M854:M858"/>
    <mergeCell ref="AF854:AF858"/>
    <mergeCell ref="AG854:AG858"/>
    <mergeCell ref="AH854:AH858"/>
    <mergeCell ref="AI854:AI858"/>
    <mergeCell ref="AJ854:AJ858"/>
    <mergeCell ref="AK854:AK858"/>
    <mergeCell ref="N855:N857"/>
    <mergeCell ref="O855:O857"/>
    <mergeCell ref="P855:P857"/>
    <mergeCell ref="Q855:Q857"/>
    <mergeCell ref="R855:R857"/>
    <mergeCell ref="S855:S857"/>
    <mergeCell ref="G865:G869"/>
    <mergeCell ref="H876:H880"/>
    <mergeCell ref="I876:I880"/>
    <mergeCell ref="J876:J880"/>
    <mergeCell ref="K876:K880"/>
    <mergeCell ref="L876:L880"/>
    <mergeCell ref="M876:M880"/>
    <mergeCell ref="AF876:AF880"/>
    <mergeCell ref="AG876:AG880"/>
    <mergeCell ref="AH876:AH880"/>
    <mergeCell ref="AI876:AI880"/>
    <mergeCell ref="AJ876:AJ880"/>
    <mergeCell ref="AK876:AK880"/>
    <mergeCell ref="N877:N879"/>
    <mergeCell ref="O877:O879"/>
    <mergeCell ref="P877:P879"/>
    <mergeCell ref="Q877:Q879"/>
    <mergeCell ref="R877:R879"/>
    <mergeCell ref="S877:S879"/>
    <mergeCell ref="T877:T879"/>
    <mergeCell ref="U877:U879"/>
    <mergeCell ref="V877:V879"/>
    <mergeCell ref="W877:W879"/>
    <mergeCell ref="X877:X879"/>
    <mergeCell ref="Y877:Y879"/>
    <mergeCell ref="G876:G880"/>
    <mergeCell ref="M865:M869"/>
    <mergeCell ref="AF865:AF869"/>
    <mergeCell ref="AG865:AG869"/>
    <mergeCell ref="AH865:AH869"/>
    <mergeCell ref="AI865:AI869"/>
    <mergeCell ref="AJ865:AJ869"/>
    <mergeCell ref="T899:T901"/>
    <mergeCell ref="U899:U901"/>
    <mergeCell ref="V899:V901"/>
    <mergeCell ref="W899:W901"/>
    <mergeCell ref="X899:X901"/>
    <mergeCell ref="Y899:Y901"/>
    <mergeCell ref="G898:G902"/>
    <mergeCell ref="M887:M891"/>
    <mergeCell ref="AF887:AF891"/>
    <mergeCell ref="AG887:AG891"/>
    <mergeCell ref="AH887:AH891"/>
    <mergeCell ref="AI887:AI891"/>
    <mergeCell ref="AJ887:AJ891"/>
    <mergeCell ref="AK887:AK891"/>
    <mergeCell ref="N888:N890"/>
    <mergeCell ref="O888:O890"/>
    <mergeCell ref="P888:P890"/>
    <mergeCell ref="Q888:Q890"/>
    <mergeCell ref="R888:R890"/>
    <mergeCell ref="S888:S890"/>
    <mergeCell ref="T888:T890"/>
    <mergeCell ref="U888:U890"/>
    <mergeCell ref="V888:V890"/>
    <mergeCell ref="W888:W890"/>
    <mergeCell ref="X888:X890"/>
    <mergeCell ref="Y888:Y890"/>
    <mergeCell ref="P894:P896"/>
    <mergeCell ref="Q894:Q896"/>
    <mergeCell ref="R894:R896"/>
    <mergeCell ref="G893:G897"/>
    <mergeCell ref="AJ893:AJ897"/>
    <mergeCell ref="AK893:AK897"/>
    <mergeCell ref="AK909:AK913"/>
    <mergeCell ref="N910:N912"/>
    <mergeCell ref="O910:O912"/>
    <mergeCell ref="P910:P912"/>
    <mergeCell ref="Q910:Q912"/>
    <mergeCell ref="R910:R912"/>
    <mergeCell ref="S910:S912"/>
    <mergeCell ref="T910:T912"/>
    <mergeCell ref="U910:U912"/>
    <mergeCell ref="V910:V912"/>
    <mergeCell ref="W910:W912"/>
    <mergeCell ref="X910:X912"/>
    <mergeCell ref="Y910:Y912"/>
    <mergeCell ref="G887:G891"/>
    <mergeCell ref="H898:H902"/>
    <mergeCell ref="I898:I902"/>
    <mergeCell ref="J898:J902"/>
    <mergeCell ref="K898:K902"/>
    <mergeCell ref="L898:L902"/>
    <mergeCell ref="M898:M902"/>
    <mergeCell ref="AF898:AF902"/>
    <mergeCell ref="AG898:AG902"/>
    <mergeCell ref="AH898:AH902"/>
    <mergeCell ref="AI898:AI902"/>
    <mergeCell ref="AJ898:AJ902"/>
    <mergeCell ref="AK898:AK902"/>
    <mergeCell ref="N899:N901"/>
    <mergeCell ref="O899:O901"/>
    <mergeCell ref="P899:P901"/>
    <mergeCell ref="Q899:Q901"/>
    <mergeCell ref="R899:R901"/>
    <mergeCell ref="S899:S901"/>
    <mergeCell ref="G909:G913"/>
    <mergeCell ref="H920:H924"/>
    <mergeCell ref="I920:I924"/>
    <mergeCell ref="J920:J924"/>
    <mergeCell ref="K920:K924"/>
    <mergeCell ref="L920:L924"/>
    <mergeCell ref="M920:M924"/>
    <mergeCell ref="AF920:AF924"/>
    <mergeCell ref="AG920:AG924"/>
    <mergeCell ref="AH920:AH924"/>
    <mergeCell ref="AI920:AI924"/>
    <mergeCell ref="AJ920:AJ924"/>
    <mergeCell ref="AK920:AK924"/>
    <mergeCell ref="N921:N923"/>
    <mergeCell ref="O921:O923"/>
    <mergeCell ref="P921:P923"/>
    <mergeCell ref="Q921:Q923"/>
    <mergeCell ref="R921:R923"/>
    <mergeCell ref="S921:S923"/>
    <mergeCell ref="T921:T923"/>
    <mergeCell ref="U921:U923"/>
    <mergeCell ref="V921:V923"/>
    <mergeCell ref="W921:W923"/>
    <mergeCell ref="X921:X923"/>
    <mergeCell ref="Y921:Y923"/>
    <mergeCell ref="G920:G924"/>
    <mergeCell ref="M909:M913"/>
    <mergeCell ref="AF909:AF913"/>
    <mergeCell ref="AG909:AG913"/>
    <mergeCell ref="AH909:AH913"/>
    <mergeCell ref="AI909:AI913"/>
    <mergeCell ref="AJ909:AJ913"/>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P928:P930"/>
    <mergeCell ref="Q928:Q930"/>
    <mergeCell ref="R928:R930"/>
    <mergeCell ref="G927:G931"/>
    <mergeCell ref="AJ927:AJ931"/>
    <mergeCell ref="AK927:AK931"/>
    <mergeCell ref="I937:K937"/>
    <mergeCell ref="F927:F937"/>
    <mergeCell ref="AF927:AF931"/>
    <mergeCell ref="AG927:AG931"/>
    <mergeCell ref="AH927:AH931"/>
    <mergeCell ref="AI927:AI931"/>
    <mergeCell ref="S928:S930"/>
    <mergeCell ref="T928:T930"/>
    <mergeCell ref="U928:U930"/>
    <mergeCell ref="V928:V930"/>
    <mergeCell ref="W928:W930"/>
    <mergeCell ref="X928:X930"/>
    <mergeCell ref="Y928:Y930"/>
    <mergeCell ref="H927:H931"/>
    <mergeCell ref="I927:I931"/>
    <mergeCell ref="J927:J931"/>
    <mergeCell ref="K927:K931"/>
    <mergeCell ref="L927:L931"/>
    <mergeCell ref="M927:M931"/>
    <mergeCell ref="N928:N930"/>
    <mergeCell ref="O928:O930"/>
    <mergeCell ref="H932:H936"/>
    <mergeCell ref="I932:I936"/>
    <mergeCell ref="J932:J936"/>
    <mergeCell ref="K932:K936"/>
    <mergeCell ref="G938:G942"/>
    <mergeCell ref="AJ938:AJ942"/>
    <mergeCell ref="AK938:AK942"/>
    <mergeCell ref="I948:K948"/>
    <mergeCell ref="F938:F948"/>
    <mergeCell ref="AF938:AF942"/>
    <mergeCell ref="AG938:AG942"/>
    <mergeCell ref="AH938:AH942"/>
    <mergeCell ref="AI938:AI942"/>
    <mergeCell ref="S939:S941"/>
    <mergeCell ref="T939:T941"/>
    <mergeCell ref="U939:U941"/>
    <mergeCell ref="V939:V941"/>
    <mergeCell ref="W939:W941"/>
    <mergeCell ref="X939:X941"/>
    <mergeCell ref="Y939:Y941"/>
    <mergeCell ref="H938:H942"/>
    <mergeCell ref="I938:I942"/>
    <mergeCell ref="J938:J942"/>
    <mergeCell ref="K938:K942"/>
    <mergeCell ref="L938:L942"/>
    <mergeCell ref="M938:M942"/>
    <mergeCell ref="N939:N941"/>
    <mergeCell ref="O939:O941"/>
    <mergeCell ref="G949:G953"/>
    <mergeCell ref="AJ949:AJ953"/>
    <mergeCell ref="AK949:AK953"/>
    <mergeCell ref="I959:K959"/>
    <mergeCell ref="F949:F959"/>
    <mergeCell ref="AF949:AF953"/>
    <mergeCell ref="AG949:AG953"/>
    <mergeCell ref="AH949:AH953"/>
    <mergeCell ref="AI949:AI953"/>
    <mergeCell ref="S950:S952"/>
    <mergeCell ref="T950:T952"/>
    <mergeCell ref="U950:U952"/>
    <mergeCell ref="V950:V952"/>
    <mergeCell ref="W950:W952"/>
    <mergeCell ref="X950:X952"/>
    <mergeCell ref="Y950:Y952"/>
    <mergeCell ref="H949:H953"/>
    <mergeCell ref="I949:I953"/>
    <mergeCell ref="J949:J953"/>
    <mergeCell ref="K949:K953"/>
    <mergeCell ref="L949:L953"/>
    <mergeCell ref="M949:M953"/>
    <mergeCell ref="N950:N952"/>
    <mergeCell ref="O950:O952"/>
    <mergeCell ref="H954:H958"/>
    <mergeCell ref="I954:I958"/>
    <mergeCell ref="J954:J958"/>
    <mergeCell ref="K954:K958"/>
    <mergeCell ref="L954:L958"/>
    <mergeCell ref="AJ932:AJ936"/>
    <mergeCell ref="AK932:AK936"/>
    <mergeCell ref="N933:N935"/>
    <mergeCell ref="O933:O935"/>
    <mergeCell ref="P933:P935"/>
    <mergeCell ref="Q933:Q935"/>
    <mergeCell ref="R933:R935"/>
    <mergeCell ref="S933:S935"/>
    <mergeCell ref="T933:T935"/>
    <mergeCell ref="U933:U935"/>
    <mergeCell ref="V933:V935"/>
    <mergeCell ref="W933:W935"/>
    <mergeCell ref="X933:X935"/>
    <mergeCell ref="Y933:Y935"/>
    <mergeCell ref="P950:P952"/>
    <mergeCell ref="Q950:Q952"/>
    <mergeCell ref="R950:R952"/>
    <mergeCell ref="P939:P941"/>
    <mergeCell ref="Q939:Q941"/>
    <mergeCell ref="R939:R941"/>
    <mergeCell ref="G932:G936"/>
    <mergeCell ref="H943:H947"/>
    <mergeCell ref="I943:I947"/>
    <mergeCell ref="J943:J947"/>
    <mergeCell ref="K943:K947"/>
    <mergeCell ref="L943:L947"/>
    <mergeCell ref="M943:M947"/>
    <mergeCell ref="AF943:AF947"/>
    <mergeCell ref="AG943:AG947"/>
    <mergeCell ref="AH943:AH947"/>
    <mergeCell ref="AI943:AI947"/>
    <mergeCell ref="AJ943:AJ947"/>
    <mergeCell ref="AK943:AK947"/>
    <mergeCell ref="N944:N946"/>
    <mergeCell ref="O944:O946"/>
    <mergeCell ref="P944:P946"/>
    <mergeCell ref="Q944:Q946"/>
    <mergeCell ref="R944:R946"/>
    <mergeCell ref="S944:S946"/>
    <mergeCell ref="T944:T946"/>
    <mergeCell ref="U944:U946"/>
    <mergeCell ref="V944:V946"/>
    <mergeCell ref="W944:W946"/>
    <mergeCell ref="X944:X946"/>
    <mergeCell ref="Y944:Y946"/>
    <mergeCell ref="G943:G947"/>
    <mergeCell ref="L932:L936"/>
    <mergeCell ref="M932:M936"/>
    <mergeCell ref="AF932:AF936"/>
    <mergeCell ref="AG932:AG936"/>
    <mergeCell ref="AH932:AH936"/>
    <mergeCell ref="AI932:AI936"/>
    <mergeCell ref="G954:G958"/>
    <mergeCell ref="M954:M958"/>
    <mergeCell ref="AF954:AF958"/>
    <mergeCell ref="AG954:AG958"/>
    <mergeCell ref="AH954:AH958"/>
    <mergeCell ref="AI954:AI958"/>
    <mergeCell ref="AJ954:AJ958"/>
    <mergeCell ref="AK954:AK958"/>
    <mergeCell ref="N955:N957"/>
    <mergeCell ref="O955:O957"/>
    <mergeCell ref="P955:P957"/>
    <mergeCell ref="Q955:Q957"/>
    <mergeCell ref="R955:R957"/>
    <mergeCell ref="S955:S957"/>
    <mergeCell ref="T955:T957"/>
    <mergeCell ref="U955:U957"/>
    <mergeCell ref="V955:V957"/>
    <mergeCell ref="W955:W957"/>
    <mergeCell ref="X955:X957"/>
    <mergeCell ref="Y955:Y957"/>
  </mergeCells>
  <dataValidations count="4400">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decimal" allowBlank="1" showErrorMessage="1" errorTitle="Ошибка" error="Допускается ввод только неотрицательных чисел!" sqref="AE956">
      <formula1>0</formula1>
      <formula2>9.99999999999999E+23</formula2>
    </dataValidation>
    <dataValidation type="decimal" allowBlank="1" showErrorMessage="1" errorTitle="Ошибка" error="Допускается ввод только неотрицательных чисел!" sqref="AC956">
      <formula1>0</formula1>
      <formula2>9.99999999999999E+23</formula2>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textLength" operator="lessThanOrEqual" allowBlank="1" showInputMessage="1" showErrorMessage="1" errorTitle="Ошибка" error="Допускается ввод не более 900 символов!" sqref="K9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textLength" operator="lessThanOrEqual" allowBlank="1" showInputMessage="1" showErrorMessage="1" errorTitle="Ошибка" error="Допускается ввод не более 900 символов!" sqref="M954">
      <formula1>900</formula1>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decimal" allowBlank="1" showErrorMessage="1" errorTitle="Ошибка" error="Допускается ввод только неотрицательных чисел!" sqref="AE945">
      <formula1>0</formula1>
      <formula2>9.99999999999999E+23</formula2>
    </dataValidation>
    <dataValidation type="decimal" allowBlank="1" showErrorMessage="1" errorTitle="Ошибка" error="Допускается ввод только неотрицательных чисел!" sqref="AC945">
      <formula1>0</formula1>
      <formula2>9.99999999999999E+23</formula2>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textLength" operator="lessThanOrEqual" allowBlank="1" showInputMessage="1" showErrorMessage="1" errorTitle="Ошибка" error="Допускается ввод не более 900 символов!" sqref="K9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M943">
      <formula1>900</formula1>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decimal" allowBlank="1" showErrorMessage="1" errorTitle="Ошибка" error="Допускается ввод только неотрицательных чисел!" sqref="AE934">
      <formula1>0</formula1>
      <formula2>9.99999999999999E+23</formula2>
    </dataValidation>
    <dataValidation type="decimal" allowBlank="1" showErrorMessage="1" errorTitle="Ошибка" error="Допускается ввод только неотрицательных чисел!" sqref="AC934">
      <formula1>0</formula1>
      <formula2>9.99999999999999E+23</formula2>
    </dataValidation>
    <dataValidation type="textLength" operator="lessThanOrEqual" allowBlank="1" showInputMessage="1" showErrorMessage="1" errorTitle="Ошибка" error="Допускается ввод не более 900 символов!" sqref="K9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textLength" operator="lessThanOrEqual" allowBlank="1" showInputMessage="1" showErrorMessage="1" errorTitle="Ошибка" error="Допускается ввод не более 900 символов!" sqref="M932">
      <formula1>900</formula1>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decimal" allowBlank="1" showErrorMessage="1" errorTitle="Ошибка" error="Допускается ввод только неотрицательных чисел!" sqref="AE951">
      <formula1>0</formula1>
      <formula2>9.99999999999999E+23</formula2>
    </dataValidation>
    <dataValidation type="decimal" allowBlank="1" showErrorMessage="1" errorTitle="Ошибка" error="Допускается ввод только неотрицательных чисел!" sqref="AC951">
      <formula1>0</formula1>
      <formula2>9.99999999999999E+23</formula2>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textLength" operator="lessThanOrEqual" allowBlank="1" showInputMessage="1" showErrorMessage="1" errorTitle="Ошибка" error="Допускается ввод не более 900 символов!" sqref="M949">
      <formula1>900</formula1>
    </dataValidation>
    <dataValidation type="textLength" operator="lessThanOrEqual" allowBlank="1" showInputMessage="1" showErrorMessage="1" errorTitle="Ошибка" error="Допускается ввод не более 900 символов!" sqref="K9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decimal" allowBlank="1" showErrorMessage="1" errorTitle="Ошибка" error="Допускается ввод только неотрицательных чисел!" sqref="AE940">
      <formula1>0</formula1>
      <formula2>9.99999999999999E+23</formula2>
    </dataValidation>
    <dataValidation type="decimal" allowBlank="1" showErrorMessage="1" errorTitle="Ошибка" error="Допускается ввод только неотрицательных чисел!" sqref="AC940">
      <formula1>0</formula1>
      <formula2>9.99999999999999E+23</formula2>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textLength" operator="lessThanOrEqual" allowBlank="1" showInputMessage="1" showErrorMessage="1" errorTitle="Ошибка" error="Допускается ввод не более 900 символов!" sqref="K9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textLength" operator="lessThanOrEqual" allowBlank="1" showInputMessage="1" showErrorMessage="1" errorTitle="Ошибка" error="Допускается ввод не более 900 символов!" sqref="M938">
      <formula1>900</formula1>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decimal" allowBlank="1" showErrorMessage="1" errorTitle="Ошибка" error="Допускается ввод только неотрицательных чисел!" sqref="AE929">
      <formula1>0</formula1>
      <formula2>9.99999999999999E+23</formula2>
    </dataValidation>
    <dataValidation type="decimal" allowBlank="1" showErrorMessage="1" errorTitle="Ошибка" error="Допускается ввод только неотрицательных чисел!" sqref="AC929">
      <formula1>0</formula1>
      <formula2>9.99999999999999E+23</formula2>
    </dataValidation>
    <dataValidation type="textLength" operator="lessThanOrEqual" allowBlank="1" showInputMessage="1" showErrorMessage="1" errorTitle="Ошибка" error="Допускается ввод не более 900 символов!" sqref="K9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textLength" operator="lessThanOrEqual" allowBlank="1" showInputMessage="1" showErrorMessage="1" errorTitle="Ошибка" error="Допускается ввод не более 900 символов!" sqref="M927">
      <formula1>900</formula1>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textLength" operator="lessThanOrEqual" allowBlank="1" showInputMessage="1" showErrorMessage="1" errorTitle="Ошибка" error="Допускается ввод не более 900 символов!" sqref="M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textLength" operator="lessThanOrEqual" allowBlank="1" showInputMessage="1" showErrorMessage="1" errorTitle="Ошибка" error="Допускается ввод не более 900 символов!" sqref="M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textLength" operator="lessThanOrEqual" allowBlank="1" showInputMessage="1" showErrorMessage="1" errorTitle="Ошибка" error="Допускается ввод не более 900 символов!" sqref="M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textLength" operator="lessThanOrEqual" allowBlank="1" showInputMessage="1" showErrorMessage="1" errorTitle="Ошибка" error="Допускается ввод не более 900 символов!" sqref="M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textLength" operator="lessThanOrEqual" allowBlank="1" showInputMessage="1" showErrorMessage="1" errorTitle="Ошибка" error="Допускается ввод не более 900 символов!" sqref="M345">
      <formula1>900</formula1>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decimal" allowBlank="1" showErrorMessage="1" errorTitle="Ошибка" error="Допускается ввод только неотрицательных чисел!" sqref="AC347">
      <formula1>0</formula1>
      <formula2>9.99999999999999E+23</formula2>
    </dataValidation>
    <dataValidation type="decimal" allowBlank="1" showErrorMessage="1" errorTitle="Ошибка" error="Допускается ввод только неотрицательных чисел!" sqref="AE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textLength" operator="lessThanOrEqual" allowBlank="1" showInputMessage="1" showErrorMessage="1" errorTitle="Ошибка" error="Допускается ввод не более 900 символов!" sqref="M362">
      <formula1>900</formula1>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decimal" allowBlank="1" showErrorMessage="1" errorTitle="Ошибка" error="Допускается ввод только неотрицательных чисел!" sqref="AC364">
      <formula1>0</formula1>
      <formula2>9.99999999999999E+23</formula2>
    </dataValidation>
    <dataValidation type="decimal" allowBlank="1" showErrorMessage="1" errorTitle="Ошибка" error="Допускается ввод только неотрицательных чисел!" sqref="AE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textLength" operator="lessThanOrEqual" allowBlank="1" showInputMessage="1" showErrorMessage="1" errorTitle="Ошибка" error="Допускается ввод не более 900 символов!" sqref="M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textLength" operator="lessThanOrEqual" allowBlank="1" showInputMessage="1" showErrorMessage="1" errorTitle="Ошибка" error="Допускается ввод не более 900 символов!" sqref="M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decimal" allowBlank="1" showErrorMessage="1" errorTitle="Ошибка" error="Допускается ввод только неотрицательных чисел!" sqref="AC398">
      <formula1>0</formula1>
      <formula2>9.99999999999999E+23</formula2>
    </dataValidation>
    <dataValidation type="decimal" allowBlank="1" showErrorMessage="1" errorTitle="Ошибка" error="Допускается ввод только неотрицательных чисел!" sqref="AE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textLength" operator="lessThanOrEqual" allowBlank="1" showInputMessage="1" showErrorMessage="1" errorTitle="Ошибка" error="Допускается ввод не более 900 символов!" sqref="M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decimal" allowBlank="1" showErrorMessage="1" errorTitle="Ошибка" error="Допускается ввод только неотрицательных чисел!" sqref="AC410">
      <formula1>0</formula1>
      <formula2>9.99999999999999E+23</formula2>
    </dataValidation>
    <dataValidation type="decimal" allowBlank="1" showErrorMessage="1" errorTitle="Ошибка" error="Допускается ввод только неотрицательных чисел!" sqref="AE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textLength" operator="lessThanOrEqual" allowBlank="1" showInputMessage="1" showErrorMessage="1" errorTitle="Ошибка" error="Допускается ввод не более 900 символов!" sqref="M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textLength" operator="lessThanOrEqual" allowBlank="1" showInputMessage="1" showErrorMessage="1" errorTitle="Ошибка" error="Допускается ввод не более 900 символов!" sqref="M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textLength" operator="lessThanOrEqual" allowBlank="1" showInputMessage="1" showErrorMessage="1" errorTitle="Ошибка" error="Допускается ввод не более 900 символов!" sqref="M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decimal" allowBlank="1" showErrorMessage="1" errorTitle="Ошибка" error="Допускается ввод только неотрицательных чисел!" sqref="AC446">
      <formula1>0</formula1>
      <formula2>9.99999999999999E+23</formula2>
    </dataValidation>
    <dataValidation type="decimal" allowBlank="1" showErrorMessage="1" errorTitle="Ошибка" error="Допускается ввод только неотрицательных чисел!" sqref="AE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textLength" operator="lessThanOrEqual" allowBlank="1" showInputMessage="1" showErrorMessage="1" errorTitle="Ошибка" error="Допускается ввод не более 900 символов!" sqref="M455">
      <formula1>900</formula1>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textLength" operator="lessThanOrEqual" allowBlank="1" showInputMessage="1" showErrorMessage="1" errorTitle="Ошибка" error="Допускается ввод не более 900 символов!" sqref="M466">
      <formula1>900</formula1>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textLength" operator="lessThanOrEqual" allowBlank="1" showInputMessage="1" showErrorMessage="1" errorTitle="Ошибка" error="Допускается ввод не более 900 символов!" sqref="M477">
      <formula1>900</formula1>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textLength" operator="lessThanOrEqual" allowBlank="1" showInputMessage="1" showErrorMessage="1" errorTitle="Ошибка" error="Допускается ввод не более 900 символов!" sqref="M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decimal" allowBlank="1" showErrorMessage="1" errorTitle="Ошибка" error="Допускается ввод только неотрицательных чисел!" sqref="AC490">
      <formula1>0</formula1>
      <formula2>9.99999999999999E+23</formula2>
    </dataValidation>
    <dataValidation type="decimal" allowBlank="1" showErrorMessage="1" errorTitle="Ошибка" error="Допускается ввод только неотрицательных чисел!" sqref="AE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textLength" operator="lessThanOrEqual" allowBlank="1" showInputMessage="1" showErrorMessage="1" errorTitle="Ошибка" error="Допускается ввод не более 900 символов!" sqref="M499">
      <formula1>900</formula1>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decimal" allowBlank="1" showErrorMessage="1" errorTitle="Ошибка" error="Допускается ввод только неотрицательных чисел!" sqref="AC501">
      <formula1>0</formula1>
      <formula2>9.99999999999999E+23</formula2>
    </dataValidation>
    <dataValidation type="decimal" allowBlank="1" showErrorMessage="1" errorTitle="Ошибка" error="Допускается ввод только неотрицательных чисел!" sqref="AE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textLength" operator="lessThanOrEqual" allowBlank="1" showInputMessage="1" showErrorMessage="1" errorTitle="Ошибка" error="Допускается ввод не более 900 символов!" sqref="M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textLength" operator="lessThanOrEqual" allowBlank="1" showInputMessage="1" showErrorMessage="1" errorTitle="Ошибка" error="Допускается ввод не более 900 символов!" sqref="M521">
      <formula1>900</formula1>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decimal" allowBlank="1" showErrorMessage="1" errorTitle="Ошибка" error="Допускается ввод только неотрицательных чисел!" sqref="AC523">
      <formula1>0</formula1>
      <formula2>9.99999999999999E+23</formula2>
    </dataValidation>
    <dataValidation type="decimal" allowBlank="1" showErrorMessage="1" errorTitle="Ошибка" error="Допускается ввод только неотрицательных чисел!" sqref="AE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textLength" operator="lessThanOrEqual" allowBlank="1" showInputMessage="1" showErrorMessage="1" errorTitle="Ошибка" error="Допускается ввод не более 900 символов!" sqref="M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textLength" operator="lessThanOrEqual" allowBlank="1" showInputMessage="1" showErrorMessage="1" errorTitle="Ошибка" error="Допускается ввод не более 900 символов!" sqref="M545">
      <formula1>900</formula1>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textLength" operator="lessThanOrEqual" allowBlank="1" showInputMessage="1" showErrorMessage="1" errorTitle="Ошибка" error="Допускается ввод не более 900 символов!" sqref="M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textLength" operator="lessThanOrEqual" allowBlank="1" showInputMessage="1" showErrorMessage="1" errorTitle="Ошибка" error="Допускается ввод не более 900 символов!" sqref="M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textLength" operator="lessThanOrEqual" allowBlank="1" showInputMessage="1" showErrorMessage="1" errorTitle="Ошибка" error="Допускается ввод не более 900 символов!" sqref="M578">
      <formula1>900</formula1>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textLength" operator="lessThanOrEqual" allowBlank="1" showInputMessage="1" showErrorMessage="1" errorTitle="Ошибка" error="Допускается ввод не более 900 символов!" sqref="M589">
      <formula1>900</formula1>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textLength" operator="lessThanOrEqual" allowBlank="1" showInputMessage="1" showErrorMessage="1" errorTitle="Ошибка" error="Допускается ввод не более 900 символов!" sqref="K590">
      <formula1>900</formula1>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textLength" operator="lessThanOrEqual" allowBlank="1" showInputMessage="1" showErrorMessage="1" errorTitle="Ошибка" error="Допускается ввод не более 900 символов!" sqref="M600">
      <formula1>900</formula1>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decimal" allowBlank="1" showErrorMessage="1" errorTitle="Ошибка" error="Допускается ввод только неотрицательных чисел!" sqref="AC602">
      <formula1>0</formula1>
      <formula2>9.99999999999999E+23</formula2>
    </dataValidation>
    <dataValidation type="decimal" allowBlank="1" showErrorMessage="1" errorTitle="Ошибка" error="Допускается ввод только неотрицательных чисел!" sqref="AE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textLength" operator="lessThanOrEqual" allowBlank="1" showInputMessage="1" showErrorMessage="1" errorTitle="Ошибка" error="Допускается ввод не более 900 символов!" sqref="M611">
      <formula1>900</formula1>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textLength" operator="lessThanOrEqual" allowBlank="1" showInputMessage="1" showErrorMessage="1" errorTitle="Ошибка" error="Допускается ввод не более 900 символов!" sqref="M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textLength" operator="lessThanOrEqual" allowBlank="1" showInputMessage="1" showErrorMessage="1" errorTitle="Ошибка" error="Допускается ввод не более 900 символов!" sqref="M633">
      <formula1>900</formula1>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decimal" allowBlank="1" showErrorMessage="1" errorTitle="Ошибка" error="Допускается ввод только неотрицательных чисел!" sqref="AC635">
      <formula1>0</formula1>
      <formula2>9.99999999999999E+23</formula2>
    </dataValidation>
    <dataValidation type="decimal" allowBlank="1" showErrorMessage="1" errorTitle="Ошибка" error="Допускается ввод только неотрицательных чисел!" sqref="AE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textLength" operator="lessThanOrEqual" allowBlank="1" showInputMessage="1" showErrorMessage="1" errorTitle="Ошибка" error="Допускается ввод не более 900 символов!" sqref="M645">
      <formula1>900</formula1>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textLength" operator="lessThanOrEqual" allowBlank="1" showInputMessage="1" showErrorMessage="1" errorTitle="Ошибка" error="Допускается ввод не более 900 символов!" sqref="K647">
      <formula1>900</formula1>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textLength" operator="lessThanOrEqual" allowBlank="1" showInputMessage="1" showErrorMessage="1" errorTitle="Ошибка" error="Допускается ввод не более 900 символов!" sqref="M656">
      <formula1>900</formula1>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decimal" allowBlank="1" showErrorMessage="1" errorTitle="Ошибка" error="Допускается ввод только неотрицательных чисел!" sqref="AC658">
      <formula1>0</formula1>
      <formula2>9.99999999999999E+23</formula2>
    </dataValidation>
    <dataValidation type="decimal" allowBlank="1" showErrorMessage="1" errorTitle="Ошибка" error="Допускается ввод только неотрицательных чисел!" sqref="AE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textLength" operator="lessThanOrEqual" allowBlank="1" showInputMessage="1" showErrorMessage="1" errorTitle="Ошибка" error="Допускается ввод не более 900 символов!" sqref="K667">
      <formula1>900</formula1>
    </dataValidation>
    <dataValidation type="textLength" operator="lessThanOrEqual" allowBlank="1" showInputMessage="1" showErrorMessage="1" errorTitle="Ошибка" error="Допускается ввод не более 900 символов!" sqref="M667">
      <formula1>900</formula1>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decimal" allowBlank="1" showErrorMessage="1" errorTitle="Ошибка" error="Допускается ввод только неотрицательных чисел!" sqref="AC669">
      <formula1>0</formula1>
      <formula2>9.99999999999999E+23</formula2>
    </dataValidation>
    <dataValidation type="decimal" allowBlank="1" showErrorMessage="1" errorTitle="Ошибка" error="Допускается ввод только неотрицательных чисел!" sqref="AE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textLength" operator="lessThanOrEqual" allowBlank="1" showInputMessage="1" showErrorMessage="1" errorTitle="Ошибка" error="Допускается ввод не более 900 символов!" sqref="M680">
      <formula1>900</formula1>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decimal" allowBlank="1" showErrorMessage="1" errorTitle="Ошибка" error="Допускается ввод только неотрицательных чисел!" sqref="AC682">
      <formula1>0</formula1>
      <formula2>9.99999999999999E+23</formula2>
    </dataValidation>
    <dataValidation type="decimal" allowBlank="1" showErrorMessage="1" errorTitle="Ошибка" error="Допускается ввод только неотрицательных чисел!" sqref="AE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textLength" operator="lessThanOrEqual" allowBlank="1" showInputMessage="1" showErrorMessage="1" errorTitle="Ошибка" error="Допускается ввод не более 900 символов!" sqref="M691">
      <formula1>900</formula1>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decimal" allowBlank="1" showErrorMessage="1" errorTitle="Ошибка" error="Допускается ввод только неотрицательных чисел!" sqref="AC693">
      <formula1>0</formula1>
      <formula2>9.99999999999999E+23</formula2>
    </dataValidation>
    <dataValidation type="decimal" allowBlank="1" showErrorMessage="1" errorTitle="Ошибка" error="Допускается ввод только неотрицательных чисел!" sqref="AE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textLength" operator="lessThanOrEqual" allowBlank="1" showInputMessage="1" showErrorMessage="1" errorTitle="Ошибка" error="Допускается ввод не более 900 символов!" sqref="M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textLength" operator="lessThanOrEqual" allowBlank="1" showInputMessage="1" showErrorMessage="1" errorTitle="Ошибка" error="Допускается ввод не более 900 символов!" sqref="K703">
      <formula1>900</formula1>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textLength" operator="lessThanOrEqual" allowBlank="1" showInputMessage="1" showErrorMessage="1" errorTitle="Ошибка" error="Допускается ввод не более 900 символов!" sqref="K704">
      <formula1>900</formula1>
    </dataValidation>
    <dataValidation type="decimal" allowBlank="1" showErrorMessage="1" errorTitle="Ошибка" error="Допускается ввод только неотрицательных чисел!" sqref="AC704">
      <formula1>0</formula1>
      <formula2>9.99999999999999E+23</formula2>
    </dataValidation>
    <dataValidation type="decimal" allowBlank="1" showErrorMessage="1" errorTitle="Ошибка" error="Допускается ввод только неотрицательных чисел!" sqref="AE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textLength" operator="lessThanOrEqual" allowBlank="1" showInputMessage="1" showErrorMessage="1" errorTitle="Ошибка" error="Допускается ввод не более 900 символов!" sqref="M714">
      <formula1>900</formula1>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decimal" allowBlank="1" showErrorMessage="1" errorTitle="Ошибка" error="Допускается ввод только неотрицательных чисел!" sqref="AC716">
      <formula1>0</formula1>
      <formula2>9.99999999999999E+23</formula2>
    </dataValidation>
    <dataValidation type="decimal" allowBlank="1" showErrorMessage="1" errorTitle="Ошибка" error="Допускается ввод только неотрицательных чисел!" sqref="AE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textLength" operator="lessThanOrEqual" allowBlank="1" showInputMessage="1" showErrorMessage="1" errorTitle="Ошибка" error="Допускается ввод не более 900 символов!" sqref="K727">
      <formula1>900</formula1>
    </dataValidation>
    <dataValidation type="textLength" operator="lessThanOrEqual" allowBlank="1" showInputMessage="1" showErrorMessage="1" errorTitle="Ошибка" error="Допускается ввод не более 900 символов!" sqref="M727">
      <formula1>900</formula1>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decimal" allowBlank="1" showErrorMessage="1" errorTitle="Ошибка" error="Допускается ввод только неотрицательных чисел!" sqref="AC729">
      <formula1>0</formula1>
      <formula2>9.99999999999999E+23</formula2>
    </dataValidation>
    <dataValidation type="decimal" allowBlank="1" showErrorMessage="1" errorTitle="Ошибка" error="Допускается ввод только неотрицательных чисел!" sqref="AE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textLength" operator="lessThanOrEqual" allowBlank="1" showInputMessage="1" showErrorMessage="1" errorTitle="Ошибка" error="Допускается ввод не более 900 символов!" sqref="M738">
      <formula1>900</formula1>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textLength" operator="lessThanOrEqual" allowBlank="1" showInputMessage="1" showErrorMessage="1" errorTitle="Ошибка" error="Допускается ввод не более 900 символов!" sqref="M749">
      <formula1>900</formula1>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decimal" allowBlank="1" showErrorMessage="1" errorTitle="Ошибка" error="Допускается ввод только неотрицательных чисел!" sqref="AC751">
      <formula1>0</formula1>
      <formula2>9.99999999999999E+23</formula2>
    </dataValidation>
    <dataValidation type="decimal" allowBlank="1" showErrorMessage="1" errorTitle="Ошибка" error="Допускается ввод только неотрицательных чисел!" sqref="AE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textLength" operator="lessThanOrEqual" allowBlank="1" showInputMessage="1" showErrorMessage="1" errorTitle="Ошибка" error="Допускается ввод не более 900 символов!" sqref="K752">
      <formula1>900</formula1>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textLength" operator="lessThanOrEqual" allowBlank="1" showInputMessage="1" showErrorMessage="1" errorTitle="Ошибка" error="Допускается ввод не более 900 символов!" sqref="K761">
      <formula1>900</formula1>
    </dataValidation>
    <dataValidation type="textLength" operator="lessThanOrEqual" allowBlank="1" showInputMessage="1" showErrorMessage="1" errorTitle="Ошибка" error="Допускается ввод не более 900 символов!" sqref="M761">
      <formula1>900</formula1>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decimal" allowBlank="1" showErrorMessage="1" errorTitle="Ошибка" error="Допускается ввод только неотрицательных чисел!" sqref="AC763">
      <formula1>0</formula1>
      <formula2>9.99999999999999E+23</formula2>
    </dataValidation>
    <dataValidation type="decimal" allowBlank="1" showErrorMessage="1" errorTitle="Ошибка" error="Допускается ввод только неотрицательных чисел!" sqref="AE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textLength" operator="lessThanOrEqual" allowBlank="1" showInputMessage="1" showErrorMessage="1" errorTitle="Ошибка" error="Допускается ввод не более 900 символов!" sqref="K772">
      <formula1>900</formula1>
    </dataValidation>
    <dataValidation type="textLength" operator="lessThanOrEqual" allowBlank="1" showInputMessage="1" showErrorMessage="1" errorTitle="Ошибка" error="Допускается ввод не более 900 символов!" sqref="M772">
      <formula1>900</formula1>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decimal" allowBlank="1" showErrorMessage="1" errorTitle="Ошибка" error="Допускается ввод только неотрицательных чисел!" sqref="AC774">
      <formula1>0</formula1>
      <formula2>9.99999999999999E+23</formula2>
    </dataValidation>
    <dataValidation type="decimal" allowBlank="1" showErrorMessage="1" errorTitle="Ошибка" error="Допускается ввод только неотрицательных чисел!" sqref="AE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textLength" operator="lessThanOrEqual" allowBlank="1" showInputMessage="1" showErrorMessage="1" errorTitle="Ошибка" error="Допускается ввод не более 900 символов!" sqref="K775">
      <formula1>900</formula1>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textLength" operator="lessThanOrEqual" allowBlank="1" showInputMessage="1" showErrorMessage="1" errorTitle="Ошибка" error="Допускается ввод не более 900 символов!" sqref="M783">
      <formula1>900</formula1>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textLength" operator="lessThanOrEqual" allowBlank="1" showInputMessage="1" showErrorMessage="1" errorTitle="Ошибка" error="Допускается ввод не более 900 символов!" sqref="K794">
      <formula1>900</formula1>
    </dataValidation>
    <dataValidation type="textLength" operator="lessThanOrEqual" allowBlank="1" showInputMessage="1" showErrorMessage="1" errorTitle="Ошибка" error="Допускается ввод не более 900 символов!" sqref="M794">
      <formula1>900</formula1>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textLength" operator="lessThanOrEqual" allowBlank="1" showInputMessage="1" showErrorMessage="1" errorTitle="Ошибка" error="Допускается ввод не более 900 символов!" sqref="K795">
      <formula1>900</formula1>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decimal" allowBlank="1" showErrorMessage="1" errorTitle="Ошибка" error="Допускается ввод только неотрицательных чисел!" sqref="AC796">
      <formula1>0</formula1>
      <formula2>9.99999999999999E+23</formula2>
    </dataValidation>
    <dataValidation type="decimal" allowBlank="1" showErrorMessage="1" errorTitle="Ошибка" error="Допускается ввод только неотрицательных чисел!" sqref="AE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textLength" operator="lessThanOrEqual" allowBlank="1" showInputMessage="1" showErrorMessage="1" errorTitle="Ошибка" error="Допускается ввод не более 900 символов!" sqref="K805">
      <formula1>900</formula1>
    </dataValidation>
    <dataValidation type="textLength" operator="lessThanOrEqual" allowBlank="1" showInputMessage="1" showErrorMessage="1" errorTitle="Ошибка" error="Допускается ввод не более 900 символов!" sqref="M805">
      <formula1>900</formula1>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textLength" operator="lessThanOrEqual" allowBlank="1" showInputMessage="1" showErrorMessage="1" errorTitle="Ошибка" error="Допускается ввод не более 900 символов!" sqref="K806">
      <formula1>900</formula1>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textLength" operator="lessThanOrEqual" allowBlank="1" showInputMessage="1" showErrorMessage="1" errorTitle="Ошибка" error="Допускается ввод не более 900 символов!" sqref="K807">
      <formula1>900</formula1>
    </dataValidation>
    <dataValidation type="decimal" allowBlank="1" showErrorMessage="1" errorTitle="Ошибка" error="Допускается ввод только неотрицательных чисел!" sqref="AC807">
      <formula1>0</formula1>
      <formula2>9.99999999999999E+23</formula2>
    </dataValidation>
    <dataValidation type="decimal" allowBlank="1" showErrorMessage="1" errorTitle="Ошибка" error="Допускается ввод только неотрицательных чисел!" sqref="AE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textLength" operator="lessThanOrEqual" allowBlank="1" showInputMessage="1" showErrorMessage="1" errorTitle="Ошибка" error="Допускается ввод не более 900 символов!" sqref="M816">
      <formula1>900</formula1>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textLength" operator="lessThanOrEqual" allowBlank="1" showInputMessage="1" showErrorMessage="1" errorTitle="Ошибка" error="Допускается ввод не более 900 символов!" sqref="K817">
      <formula1>900</formula1>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textLength" operator="lessThanOrEqual" allowBlank="1" showInputMessage="1" showErrorMessage="1" errorTitle="Ошибка" error="Допускается ввод не более 900 символов!" sqref="K818">
      <formula1>900</formula1>
    </dataValidation>
    <dataValidation type="decimal" allowBlank="1" showErrorMessage="1" errorTitle="Ошибка" error="Допускается ввод только неотрицательных чисел!" sqref="AC818">
      <formula1>0</formula1>
      <formula2>9.99999999999999E+23</formula2>
    </dataValidation>
    <dataValidation type="decimal" allowBlank="1" showErrorMessage="1" errorTitle="Ошибка" error="Допускается ввод только неотрицательных чисел!" sqref="AE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textLength" operator="lessThanOrEqual" allowBlank="1" showInputMessage="1" showErrorMessage="1" errorTitle="Ошибка" error="Допускается ввод не более 900 символов!" sqref="K819">
      <formula1>900</formula1>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textLength" operator="lessThanOrEqual" allowBlank="1" showInputMessage="1" showErrorMessage="1" errorTitle="Ошибка" error="Допускается ввод не более 900 символов!" sqref="M827">
      <formula1>900</formula1>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decimal" allowBlank="1" showErrorMessage="1" errorTitle="Ошибка" error="Допускается ввод только неотрицательных чисел!" sqref="AC829">
      <formula1>0</formula1>
      <formula2>9.99999999999999E+23</formula2>
    </dataValidation>
    <dataValidation type="decimal" allowBlank="1" showErrorMessage="1" errorTitle="Ошибка" error="Допускается ввод только неотрицательных чисел!" sqref="AE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textLength" operator="lessThanOrEqual" allowBlank="1" showInputMessage="1" showErrorMessage="1" errorTitle="Ошибка" error="Допускается ввод не более 900 символов!" sqref="K838">
      <formula1>900</formula1>
    </dataValidation>
    <dataValidation type="textLength" operator="lessThanOrEqual" allowBlank="1" showInputMessage="1" showErrorMessage="1" errorTitle="Ошибка" error="Допускается ввод не более 900 символов!" sqref="M838">
      <formula1>900</formula1>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decimal" allowBlank="1" showErrorMessage="1" errorTitle="Ошибка" error="Допускается ввод только неотрицательных чисел!" sqref="AC840">
      <formula1>0</formula1>
      <formula2>9.99999999999999E+23</formula2>
    </dataValidation>
    <dataValidation type="decimal" allowBlank="1" showErrorMessage="1" errorTitle="Ошибка" error="Допускается ввод только неотрицательных чисел!" sqref="AE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textLength" operator="lessThanOrEqual" allowBlank="1" showInputMessage="1" showErrorMessage="1" errorTitle="Ошибка" error="Допускается ввод не более 900 символов!" sqref="M849">
      <formula1>900</formula1>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textLength" operator="lessThanOrEqual" allowBlank="1" showInputMessage="1" showErrorMessage="1" errorTitle="Ошибка" error="Допускается ввод не более 900 символов!" sqref="K851">
      <formula1>900</formula1>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textLength" operator="lessThanOrEqual" allowBlank="1" showInputMessage="1" showErrorMessage="1" errorTitle="Ошибка" error="Допускается ввод не более 900 символов!" sqref="M860">
      <formula1>900</formula1>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textLength" operator="lessThanOrEqual" allowBlank="1" showInputMessage="1" showErrorMessage="1" errorTitle="Ошибка" error="Допускается ввод не более 900 символов!" sqref="K861">
      <formula1>900</formula1>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textLength" operator="lessThanOrEqual" allowBlank="1" showInputMessage="1" showErrorMessage="1" errorTitle="Ошибка" error="Допускается ввод не более 900 символов!" sqref="K862">
      <formula1>900</formula1>
    </dataValidation>
    <dataValidation type="decimal" allowBlank="1" showErrorMessage="1" errorTitle="Ошибка" error="Допускается ввод только неотрицательных чисел!" sqref="AC862">
      <formula1>0</formula1>
      <formula2>9.99999999999999E+23</formula2>
    </dataValidation>
    <dataValidation type="decimal" allowBlank="1" showErrorMessage="1" errorTitle="Ошибка" error="Допускается ввод только неотрицательных чисел!" sqref="AE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textLength" operator="lessThanOrEqual" allowBlank="1" showInputMessage="1" showErrorMessage="1" errorTitle="Ошибка" error="Допускается ввод не более 900 символов!" sqref="K863">
      <formula1>900</formula1>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textLength" operator="lessThanOrEqual" allowBlank="1" showInputMessage="1" showErrorMessage="1" errorTitle="Ошибка" error="Допускается ввод не более 900 символов!" sqref="M871">
      <formula1>900</formula1>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textLength" operator="lessThanOrEqual" allowBlank="1" showInputMessage="1" showErrorMessage="1" errorTitle="Ошибка" error="Допускается ввод не более 900 символов!" sqref="K873">
      <formula1>900</formula1>
    </dataValidation>
    <dataValidation type="decimal" allowBlank="1" showErrorMessage="1" errorTitle="Ошибка" error="Допускается ввод только неотрицательных чисел!" sqref="AC873">
      <formula1>0</formula1>
      <formula2>9.99999999999999E+23</formula2>
    </dataValidation>
    <dataValidation type="decimal" allowBlank="1" showErrorMessage="1" errorTitle="Ошибка" error="Допускается ввод только неотрицательных чисел!" sqref="AE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textLength" operator="lessThanOrEqual" allowBlank="1" showInputMessage="1" showErrorMessage="1" errorTitle="Ошибка" error="Допускается ввод не более 900 символов!" sqref="K882">
      <formula1>900</formula1>
    </dataValidation>
    <dataValidation type="textLength" operator="lessThanOrEqual" allowBlank="1" showInputMessage="1" showErrorMessage="1" errorTitle="Ошибка" error="Допускается ввод не более 900 символов!" sqref="M882">
      <formula1>900</formula1>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textLength" operator="lessThanOrEqual" allowBlank="1" showInputMessage="1" showErrorMessage="1" errorTitle="Ошибка" error="Допускается ввод не более 900 символов!" sqref="K883">
      <formula1>900</formula1>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decimal" allowBlank="1" showErrorMessage="1" errorTitle="Ошибка" error="Допускается ввод только неотрицательных чисел!" sqref="AC884">
      <formula1>0</formula1>
      <formula2>9.99999999999999E+23</formula2>
    </dataValidation>
    <dataValidation type="decimal" allowBlank="1" showErrorMessage="1" errorTitle="Ошибка" error="Допускается ввод только неотрицательных чисел!" sqref="AE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textLength" operator="lessThanOrEqual" allowBlank="1" showInputMessage="1" showErrorMessage="1" errorTitle="Ошибка" error="Допускается ввод не более 900 символов!" sqref="K893">
      <formula1>900</formula1>
    </dataValidation>
    <dataValidation type="textLength" operator="lessThanOrEqual" allowBlank="1" showInputMessage="1" showErrorMessage="1" errorTitle="Ошибка" error="Допускается ввод не более 900 символов!" sqref="M893">
      <formula1>900</formula1>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textLength" operator="lessThanOrEqual" allowBlank="1" showInputMessage="1" showErrorMessage="1" errorTitle="Ошибка" error="Допускается ввод не более 900 символов!" sqref="K895">
      <formula1>900</formula1>
    </dataValidation>
    <dataValidation type="decimal" allowBlank="1" showErrorMessage="1" errorTitle="Ошибка" error="Допускается ввод только неотрицательных чисел!" sqref="AC895">
      <formula1>0</formula1>
      <formula2>9.99999999999999E+23</formula2>
    </dataValidation>
    <dataValidation type="decimal" allowBlank="1" showErrorMessage="1" errorTitle="Ошибка" error="Допускается ввод только неотрицательных чисел!" sqref="AE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textLength" operator="lessThanOrEqual" allowBlank="1" showInputMessage="1" showErrorMessage="1" errorTitle="Ошибка" error="Допускается ввод не более 900 символов!" sqref="K896">
      <formula1>900</formula1>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textLength" operator="lessThanOrEqual" allowBlank="1" showInputMessage="1" showErrorMessage="1" errorTitle="Ошибка" error="Допускается ввод не более 900 символов!" sqref="K904">
      <formula1>900</formula1>
    </dataValidation>
    <dataValidation type="textLength" operator="lessThanOrEqual" allowBlank="1" showInputMessage="1" showErrorMessage="1" errorTitle="Ошибка" error="Допускается ввод не более 900 символов!" sqref="M904">
      <formula1>900</formula1>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decimal" allowBlank="1" showErrorMessage="1" errorTitle="Ошибка" error="Допускается ввод только неотрицательных чисел!" sqref="AC906">
      <formula1>0</formula1>
      <formula2>9.99999999999999E+23</formula2>
    </dataValidation>
    <dataValidation type="decimal" allowBlank="1" showErrorMessage="1" errorTitle="Ошибка" error="Допускается ввод только неотрицательных чисел!" sqref="AE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textLength" operator="lessThanOrEqual" allowBlank="1" showInputMessage="1" showErrorMessage="1" errorTitle="Ошибка" error="Допускается ввод не более 900 символов!" sqref="K907">
      <formula1>900</formula1>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textLength" operator="lessThanOrEqual" allowBlank="1" showInputMessage="1" showErrorMessage="1" errorTitle="Ошибка" error="Допускается ввод не более 900 символов!" sqref="M915">
      <formula1>900</formula1>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textLength" operator="lessThanOrEqual" allowBlank="1" showInputMessage="1" showErrorMessage="1" errorTitle="Ошибка" error="Допускается ввод не более 900 символов!" sqref="K916">
      <formula1>900</formula1>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textLength" operator="lessThanOrEqual" allowBlank="1" showInputMessage="1" showErrorMessage="1" errorTitle="Ошибка" error="Допускается ввод не более 900 символов!" sqref="K917">
      <formula1>900</formula1>
    </dataValidation>
    <dataValidation type="decimal" allowBlank="1" showErrorMessage="1" errorTitle="Ошибка" error="Допускается ввод только неотрицательных чисел!" sqref="AC917">
      <formula1>0</formula1>
      <formula2>9.99999999999999E+23</formula2>
    </dataValidation>
    <dataValidation type="decimal" allowBlank="1" showErrorMessage="1" errorTitle="Ошибка" error="Допускается ввод только неотрицательных чисел!" sqref="AE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textLength" operator="lessThanOrEqual" allowBlank="1" showInputMessage="1" showErrorMessage="1" errorTitle="Ошибка" error="Допускается ввод не более 900 символов!" sqref="M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textLength" operator="lessThanOrEqual" allowBlank="1" showInputMessage="1" showErrorMessage="1" errorTitle="Ошибка" error="Допускается ввод не более 900 символов!" sqref="M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textLength" operator="lessThanOrEqual" allowBlank="1" showInputMessage="1" showErrorMessage="1" errorTitle="Ошибка" error="Допускается ввод не более 900 символов!" sqref="M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decimal" allowBlank="1" showErrorMessage="1" errorTitle="Ошибка" error="Допускается ввод только неотрицательных чисел!" sqref="AC205">
      <formula1>0</formula1>
      <formula2>9.99999999999999E+23</formula2>
    </dataValidation>
    <dataValidation type="decimal" allowBlank="1" showErrorMessage="1" errorTitle="Ошибка" error="Допускается ввод только неотрицательных чисел!" sqref="AE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textLength" operator="lessThanOrEqual" allowBlank="1" showInputMessage="1" showErrorMessage="1" errorTitle="Ошибка" error="Допускается ввод не более 900 символов!" sqref="M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textLength" operator="lessThanOrEqual" allowBlank="1" showInputMessage="1" showErrorMessage="1" errorTitle="Ошибка" error="Допускается ввод не более 900 символов!" sqref="M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textLength" operator="lessThanOrEqual" allowBlank="1" showInputMessage="1" showErrorMessage="1" errorTitle="Ошибка" error="Допускается ввод не более 900 символов!" sqref="M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textLength" operator="lessThanOrEqual" allowBlank="1" showInputMessage="1" showErrorMessage="1" errorTitle="Ошибка" error="Допускается ввод не более 900 символов!" sqref="M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textLength" operator="lessThanOrEqual" allowBlank="1" showInputMessage="1" showErrorMessage="1" errorTitle="Ошибка" error="Допускается ввод не более 900 символов!" sqref="M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textLength" operator="lessThanOrEqual" allowBlank="1" showInputMessage="1" showErrorMessage="1" errorTitle="Ошибка" error="Допускается ввод не более 900 символов!" sqref="M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textLength" operator="lessThanOrEqual" allowBlank="1" showInputMessage="1" showErrorMessage="1" errorTitle="Ошибка" error="Допускается ввод не более 900 символов!" sqref="M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decimal" allowBlank="1" showErrorMessage="1" errorTitle="Ошибка" error="Допускается ввод только неотрицательных чисел!" sqref="AC288">
      <formula1>0</formula1>
      <formula2>9.99999999999999E+23</formula2>
    </dataValidation>
    <dataValidation type="decimal" allowBlank="1" showErrorMessage="1" errorTitle="Ошибка" error="Допускается ввод только неотрицательных чисел!" sqref="AE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textLength" operator="lessThanOrEqual" allowBlank="1" showInputMessage="1" showErrorMessage="1" errorTitle="Ошибка" error="Допускается ввод не более 900 символов!" sqref="M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decimal" allowBlank="1" showErrorMessage="1" errorTitle="Ошибка" error="Допускается ввод только неотрицательных чисел!" sqref="AC293">
      <formula1>0</formula1>
      <formula2>9.99999999999999E+23</formula2>
    </dataValidation>
    <dataValidation type="decimal" allowBlank="1" showErrorMessage="1" errorTitle="Ошибка" error="Допускается ввод только неотрицательных чисел!" sqref="AE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textLength" operator="lessThanOrEqual" allowBlank="1" showInputMessage="1" showErrorMessage="1" errorTitle="Ошибка" error="Допускается ввод не более 900 символов!" sqref="M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textLength" operator="lessThanOrEqual" allowBlank="1" showInputMessage="1" showErrorMessage="1" errorTitle="Ошибка" error="Допускается ввод не более 900 символов!" sqref="M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textLength" operator="lessThanOrEqual" allowBlank="1" showInputMessage="1" showErrorMessage="1" errorTitle="Ошибка" error="Допускается ввод не более 900 символов!" sqref="M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textLength" operator="lessThanOrEqual" allowBlank="1" showInputMessage="1" showErrorMessage="1" errorTitle="Ошибка" error="Допускается ввод не более 900 символов!" sqref="M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textLength" operator="lessThanOrEqual" allowBlank="1" showInputMessage="1" showErrorMessage="1" errorTitle="Ошибка" error="Допускается ввод не более 900 символов!" sqref="M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textLength" operator="lessThanOrEqual" allowBlank="1" showInputMessage="1" showErrorMessage="1" errorTitle="Ошибка" error="Допускается ввод не более 900 символов!" sqref="M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decimal" allowBlank="1" showErrorMessage="1" errorTitle="Ошибка" error="Допускается ввод только неотрицательных чисел!" sqref="AC369">
      <formula1>0</formula1>
      <formula2>9.99999999999999E+23</formula2>
    </dataValidation>
    <dataValidation type="decimal" allowBlank="1" showErrorMessage="1" errorTitle="Ошибка" error="Допускается ввод только неотрицательных чисел!" sqref="AE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textLength" operator="lessThanOrEqual" allowBlank="1" showInputMessage="1" showErrorMessage="1" errorTitle="Ошибка" error="Допускается ввод не более 900 символов!" sqref="M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decimal" allowBlank="1" showErrorMessage="1" errorTitle="Ошибка" error="Допускается ввод только неотрицательных чисел!" sqref="AC336">
      <formula1>0</formula1>
      <formula2>9.99999999999999E+23</formula2>
    </dataValidation>
    <dataValidation type="decimal" allowBlank="1" showErrorMessage="1" errorTitle="Ошибка" error="Допускается ввод только неотрицательных чисел!" sqref="AE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textLength" operator="lessThanOrEqual" allowBlank="1" showInputMessage="1" showErrorMessage="1" errorTitle="Ошибка" error="Допускается ввод не более 900 символов!" sqref="M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textLength" operator="lessThanOrEqual" allowBlank="1" showInputMessage="1" showErrorMessage="1" errorTitle="Ошибка" error="Допускается ввод не более 900 символов!" sqref="M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textLength" operator="lessThanOrEqual" allowBlank="1" showInputMessage="1" showErrorMessage="1" errorTitle="Ошибка" error="Допускается ввод не более 900 символов!" sqref="M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textLength" operator="lessThanOrEqual" allowBlank="1" showInputMessage="1" showErrorMessage="1" errorTitle="Ошибка" error="Допускается ввод не более 900 символов!" sqref="M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decimal" allowBlank="1" showErrorMessage="1" errorTitle="Ошибка" error="Допускается ввод только неотрицательных чисел!" sqref="AC386">
      <formula1>0</formula1>
      <formula2>9.99999999999999E+23</formula2>
    </dataValidation>
    <dataValidation type="decimal" allowBlank="1" showErrorMessage="1" errorTitle="Ошибка" error="Допускается ввод только неотрицательных чисел!" sqref="AE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textLength" operator="lessThanOrEqual" allowBlank="1" showInputMessage="1" showErrorMessage="1" errorTitle="Ошибка" error="Допускается ввод не более 900 символов!" sqref="M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textLength" operator="lessThanOrEqual" allowBlank="1" showInputMessage="1" showErrorMessage="1" errorTitle="Ошибка" error="Допускается ввод не более 900 символов!" sqref="M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textLength" operator="lessThanOrEqual" allowBlank="1" showInputMessage="1" showErrorMessage="1" errorTitle="Ошибка" error="Допускается ввод не более 900 символов!" sqref="M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textLength" operator="lessThanOrEqual" allowBlank="1" showInputMessage="1" showErrorMessage="1" errorTitle="Ошибка" error="Допускается ввод не более 900 символов!" sqref="M372">
      <formula1>900</formula1>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decimal" allowBlank="1" showErrorMessage="1" errorTitle="Ошибка" error="Допускается ввод только неотрицательных чисел!" sqref="AC374">
      <formula1>0</formula1>
      <formula2>9.99999999999999E+23</formula2>
    </dataValidation>
    <dataValidation type="decimal" allowBlank="1" showErrorMessage="1" errorTitle="Ошибка" error="Допускается ввод только неотрицательных чисел!" sqref="AE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decimal" allowBlank="1" showErrorMessage="1" errorTitle="Ошибка" error="Допускается ввод только неотрицательных чисел!" sqref="AC326">
      <formula1>0</formula1>
      <formula2>9.99999999999999E+23</formula2>
    </dataValidation>
    <dataValidation type="decimal" allowBlank="1" showErrorMessage="1" errorTitle="Ошибка" error="Допускается ввод только неотрицательных чисел!" sqref="AE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decimal" allowBlank="1" showErrorMessage="1" errorTitle="Ошибка" error="Допускается ввод только неотрицательных чисел!" sqref="AC392">
      <formula1>0</formula1>
      <formula2>9.99999999999999E+23</formula2>
    </dataValidation>
    <dataValidation type="decimal" allowBlank="1" showErrorMessage="1" errorTitle="Ошибка" error="Допускается ввод только неотрицательных чисел!" sqref="AE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decimal" allowBlank="1" showErrorMessage="1" errorTitle="Ошибка" error="Допускается ввод только неотрицательных чисел!" sqref="AC404">
      <formula1>0</formula1>
      <formula2>9.99999999999999E+23</formula2>
    </dataValidation>
    <dataValidation type="decimal" allowBlank="1" showErrorMessage="1" errorTitle="Ошибка" error="Допускается ввод только неотрицательных чисел!" sqref="AE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decimal" allowBlank="1" showErrorMessage="1" errorTitle="Ошибка" error="Допускается ввод только неотрицательных чисел!" sqref="AC416">
      <formula1>0</formula1>
      <formula2>9.99999999999999E+23</formula2>
    </dataValidation>
    <dataValidation type="decimal" allowBlank="1" showErrorMessage="1" errorTitle="Ошибка" error="Допускается ввод только неотрицательных чисел!" sqref="AE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textLength" operator="lessThanOrEqual" allowBlank="1" showInputMessage="1" showErrorMessage="1" errorTitle="Ошибка" error="Допускается ввод не более 900 символов!" sqref="M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decimal" allowBlank="1" showErrorMessage="1" errorTitle="Ошибка" error="Допускается ввод только неотрицательных чисел!" sqref="AC428">
      <formula1>0</formula1>
      <formula2>9.99999999999999E+23</formula2>
    </dataValidation>
    <dataValidation type="decimal" allowBlank="1" showErrorMessage="1" errorTitle="Ошибка" error="Допускается ввод только неотрицательных чисел!" sqref="AE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textLength" operator="lessThanOrEqual" allowBlank="1" showInputMessage="1" showErrorMessage="1" errorTitle="Ошибка" error="Допускается ввод не более 900 символов!" sqref="M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textLength" operator="lessThanOrEqual" allowBlank="1" showInputMessage="1" showErrorMessage="1" errorTitle="Ошибка" error="Допускается ввод не более 900 символов!" sqref="M449">
      <formula1>900</formula1>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textLength" operator="lessThanOrEqual" allowBlank="1" showInputMessage="1" showErrorMessage="1" errorTitle="Ошибка" error="Допускается ввод не более 900 символов!" sqref="M460">
      <formula1>900</formula1>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decimal" allowBlank="1" showErrorMessage="1" errorTitle="Ошибка" error="Допускается ввод только неотрицательных чисел!" sqref="AC462">
      <formula1>0</formula1>
      <formula2>9.99999999999999E+23</formula2>
    </dataValidation>
    <dataValidation type="decimal" allowBlank="1" showErrorMessage="1" errorTitle="Ошибка" error="Допускается ввод только неотрицательных чисел!" sqref="AE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textLength" operator="lessThanOrEqual" allowBlank="1" showInputMessage="1" showErrorMessage="1" errorTitle="Ошибка" error="Допускается ввод не более 900 символов!" sqref="M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textLength" operator="lessThanOrEqual" allowBlank="1" showInputMessage="1" showErrorMessage="1" errorTitle="Ошибка" error="Допускается ввод не более 900 символов!" sqref="M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textLength" operator="lessThanOrEqual" allowBlank="1" showInputMessage="1" showErrorMessage="1" errorTitle="Ошибка" error="Допускается ввод не более 900 символов!" sqref="M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decimal" allowBlank="1" showErrorMessage="1" errorTitle="Ошибка" error="Допускается ввод только неотрицательных чисел!" sqref="AC495">
      <formula1>0</formula1>
      <formula2>9.99999999999999E+23</formula2>
    </dataValidation>
    <dataValidation type="decimal" allowBlank="1" showErrorMessage="1" errorTitle="Ошибка" error="Допускается ввод только неотрицательных чисел!" sqref="AE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textLength" operator="lessThanOrEqual" allowBlank="1" showInputMessage="1" showErrorMessage="1" errorTitle="Ошибка" error="Допускается ввод не более 900 символов!" sqref="M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textLength" operator="lessThanOrEqual" allowBlank="1" showInputMessage="1" showErrorMessage="1" errorTitle="Ошибка" error="Допускается ввод не более 900 символов!" sqref="M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textLength" operator="lessThanOrEqual" allowBlank="1" showInputMessage="1" showErrorMessage="1" errorTitle="Ошибка" error="Допускается ввод не более 900 символов!" sqref="M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textLength" operator="lessThanOrEqual" allowBlank="1" showInputMessage="1" showErrorMessage="1" errorTitle="Ошибка" error="Допускается ввод не более 900 символов!" sqref="M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textLength" operator="lessThanOrEqual" allowBlank="1" showInputMessage="1" showErrorMessage="1" errorTitle="Ошибка" error="Допускается ввод не более 900 символов!" sqref="M550">
      <formula1>900</formula1>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textLength" operator="lessThanOrEqual" allowBlank="1" showInputMessage="1" showErrorMessage="1" errorTitle="Ошибка" error="Допускается ввод не более 900 символов!" sqref="M561">
      <formula1>900</formula1>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textLength" operator="lessThanOrEqual" allowBlank="1" showInputMessage="1" showErrorMessage="1" errorTitle="Ошибка" error="Допускается ввод не более 900 символов!" sqref="M572">
      <formula1>900</formula1>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textLength" operator="lessThanOrEqual" allowBlank="1" showInputMessage="1" showErrorMessage="1" errorTitle="Ошибка" error="Допускается ввод не более 900 символов!" sqref="M583">
      <formula1>900</formula1>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textLength" operator="lessThanOrEqual" allowBlank="1" showInputMessage="1" showErrorMessage="1" errorTitle="Ошибка" error="Допускается ввод не более 900 символов!" sqref="M594">
      <formula1>900</formula1>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textLength" operator="lessThanOrEqual" allowBlank="1" showInputMessage="1" showErrorMessage="1" errorTitle="Ошибка" error="Допускается ввод не более 900 символов!" sqref="K596">
      <formula1>900</formula1>
    </dataValidation>
    <dataValidation type="decimal" allowBlank="1" showErrorMessage="1" errorTitle="Ошибка" error="Допускается ввод только неотрицательных чисел!" sqref="AC596">
      <formula1>0</formula1>
      <formula2>9.99999999999999E+23</formula2>
    </dataValidation>
    <dataValidation type="decimal" allowBlank="1" showErrorMessage="1" errorTitle="Ошибка" error="Допускается ввод только неотрицательных чисел!" sqref="AE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textLength" operator="lessThanOrEqual" allowBlank="1" showInputMessage="1" showErrorMessage="1" errorTitle="Ошибка" error="Допускается ввод не более 900 символов!" sqref="M605">
      <formula1>900</formula1>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textLength" operator="lessThanOrEqual" allowBlank="1" showInputMessage="1" showErrorMessage="1" errorTitle="Ошибка" error="Допускается ввод не более 900 символов!" sqref="K608">
      <formula1>900</formula1>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textLength" operator="lessThanOrEqual" allowBlank="1" showInputMessage="1" showErrorMessage="1" errorTitle="Ошибка" error="Допускается ввод не более 900 символов!" sqref="M616">
      <formula1>900</formula1>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textLength" operator="lessThanOrEqual" allowBlank="1" showInputMessage="1" showErrorMessage="1" errorTitle="Ошибка" error="Допускается ввод не более 900 символов!" sqref="M627">
      <formula1>900</formula1>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textLength" operator="lessThanOrEqual" allowBlank="1" showInputMessage="1" showErrorMessage="1" errorTitle="Ошибка" error="Допускается ввод не более 900 символов!" sqref="M638">
      <formula1>900</formula1>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textLength" operator="lessThanOrEqual" allowBlank="1" showInputMessage="1" showErrorMessage="1" errorTitle="Ошибка" error="Допускается ввод не более 900 символов!" sqref="M650">
      <formula1>900</formula1>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decimal" allowBlank="1" showErrorMessage="1" errorTitle="Ошибка" error="Допускается ввод только неотрицательных чисел!" sqref="AC652">
      <formula1>0</formula1>
      <formula2>9.99999999999999E+23</formula2>
    </dataValidation>
    <dataValidation type="decimal" allowBlank="1" showErrorMessage="1" errorTitle="Ошибка" error="Допускается ввод только неотрицательных чисел!" sqref="AE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textLength" operator="lessThanOrEqual" allowBlank="1" showInputMessage="1" showErrorMessage="1" errorTitle="Ошибка" error="Допускается ввод не более 900 символов!" sqref="M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textLength" operator="lessThanOrEqual" allowBlank="1" showInputMessage="1" showErrorMessage="1" errorTitle="Ошибка" error="Допускается ввод не более 900 символов!" sqref="K662">
      <formula1>900</formula1>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decimal" allowBlank="1" showErrorMessage="1" errorTitle="Ошибка" error="Допускается ввод только неотрицательных чисел!" sqref="AC663">
      <formula1>0</formula1>
      <formula2>9.99999999999999E+23</formula2>
    </dataValidation>
    <dataValidation type="decimal" allowBlank="1" showErrorMessage="1" errorTitle="Ошибка" error="Допускается ввод только неотрицательных чисел!" sqref="AE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textLength" operator="lessThanOrEqual" allowBlank="1" showInputMessage="1" showErrorMessage="1" errorTitle="Ошибка" error="Допускается ввод не более 900 символов!" sqref="M672">
      <formula1>900</formula1>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decimal" allowBlank="1" showErrorMessage="1" errorTitle="Ошибка" error="Допускается ввод только неотрицательных чисел!" sqref="AC674">
      <formula1>0</formula1>
      <formula2>9.99999999999999E+23</formula2>
    </dataValidation>
    <dataValidation type="decimal" allowBlank="1" showErrorMessage="1" errorTitle="Ошибка" error="Допускается ввод только неотрицательных чисел!" sqref="AE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textLength" operator="lessThanOrEqual" allowBlank="1" showInputMessage="1" showErrorMessage="1" errorTitle="Ошибка" error="Допускается ввод не более 900 символов!" sqref="M685">
      <formula1>900</formula1>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textLength" operator="lessThanOrEqual" allowBlank="1" showInputMessage="1" showErrorMessage="1" errorTitle="Ошибка" error="Допускается ввод не более 900 символов!" sqref="K686">
      <formula1>900</formula1>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decimal" allowBlank="1" showErrorMessage="1" errorTitle="Ошибка" error="Допускается ввод только неотрицательных чисел!" sqref="AC687">
      <formula1>0</formula1>
      <formula2>9.99999999999999E+23</formula2>
    </dataValidation>
    <dataValidation type="decimal" allowBlank="1" showErrorMessage="1" errorTitle="Ошибка" error="Допускается ввод только неотрицательных чисел!" sqref="AE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textLength" operator="lessThanOrEqual" allowBlank="1" showInputMessage="1" showErrorMessage="1" errorTitle="Ошибка" error="Допускается ввод не более 900 символов!" sqref="M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decimal" allowBlank="1" showErrorMessage="1" errorTitle="Ошибка" error="Допускается ввод только неотрицательных чисел!" sqref="AC698">
      <formula1>0</formula1>
      <formula2>9.99999999999999E+23</formula2>
    </dataValidation>
    <dataValidation type="decimal" allowBlank="1" showErrorMessage="1" errorTitle="Ошибка" error="Допускается ввод только неотрицательных чисел!" sqref="AE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textLength" operator="lessThanOrEqual" allowBlank="1" showInputMessage="1" showErrorMessage="1" errorTitle="Ошибка" error="Допускается ввод не более 900 символов!" sqref="M707">
      <formula1>900</formula1>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textLength" operator="lessThanOrEqual" allowBlank="1" showInputMessage="1" showErrorMessage="1" errorTitle="Ошибка" error="Допускается ввод не более 900 символов!" sqref="K709">
      <formula1>900</formula1>
    </dataValidation>
    <dataValidation type="decimal" allowBlank="1" showErrorMessage="1" errorTitle="Ошибка" error="Допускается ввод только неотрицательных чисел!" sqref="AC709">
      <formula1>0</formula1>
      <formula2>9.99999999999999E+23</formula2>
    </dataValidation>
    <dataValidation type="decimal" allowBlank="1" showErrorMessage="1" errorTitle="Ошибка" error="Допускается ввод только неотрицательных чисел!" sqref="AE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textLength" operator="lessThanOrEqual" allowBlank="1" showInputMessage="1" showErrorMessage="1" errorTitle="Ошибка" error="Допускается ввод не более 900 символов!" sqref="M719">
      <formula1>900</formula1>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textLength" operator="lessThanOrEqual" allowBlank="1" showInputMessage="1" showErrorMessage="1" errorTitle="Ошибка" error="Допускается ввод не более 900 символов!" sqref="K721">
      <formula1>900</formula1>
    </dataValidation>
    <dataValidation type="decimal" allowBlank="1" showErrorMessage="1" errorTitle="Ошибка" error="Допускается ввод только неотрицательных чисел!" sqref="AC721">
      <formula1>0</formula1>
      <formula2>9.99999999999999E+23</formula2>
    </dataValidation>
    <dataValidation type="decimal" allowBlank="1" showErrorMessage="1" errorTitle="Ошибка" error="Допускается ввод только неотрицательных чисел!" sqref="AE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textLength" operator="lessThanOrEqual" allowBlank="1" showInputMessage="1" showErrorMessage="1" errorTitle="Ошибка" error="Допускается ввод не более 900 символов!" sqref="M732">
      <formula1>900</formula1>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decimal" allowBlank="1" showErrorMessage="1" errorTitle="Ошибка" error="Допускается ввод только неотрицательных чисел!" sqref="AC734">
      <formula1>0</formula1>
      <formula2>9.99999999999999E+23</formula2>
    </dataValidation>
    <dataValidation type="decimal" allowBlank="1" showErrorMessage="1" errorTitle="Ошибка" error="Допускается ввод только неотрицательных чисел!" sqref="AE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textLength" operator="lessThanOrEqual" allowBlank="1" showInputMessage="1" showErrorMessage="1" errorTitle="Ошибка" error="Допускается ввод не более 900 символов!" sqref="M743">
      <formula1>900</formula1>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decimal" allowBlank="1" showErrorMessage="1" errorTitle="Ошибка" error="Допускается ввод только неотрицательных чисел!" sqref="AC745">
      <formula1>0</formula1>
      <formula2>9.99999999999999E+23</formula2>
    </dataValidation>
    <dataValidation type="decimal" allowBlank="1" showErrorMessage="1" errorTitle="Ошибка" error="Допускается ввод только неотрицательных чисел!" sqref="AE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textLength" operator="lessThanOrEqual" allowBlank="1" showInputMessage="1" showErrorMessage="1" errorTitle="Ошибка" error="Допускается ввод не более 900 символов!" sqref="M754">
      <formula1>900</formula1>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decimal" allowBlank="1" showErrorMessage="1" errorTitle="Ошибка" error="Допускается ввод только неотрицательных чисел!" sqref="AC756">
      <formula1>0</formula1>
      <formula2>9.99999999999999E+23</formula2>
    </dataValidation>
    <dataValidation type="decimal" allowBlank="1" showErrorMessage="1" errorTitle="Ошибка" error="Допускается ввод только неотрицательных чисел!" sqref="AE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decimal" allowBlank="1" showErrorMessage="1" errorTitle="Ошибка" error="Допускается ввод только неотрицательных чисел!" sqref="AC675">
      <formula1>0</formula1>
      <formula2>9.99999999999999E+23</formula2>
    </dataValidation>
    <dataValidation type="decimal" allowBlank="1" showErrorMessage="1" errorTitle="Ошибка" error="Допускается ввод только неотрицательных чисел!" sqref="AE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textLength" operator="lessThanOrEqual" allowBlank="1" showInputMessage="1" showErrorMessage="1" errorTitle="Ошибка" error="Допускается ввод не более 900 символов!" sqref="K710">
      <formula1>900</formula1>
    </dataValidation>
    <dataValidation type="decimal" allowBlank="1" showErrorMessage="1" errorTitle="Ошибка" error="Допускается ввод только неотрицательных чисел!" sqref="AC710">
      <formula1>0</formula1>
      <formula2>9.99999999999999E+23</formula2>
    </dataValidation>
    <dataValidation type="decimal" allowBlank="1" showErrorMessage="1" errorTitle="Ошибка" error="Допускается ввод только неотрицательных чисел!" sqref="AE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textLength" operator="lessThanOrEqual" allowBlank="1" showInputMessage="1" showErrorMessage="1" errorTitle="Ошибка" error="Допускается ввод не более 900 символов!" sqref="K722">
      <formula1>900</formula1>
    </dataValidation>
    <dataValidation type="decimal" allowBlank="1" showErrorMessage="1" errorTitle="Ошибка" error="Допускается ввод только неотрицательных чисел!" sqref="AC722">
      <formula1>0</formula1>
      <formula2>9.99999999999999E+23</formula2>
    </dataValidation>
    <dataValidation type="decimal" allowBlank="1" showErrorMessage="1" errorTitle="Ошибка" error="Допускается ввод только неотрицательных чисел!" sqref="AE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textLength" operator="lessThanOrEqual" allowBlank="1" showInputMessage="1" showErrorMessage="1" errorTitle="Ошибка" error="Допускается ввод не более 900 символов!" sqref="M766">
      <formula1>900</formula1>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decimal" allowBlank="1" showErrorMessage="1" errorTitle="Ошибка" error="Допускается ввод только неотрицательных чисел!" sqref="AC768">
      <formula1>0</formula1>
      <formula2>9.99999999999999E+23</formula2>
    </dataValidation>
    <dataValidation type="decimal" allowBlank="1" showErrorMessage="1" errorTitle="Ошибка" error="Допускается ввод только неотрицательных чисел!" sqref="AE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textLength" operator="lessThanOrEqual" allowBlank="1" showInputMessage="1" showErrorMessage="1" errorTitle="Ошибка" error="Допускается ввод не более 900 символов!" sqref="K769">
      <formula1>900</formula1>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textLength" operator="lessThanOrEqual" allowBlank="1" showInputMessage="1" showErrorMessage="1" errorTitle="Ошибка" error="Допускается ввод не более 900 символов!" sqref="M777">
      <formula1>900</formula1>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textLength" operator="lessThanOrEqual" allowBlank="1" showInputMessage="1" showErrorMessage="1" errorTitle="Ошибка" error="Допускается ввод не более 900 символов!" sqref="K780">
      <formula1>900</formula1>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textLength" operator="lessThanOrEqual" allowBlank="1" showInputMessage="1" showErrorMessage="1" errorTitle="Ошибка" error="Допускается ввод не более 900 символов!" sqref="M788">
      <formula1>900</formula1>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decimal" allowBlank="1" showErrorMessage="1" errorTitle="Ошибка" error="Допускается ввод только неотрицательных чисел!" sqref="AC790">
      <formula1>0</formula1>
      <formula2>9.99999999999999E+23</formula2>
    </dataValidation>
    <dataValidation type="decimal" allowBlank="1" showErrorMessage="1" errorTitle="Ошибка" error="Допускается ввод только неотрицательных чисел!" sqref="AE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textLength" operator="lessThanOrEqual" allowBlank="1" showInputMessage="1" showErrorMessage="1" errorTitle="Ошибка" error="Допускается ввод не более 900 символов!" sqref="M799">
      <formula1>900</formula1>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textLength" operator="lessThanOrEqual" allowBlank="1" showInputMessage="1" showErrorMessage="1" errorTitle="Ошибка" error="Допускается ввод не более 900 символов!" sqref="K801">
      <formula1>900</formula1>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textLength" operator="lessThanOrEqual" allowBlank="1" showInputMessage="1" showErrorMessage="1" errorTitle="Ошибка" error="Допускается ввод не более 900 символов!" sqref="K802">
      <formula1>900</formula1>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textLength" operator="lessThanOrEqual" allowBlank="1" showInputMessage="1" showErrorMessage="1" errorTitle="Ошибка" error="Допускается ввод не более 900 символов!" sqref="K810">
      <formula1>900</formula1>
    </dataValidation>
    <dataValidation type="textLength" operator="lessThanOrEqual" allowBlank="1" showInputMessage="1" showErrorMessage="1" errorTitle="Ошибка" error="Допускается ввод не более 900 символов!" sqref="M810">
      <formula1>900</formula1>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textLength" operator="lessThanOrEqual" allowBlank="1" showInputMessage="1" showErrorMessage="1" errorTitle="Ошибка" error="Допускается ввод не более 900 символов!" sqref="K811">
      <formula1>900</formula1>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textLength" operator="lessThanOrEqual" allowBlank="1" showInputMessage="1" showErrorMessage="1" errorTitle="Ошибка" error="Допускается ввод не более 900 символов!" sqref="K812">
      <formula1>900</formula1>
    </dataValidation>
    <dataValidation type="decimal" allowBlank="1" showErrorMessage="1" errorTitle="Ошибка" error="Допускается ввод только неотрицательных чисел!" sqref="AC812">
      <formula1>0</formula1>
      <formula2>9.99999999999999E+23</formula2>
    </dataValidation>
    <dataValidation type="decimal" allowBlank="1" showErrorMessage="1" errorTitle="Ошибка" error="Допускается ввод только неотрицательных чисел!" sqref="AE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textLength" operator="lessThanOrEqual" allowBlank="1" showInputMessage="1" showErrorMessage="1" errorTitle="Ошибка" error="Допускается ввод не более 900 символов!" sqref="K813">
      <formula1>900</formula1>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textLength" operator="lessThanOrEqual" allowBlank="1" showInputMessage="1" showErrorMessage="1" errorTitle="Ошибка" error="Допускается ввод не более 900 символов!" sqref="K821">
      <formula1>900</formula1>
    </dataValidation>
    <dataValidation type="textLength" operator="lessThanOrEqual" allowBlank="1" showInputMessage="1" showErrorMessage="1" errorTitle="Ошибка" error="Допускается ввод не более 900 символов!" sqref="M821">
      <formula1>900</formula1>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textLength" operator="lessThanOrEqual" allowBlank="1" showInputMessage="1" showErrorMessage="1" errorTitle="Ошибка" error="Допускается ввод не более 900 символов!" sqref="K823">
      <formula1>900</formula1>
    </dataValidation>
    <dataValidation type="decimal" allowBlank="1" showErrorMessage="1" errorTitle="Ошибка" error="Допускается ввод только неотрицательных чисел!" sqref="AC823">
      <formula1>0</formula1>
      <formula2>9.99999999999999E+23</formula2>
    </dataValidation>
    <dataValidation type="decimal" allowBlank="1" showErrorMessage="1" errorTitle="Ошибка" error="Допускается ввод только неотрицательных чисел!" sqref="AE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textLength" operator="lessThanOrEqual" allowBlank="1" showInputMessage="1" showErrorMessage="1" errorTitle="Ошибка" error="Допускается ввод не более 900 символов!" sqref="M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textLength" operator="lessThanOrEqual" allowBlank="1" showInputMessage="1" showErrorMessage="1" errorTitle="Ошибка" error="Допускается ввод не более 900 символов!" sqref="K833">
      <formula1>900</formula1>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textLength" operator="lessThanOrEqual" allowBlank="1" showInputMessage="1" showErrorMessage="1" errorTitle="Ошибка" error="Допускается ввод не более 900 символов!" sqref="M843">
      <formula1>900</formula1>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textLength" operator="lessThanOrEqual" allowBlank="1" showInputMessage="1" showErrorMessage="1" errorTitle="Ошибка" error="Допускается ввод не более 900 символов!" sqref="K845">
      <formula1>900</formula1>
    </dataValidation>
    <dataValidation type="decimal" allowBlank="1" showErrorMessage="1" errorTitle="Ошибка" error="Допускается ввод только неотрицательных чисел!" sqref="AC845">
      <formula1>0</formula1>
      <formula2>9.99999999999999E+23</formula2>
    </dataValidation>
    <dataValidation type="decimal" allowBlank="1" showErrorMessage="1" errorTitle="Ошибка" error="Допускается ввод только неотрицательных чисел!" sqref="AE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textLength" operator="lessThanOrEqual" allowBlank="1" showInputMessage="1" showErrorMessage="1" errorTitle="Ошибка" error="Допускается ввод не более 900 символов!" sqref="M854">
      <formula1>900</formula1>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decimal" allowBlank="1" showErrorMessage="1" errorTitle="Ошибка" error="Допускается ввод только неотрицательных чисел!" sqref="AC856">
      <formula1>0</formula1>
      <formula2>9.99999999999999E+23</formula2>
    </dataValidation>
    <dataValidation type="decimal" allowBlank="1" showErrorMessage="1" errorTitle="Ошибка" error="Допускается ввод только неотрицательных чисел!" sqref="AE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textLength" operator="lessThanOrEqual" allowBlank="1" showInputMessage="1" showErrorMessage="1" errorTitle="Ошибка" error="Допускается ввод не более 900 символов!" sqref="M865">
      <formula1>900</formula1>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textLength" operator="lessThanOrEqual" allowBlank="1" showInputMessage="1" showErrorMessage="1" errorTitle="Ошибка" error="Допускается ввод не более 900 символов!" sqref="K867">
      <formula1>900</formula1>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textLength" operator="lessThanOrEqual" allowBlank="1" showInputMessage="1" showErrorMessage="1" errorTitle="Ошибка" error="Допускается ввод не более 900 символов!" sqref="K876">
      <formula1>900</formula1>
    </dataValidation>
    <dataValidation type="textLength" operator="lessThanOrEqual" allowBlank="1" showInputMessage="1" showErrorMessage="1" errorTitle="Ошибка" error="Допускается ввод не более 900 символов!" sqref="M876">
      <formula1>900</formula1>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textLength" operator="lessThanOrEqual" allowBlank="1" showInputMessage="1" showErrorMessage="1" errorTitle="Ошибка" error="Допускается ввод не более 900 символов!" sqref="K877">
      <formula1>900</formula1>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textLength" operator="lessThanOrEqual" allowBlank="1" showInputMessage="1" showErrorMessage="1" errorTitle="Ошибка" error="Допускается ввод не более 900 символов!" sqref="K878">
      <formula1>900</formula1>
    </dataValidation>
    <dataValidation type="decimal" allowBlank="1" showErrorMessage="1" errorTitle="Ошибка" error="Допускается ввод только неотрицательных чисел!" sqref="AC878">
      <formula1>0</formula1>
      <formula2>9.99999999999999E+23</formula2>
    </dataValidation>
    <dataValidation type="decimal" allowBlank="1" showErrorMessage="1" errorTitle="Ошибка" error="Допускается ввод только неотрицательных чисел!" sqref="AE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textLength" operator="lessThanOrEqual" allowBlank="1" showInputMessage="1" showErrorMessage="1" errorTitle="Ошибка" error="Допускается ввод не более 900 символов!" sqref="K879">
      <formula1>900</formula1>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textLength" operator="lessThanOrEqual" allowBlank="1" showInputMessage="1" showErrorMessage="1" errorTitle="Ошибка" error="Допускается ввод не более 900 символов!" sqref="K887">
      <formula1>900</formula1>
    </dataValidation>
    <dataValidation type="textLength" operator="lessThanOrEqual" allowBlank="1" showInputMessage="1" showErrorMessage="1" errorTitle="Ошибка" error="Допускается ввод не более 900 символов!" sqref="M887">
      <formula1>900</formula1>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textLength" operator="lessThanOrEqual" allowBlank="1" showInputMessage="1" showErrorMessage="1" errorTitle="Ошибка" error="Допускается ввод не более 900 символов!" sqref="K888">
      <formula1>900</formula1>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textLength" operator="lessThanOrEqual" allowBlank="1" showInputMessage="1" showErrorMessage="1" errorTitle="Ошибка" error="Допускается ввод не более 900 символов!" sqref="K889">
      <formula1>900</formula1>
    </dataValidation>
    <dataValidation type="decimal" allowBlank="1" showErrorMessage="1" errorTitle="Ошибка" error="Допускается ввод только неотрицательных чисел!" sqref="AC889">
      <formula1>0</formula1>
      <formula2>9.99999999999999E+23</formula2>
    </dataValidation>
    <dataValidation type="decimal" allowBlank="1" showErrorMessage="1" errorTitle="Ошибка" error="Допускается ввод только неотрицательных чисел!" sqref="AE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textLength" operator="lessThanOrEqual" allowBlank="1" showInputMessage="1" showErrorMessage="1" errorTitle="Ошибка" error="Допускается ввод не более 900 символов!" sqref="M898">
      <formula1>900</formula1>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textLength" operator="lessThanOrEqual" allowBlank="1" showInputMessage="1" showErrorMessage="1" errorTitle="Ошибка" error="Допускается ввод не более 900 символов!" sqref="K899">
      <formula1>900</formula1>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textLength" operator="lessThanOrEqual" allowBlank="1" showInputMessage="1" showErrorMessage="1" errorTitle="Ошибка" error="Допускается ввод не более 900 символов!" sqref="K901">
      <formula1>900</formula1>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textLength" operator="lessThanOrEqual" allowBlank="1" showInputMessage="1" showErrorMessage="1" errorTitle="Ошибка" error="Допускается ввод не более 900 символов!" sqref="K909">
      <formula1>900</formula1>
    </dataValidation>
    <dataValidation type="textLength" operator="lessThanOrEqual" allowBlank="1" showInputMessage="1" showErrorMessage="1" errorTitle="Ошибка" error="Допускается ввод не более 900 символов!" sqref="M909">
      <formula1>900</formula1>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textLength" operator="lessThanOrEqual" allowBlank="1" showInputMessage="1" showErrorMessage="1" errorTitle="Ошибка" error="Допускается ввод не более 900 символов!" sqref="K911">
      <formula1>900</formula1>
    </dataValidation>
    <dataValidation type="decimal" allowBlank="1" showErrorMessage="1" errorTitle="Ошибка" error="Допускается ввод только неотрицательных чисел!" sqref="AC911">
      <formula1>0</formula1>
      <formula2>9.99999999999999E+23</formula2>
    </dataValidation>
    <dataValidation type="decimal" allowBlank="1" showErrorMessage="1" errorTitle="Ошибка" error="Допускается ввод только неотрицательных чисел!" sqref="AE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textLength" operator="lessThanOrEqual" allowBlank="1" showInputMessage="1" showErrorMessage="1" errorTitle="Ошибка" error="Допускается ввод не более 900 символов!" sqref="K912">
      <formula1>900</formula1>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textLength" operator="lessThanOrEqual" allowBlank="1" showInputMessage="1" showErrorMessage="1" errorTitle="Ошибка" error="Допускается ввод не более 900 символов!" sqref="K920">
      <formula1>900</formula1>
    </dataValidation>
    <dataValidation type="textLength" operator="lessThanOrEqual" allowBlank="1" showInputMessage="1" showErrorMessage="1" errorTitle="Ошибка" error="Допускается ввод не более 900 символов!" sqref="M920">
      <formula1>900</formula1>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textLength" operator="lessThanOrEqual" allowBlank="1" showInputMessage="1" showErrorMessage="1" errorTitle="Ошибка" error="Допускается ввод не более 900 символов!" sqref="K921">
      <formula1>900</formula1>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decimal" allowBlank="1" showErrorMessage="1" errorTitle="Ошибка" error="Допускается ввод только неотрицательных чисел!" sqref="AC922">
      <formula1>0</formula1>
      <formula2>9.99999999999999E+23</formula2>
    </dataValidation>
    <dataValidation type="decimal" allowBlank="1" showErrorMessage="1" errorTitle="Ошибка" error="Допускается ввод только неотрицательных чисел!" sqref="AE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D59"/>
  <sheetViews>
    <sheetView showGridLines="0" zoomScale="85" workbookViewId="0">
      <pane xSplit="9" ySplit="13" topLeftCell="J14" activePane="bottomRight" state="frozen"/>
      <selection pane="topRight" activeCell="J1" sqref="J1"/>
      <selection pane="bottomLeft" activeCell="A14" sqref="A14"/>
      <selection pane="bottomRight" activeCell="CU1" sqref="CU1:CU59"/>
    </sheetView>
  </sheetViews>
  <sheetFormatPr defaultColWidth="9.140625" defaultRowHeight="10.5" customHeight="1"/>
  <cols>
    <col min="1" max="3" width="4.140625" style="1088" hidden="1" customWidth="1"/>
    <col min="4" max="4" width="4.140625" style="1288" hidden="1" customWidth="1"/>
    <col min="5" max="5" width="3" style="1557" customWidth="1"/>
    <col min="6" max="6" width="6" style="1557" customWidth="1"/>
    <col min="7" max="7" width="60" style="1557" customWidth="1"/>
    <col min="8" max="9" width="21.7109375" style="1557" hidden="1" customWidth="1"/>
    <col min="10" max="10" width="0.140625" style="1557" customWidth="1"/>
    <col min="11" max="18" width="21.7109375" style="1557" hidden="1" customWidth="1"/>
    <col min="19" max="19" width="0.140625" style="1557" customWidth="1"/>
    <col min="20" max="32" width="21.7109375" style="1557" hidden="1" customWidth="1"/>
    <col min="33" max="33" width="0.140625" style="1557" customWidth="1"/>
    <col min="34" max="44" width="21.7109375" style="1557" hidden="1" customWidth="1"/>
    <col min="45" max="45" width="0.140625" style="1557" customWidth="1"/>
    <col min="46" max="56" width="21.7109375" style="1557" hidden="1" customWidth="1"/>
    <col min="57" max="57" width="0.140625" style="1557" customWidth="1"/>
    <col min="58" max="61" width="21.7109375" style="1557" hidden="1" customWidth="1"/>
    <col min="62" max="62" width="0.140625" style="1557" customWidth="1"/>
    <col min="63" max="67" width="21.7109375" style="1557" hidden="1" customWidth="1"/>
    <col min="68" max="68" width="0.140625" style="1557" customWidth="1"/>
    <col min="69" max="72" width="21.7109375" style="1557" hidden="1" customWidth="1"/>
    <col min="73" max="73" width="0.140625" style="1557" customWidth="1"/>
    <col min="74" max="89" width="21.7109375" style="1557" hidden="1" customWidth="1"/>
    <col min="90" max="90" width="0.140625" style="1557" customWidth="1"/>
    <col min="91" max="94" width="21.7109375" style="1557" hidden="1" customWidth="1"/>
    <col min="95" max="95" width="0.140625" style="1557" customWidth="1"/>
    <col min="96" max="96" width="1" style="1557" customWidth="1"/>
    <col min="97" max="107" width="8" style="1557" customWidth="1"/>
    <col min="108" max="108" width="9.140625" style="1557" hidden="1"/>
  </cols>
  <sheetData>
    <row r="1" spans="1:108" s="1288" customFormat="1" ht="10.5" hidden="1" customHeight="1">
      <c r="A1" s="1088"/>
      <c r="B1" s="1088"/>
      <c r="C1" s="1088"/>
      <c r="E1" s="471"/>
      <c r="DD1" s="1082" t="s">
        <v>1</v>
      </c>
    </row>
    <row r="2" spans="1:108" ht="10.5" hidden="1" customHeight="1">
      <c r="DD2" s="1077">
        <v>0</v>
      </c>
    </row>
    <row r="3" spans="1:108" s="1554" customFormat="1" ht="10.5" hidden="1" customHeight="1">
      <c r="A3" s="1088"/>
      <c r="B3" s="1088"/>
      <c r="C3" s="1088"/>
      <c r="D3" s="1082"/>
      <c r="E3" s="296"/>
      <c r="DD3" s="1078">
        <v>0</v>
      </c>
    </row>
    <row r="4" spans="1:108" ht="3" customHeight="1">
      <c r="DD4" s="1077">
        <v>3</v>
      </c>
    </row>
    <row r="5" spans="1:108" ht="27.4" customHeight="1">
      <c r="F5" s="372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721"/>
      <c r="H5" s="3721"/>
      <c r="I5" s="3721"/>
      <c r="J5" s="3721"/>
      <c r="K5" s="1987"/>
      <c r="L5" s="1987"/>
      <c r="M5" s="1987"/>
      <c r="N5" s="1987"/>
      <c r="O5" s="1987"/>
      <c r="P5" s="1987"/>
      <c r="Q5" s="1987"/>
      <c r="R5" s="1987"/>
      <c r="S5" s="1987"/>
      <c r="T5" s="1987"/>
      <c r="U5" s="1987"/>
      <c r="V5" s="1987"/>
      <c r="W5" s="1987"/>
      <c r="X5" s="1987"/>
      <c r="Y5" s="1987"/>
      <c r="Z5" s="1987"/>
      <c r="AA5" s="1987"/>
      <c r="AB5" s="1987"/>
      <c r="AC5" s="1987"/>
      <c r="AD5" s="1987"/>
      <c r="AE5" s="1987"/>
      <c r="AF5" s="1987"/>
      <c r="AG5" s="1987"/>
      <c r="AH5" s="1987"/>
      <c r="AI5" s="1987"/>
      <c r="AJ5" s="1987"/>
      <c r="AK5" s="1987"/>
      <c r="AL5" s="1987"/>
      <c r="AM5" s="1987"/>
      <c r="AN5" s="1987"/>
      <c r="AO5" s="1987"/>
      <c r="AP5" s="1987"/>
      <c r="AQ5" s="1987"/>
      <c r="AR5" s="1987"/>
      <c r="AS5" s="1987"/>
      <c r="AT5" s="1987"/>
      <c r="AU5" s="1987"/>
      <c r="AV5" s="1987"/>
      <c r="AW5" s="1987"/>
      <c r="AX5" s="1987"/>
      <c r="AY5" s="1987"/>
      <c r="AZ5" s="1987"/>
      <c r="BA5" s="1987"/>
      <c r="BB5" s="1987"/>
      <c r="BC5" s="1987"/>
      <c r="BD5" s="1987"/>
      <c r="BE5" s="1987"/>
      <c r="BF5" s="1987"/>
      <c r="BG5" s="1987"/>
      <c r="BH5" s="1987"/>
      <c r="BI5" s="1987"/>
      <c r="BJ5" s="1987"/>
      <c r="BK5" s="1987"/>
      <c r="BL5" s="1987"/>
      <c r="BM5" s="1987"/>
      <c r="BN5" s="1987"/>
      <c r="BO5" s="1987"/>
      <c r="BP5" s="1987"/>
      <c r="BQ5" s="1987"/>
      <c r="BR5" s="1987"/>
      <c r="BS5" s="1987"/>
      <c r="BT5" s="1987"/>
      <c r="BU5" s="1987"/>
      <c r="BV5" s="1987"/>
      <c r="BW5" s="1987"/>
      <c r="BX5" s="1987"/>
      <c r="BY5" s="1987"/>
      <c r="BZ5" s="1987"/>
      <c r="CA5" s="1987"/>
      <c r="CB5" s="1987"/>
      <c r="CC5" s="1987"/>
      <c r="CD5" s="1987"/>
      <c r="CE5" s="1987"/>
      <c r="CF5" s="1987"/>
      <c r="CG5" s="1987"/>
      <c r="CH5" s="1987"/>
      <c r="CI5" s="1987"/>
      <c r="CJ5" s="1987"/>
      <c r="CK5" s="1987"/>
      <c r="CL5" s="1987"/>
      <c r="CM5" s="1987"/>
      <c r="CN5" s="1987"/>
      <c r="CO5" s="1987"/>
      <c r="CP5" s="1987"/>
      <c r="CQ5" s="1987"/>
      <c r="DD5" s="1077">
        <v>26</v>
      </c>
    </row>
    <row r="6" spans="1:108" ht="10.5" customHeight="1">
      <c r="F6" s="3667" t="str">
        <f>IF(org=0,"Не определено",org)</f>
        <v>ООО "Смоленскрегионтеплоэнерго"</v>
      </c>
      <c r="G6" s="3667"/>
      <c r="H6" s="3667"/>
      <c r="I6" s="3667"/>
      <c r="J6" s="3667"/>
      <c r="K6" s="1988"/>
      <c r="L6" s="1988"/>
      <c r="M6" s="1988"/>
      <c r="N6" s="1988"/>
      <c r="O6" s="1988"/>
      <c r="P6" s="1988"/>
      <c r="Q6" s="1988"/>
      <c r="R6" s="1988"/>
      <c r="S6" s="1988"/>
      <c r="T6" s="1988"/>
      <c r="U6" s="1988"/>
      <c r="V6" s="1988"/>
      <c r="W6" s="1988"/>
      <c r="X6" s="1988"/>
      <c r="Y6" s="1988"/>
      <c r="Z6" s="1988"/>
      <c r="AA6" s="1988"/>
      <c r="AB6" s="1988"/>
      <c r="AC6" s="1988"/>
      <c r="AD6" s="1988"/>
      <c r="AE6" s="1988"/>
      <c r="AF6" s="1988"/>
      <c r="AG6" s="1988"/>
      <c r="AH6" s="1988"/>
      <c r="AI6" s="1988"/>
      <c r="AJ6" s="1988"/>
      <c r="AK6" s="1988"/>
      <c r="AL6" s="1988"/>
      <c r="AM6" s="1988"/>
      <c r="AN6" s="1988"/>
      <c r="AO6" s="1988"/>
      <c r="AP6" s="1988"/>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c r="CF6" s="1988"/>
      <c r="CG6" s="1988"/>
      <c r="CH6" s="1988"/>
      <c r="CI6" s="1988"/>
      <c r="CJ6" s="1988"/>
      <c r="CK6" s="1988"/>
      <c r="CL6" s="1988"/>
      <c r="CM6" s="1988"/>
      <c r="CN6" s="1988"/>
      <c r="CO6" s="1988"/>
      <c r="CP6" s="1988"/>
      <c r="CQ6" s="1988"/>
      <c r="DD6" s="1077">
        <v>10</v>
      </c>
    </row>
    <row r="7" spans="1:108" ht="11.45" customHeight="1">
      <c r="E7" s="1092"/>
      <c r="F7" s="1149"/>
      <c r="G7" s="1149"/>
      <c r="H7" s="1149"/>
      <c r="I7" s="1149"/>
      <c r="J7" s="1149"/>
      <c r="K7" s="1149" t="s">
        <v>9</v>
      </c>
      <c r="L7" s="1149"/>
      <c r="M7" s="1149" t="s">
        <v>9</v>
      </c>
      <c r="N7" s="1149" t="s">
        <v>9</v>
      </c>
      <c r="O7" s="1149" t="s">
        <v>9</v>
      </c>
      <c r="P7" s="1149" t="s">
        <v>9</v>
      </c>
      <c r="Q7" s="1149" t="s">
        <v>9</v>
      </c>
      <c r="R7" s="1149" t="s">
        <v>9</v>
      </c>
      <c r="S7" s="1149"/>
      <c r="T7" s="1149" t="s">
        <v>9</v>
      </c>
      <c r="U7" s="1149"/>
      <c r="V7" s="1149" t="s">
        <v>9</v>
      </c>
      <c r="W7" s="1149" t="s">
        <v>9</v>
      </c>
      <c r="X7" s="1149" t="s">
        <v>9</v>
      </c>
      <c r="Y7" s="1149" t="s">
        <v>9</v>
      </c>
      <c r="Z7" s="1149" t="s">
        <v>9</v>
      </c>
      <c r="AA7" s="1149" t="s">
        <v>9</v>
      </c>
      <c r="AB7" s="1149" t="s">
        <v>9</v>
      </c>
      <c r="AC7" s="1149" t="s">
        <v>9</v>
      </c>
      <c r="AD7" s="1149" t="s">
        <v>9</v>
      </c>
      <c r="AE7" s="1149" t="s">
        <v>9</v>
      </c>
      <c r="AF7" s="1149" t="s">
        <v>9</v>
      </c>
      <c r="AG7" s="1149"/>
      <c r="AH7" s="1149" t="s">
        <v>9</v>
      </c>
      <c r="AI7" s="1149"/>
      <c r="AJ7" s="1149" t="s">
        <v>9</v>
      </c>
      <c r="AK7" s="1149" t="s">
        <v>9</v>
      </c>
      <c r="AL7" s="1149" t="s">
        <v>9</v>
      </c>
      <c r="AM7" s="1149" t="s">
        <v>9</v>
      </c>
      <c r="AN7" s="1149" t="s">
        <v>9</v>
      </c>
      <c r="AO7" s="1149" t="s">
        <v>9</v>
      </c>
      <c r="AP7" s="1149" t="s">
        <v>9</v>
      </c>
      <c r="AQ7" s="1149" t="s">
        <v>9</v>
      </c>
      <c r="AR7" s="1149" t="s">
        <v>9</v>
      </c>
      <c r="AS7" s="1149"/>
      <c r="AT7" s="1149" t="s">
        <v>9</v>
      </c>
      <c r="AU7" s="1149"/>
      <c r="AV7" s="1149" t="s">
        <v>9</v>
      </c>
      <c r="AW7" s="1149" t="s">
        <v>9</v>
      </c>
      <c r="AX7" s="1149" t="s">
        <v>9</v>
      </c>
      <c r="AY7" s="1149" t="s">
        <v>9</v>
      </c>
      <c r="AZ7" s="1149" t="s">
        <v>9</v>
      </c>
      <c r="BA7" s="1149" t="s">
        <v>9</v>
      </c>
      <c r="BB7" s="1149" t="s">
        <v>9</v>
      </c>
      <c r="BC7" s="1149" t="s">
        <v>9</v>
      </c>
      <c r="BD7" s="1149" t="s">
        <v>9</v>
      </c>
      <c r="BE7" s="1149"/>
      <c r="BF7" s="1149" t="s">
        <v>9</v>
      </c>
      <c r="BG7" s="1149"/>
      <c r="BH7" s="1149" t="s">
        <v>9</v>
      </c>
      <c r="BI7" s="1149" t="s">
        <v>9</v>
      </c>
      <c r="BJ7" s="1149"/>
      <c r="BK7" s="1149" t="s">
        <v>9</v>
      </c>
      <c r="BL7" s="1149"/>
      <c r="BM7" s="1149" t="s">
        <v>9</v>
      </c>
      <c r="BN7" s="1149" t="s">
        <v>9</v>
      </c>
      <c r="BO7" s="1149" t="s">
        <v>9</v>
      </c>
      <c r="BP7" s="1149"/>
      <c r="BQ7" s="1149" t="s">
        <v>9</v>
      </c>
      <c r="BR7" s="1149"/>
      <c r="BS7" s="1149" t="s">
        <v>9</v>
      </c>
      <c r="BT7" s="1149" t="s">
        <v>9</v>
      </c>
      <c r="BU7" s="1149"/>
      <c r="BV7" s="1149" t="s">
        <v>9</v>
      </c>
      <c r="BW7" s="1149"/>
      <c r="BX7" s="1149" t="s">
        <v>9</v>
      </c>
      <c r="BY7" s="1149" t="s">
        <v>9</v>
      </c>
      <c r="BZ7" s="1149" t="s">
        <v>9</v>
      </c>
      <c r="CA7" s="1149" t="s">
        <v>9</v>
      </c>
      <c r="CB7" s="1149" t="s">
        <v>9</v>
      </c>
      <c r="CC7" s="1149" t="s">
        <v>9</v>
      </c>
      <c r="CD7" s="1149" t="s">
        <v>9</v>
      </c>
      <c r="CE7" s="1149" t="s">
        <v>9</v>
      </c>
      <c r="CF7" s="1149" t="s">
        <v>9</v>
      </c>
      <c r="CG7" s="1149" t="s">
        <v>9</v>
      </c>
      <c r="CH7" s="1149" t="s">
        <v>9</v>
      </c>
      <c r="CI7" s="1149" t="s">
        <v>9</v>
      </c>
      <c r="CJ7" s="1149" t="s">
        <v>9</v>
      </c>
      <c r="CK7" s="1149" t="s">
        <v>9</v>
      </c>
      <c r="CL7" s="1149"/>
      <c r="CM7" s="1149" t="s">
        <v>9</v>
      </c>
      <c r="CN7" s="1149"/>
      <c r="CO7" s="1149" t="s">
        <v>9</v>
      </c>
      <c r="CP7" s="1149" t="s">
        <v>9</v>
      </c>
      <c r="CQ7" s="1149"/>
      <c r="CR7" s="1079"/>
      <c r="CS7" s="1079"/>
      <c r="CT7" s="1079"/>
      <c r="CU7" s="1079"/>
      <c r="CV7" s="1079"/>
      <c r="CW7" s="1079"/>
      <c r="CX7" s="1079"/>
      <c r="CY7" s="1079"/>
      <c r="CZ7" s="1079"/>
      <c r="DA7" s="1079"/>
      <c r="DB7" s="1079"/>
      <c r="DC7" s="1079"/>
      <c r="DD7" s="1077">
        <v>11</v>
      </c>
    </row>
    <row r="8" spans="1:108" s="1564" customFormat="1" ht="4.1500000000000004" customHeight="1">
      <c r="A8" s="1089"/>
      <c r="B8" s="1089"/>
      <c r="C8" s="1089"/>
      <c r="E8" s="1150"/>
      <c r="F8" s="1151"/>
      <c r="G8" s="1151"/>
      <c r="H8" s="1151"/>
      <c r="I8" s="1151"/>
      <c r="J8" s="1151"/>
      <c r="K8" s="1151" t="s">
        <v>1334</v>
      </c>
      <c r="L8" s="1151"/>
      <c r="M8" s="1151"/>
      <c r="N8" s="1151"/>
      <c r="O8" s="1151"/>
      <c r="P8" s="1151"/>
      <c r="Q8" s="1151"/>
      <c r="R8" s="1151"/>
      <c r="S8" s="1151"/>
      <c r="T8" s="1151" t="s">
        <v>1345</v>
      </c>
      <c r="U8" s="1151"/>
      <c r="V8" s="1151"/>
      <c r="W8" s="1151"/>
      <c r="X8" s="1151"/>
      <c r="Y8" s="1151"/>
      <c r="Z8" s="1151"/>
      <c r="AA8" s="1151"/>
      <c r="AB8" s="1151"/>
      <c r="AC8" s="1151"/>
      <c r="AD8" s="1151"/>
      <c r="AE8" s="1151"/>
      <c r="AF8" s="1151"/>
      <c r="AG8" s="1151"/>
      <c r="AH8" s="1151" t="s">
        <v>1354</v>
      </c>
      <c r="AI8" s="1151"/>
      <c r="AJ8" s="1151"/>
      <c r="AK8" s="1151"/>
      <c r="AL8" s="1151"/>
      <c r="AM8" s="1151"/>
      <c r="AN8" s="1151"/>
      <c r="AO8" s="1151"/>
      <c r="AP8" s="1151"/>
      <c r="AQ8" s="1151"/>
      <c r="AR8" s="1151"/>
      <c r="AS8" s="1151"/>
      <c r="AT8" s="1151" t="s">
        <v>1361</v>
      </c>
      <c r="AU8" s="1151"/>
      <c r="AV8" s="1151"/>
      <c r="AW8" s="1151"/>
      <c r="AX8" s="1151"/>
      <c r="AY8" s="1151"/>
      <c r="AZ8" s="1151"/>
      <c r="BA8" s="1151"/>
      <c r="BB8" s="1151"/>
      <c r="BC8" s="1151"/>
      <c r="BD8" s="1151"/>
      <c r="BE8" s="1151"/>
      <c r="BF8" s="1151" t="s">
        <v>1369</v>
      </c>
      <c r="BG8" s="1151"/>
      <c r="BH8" s="1151"/>
      <c r="BI8" s="1151"/>
      <c r="BJ8" s="1151"/>
      <c r="BK8" s="1151" t="s">
        <v>1378</v>
      </c>
      <c r="BL8" s="1151"/>
      <c r="BM8" s="1151"/>
      <c r="BN8" s="1151"/>
      <c r="BO8" s="1151"/>
      <c r="BP8" s="1151"/>
      <c r="BQ8" s="1151" t="s">
        <v>1386</v>
      </c>
      <c r="BR8" s="1151"/>
      <c r="BS8" s="1151"/>
      <c r="BT8" s="1151"/>
      <c r="BU8" s="1151"/>
      <c r="BV8" s="1151" t="s">
        <v>1395</v>
      </c>
      <c r="BW8" s="1151"/>
      <c r="BX8" s="1151"/>
      <c r="BY8" s="1151"/>
      <c r="BZ8" s="1151"/>
      <c r="CA8" s="1151"/>
      <c r="CB8" s="1151"/>
      <c r="CC8" s="1151"/>
      <c r="CD8" s="1151"/>
      <c r="CE8" s="1151"/>
      <c r="CF8" s="1151"/>
      <c r="CG8" s="1151"/>
      <c r="CH8" s="1151"/>
      <c r="CI8" s="1151"/>
      <c r="CJ8" s="1151"/>
      <c r="CK8" s="1151"/>
      <c r="CL8" s="1151"/>
      <c r="CM8" s="1151" t="s">
        <v>1403</v>
      </c>
      <c r="CN8" s="1151"/>
      <c r="CO8" s="1151"/>
      <c r="CP8" s="1151"/>
      <c r="CQ8" s="1151"/>
      <c r="CR8" s="1150"/>
      <c r="CS8" s="1150"/>
      <c r="CT8" s="1150"/>
      <c r="CU8" s="1150"/>
      <c r="CV8" s="1150"/>
      <c r="CW8" s="1150"/>
      <c r="CX8" s="1150"/>
      <c r="CY8" s="1150"/>
      <c r="CZ8" s="1150"/>
      <c r="DA8" s="1150"/>
      <c r="DB8" s="1150"/>
      <c r="DC8" s="1150"/>
      <c r="DD8" s="445">
        <v>4</v>
      </c>
    </row>
    <row r="9" spans="1:108" ht="10.5" customHeight="1">
      <c r="E9" s="1092"/>
      <c r="F9" s="3911" t="s">
        <v>345</v>
      </c>
      <c r="G9" s="3912"/>
      <c r="H9" s="3912"/>
      <c r="I9" s="3912"/>
      <c r="J9" s="3912"/>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c r="AM9" s="1993"/>
      <c r="AN9" s="1993"/>
      <c r="AO9" s="1993"/>
      <c r="AP9" s="1993"/>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c r="CF9" s="1993"/>
      <c r="CG9" s="1993"/>
      <c r="CH9" s="1993"/>
      <c r="CI9" s="1993"/>
      <c r="CJ9" s="1993"/>
      <c r="CK9" s="1993"/>
      <c r="CL9" s="1993"/>
      <c r="CM9" s="1993"/>
      <c r="CN9" s="1993"/>
      <c r="CO9" s="1993"/>
      <c r="CP9" s="1993"/>
      <c r="CQ9" s="1993"/>
      <c r="CR9" s="1162"/>
      <c r="CS9" s="1079"/>
      <c r="CT9" s="1079"/>
      <c r="CU9" s="1079"/>
      <c r="CV9" s="1079"/>
      <c r="CW9" s="1079"/>
      <c r="CX9" s="1079"/>
      <c r="CY9" s="1079"/>
      <c r="CZ9" s="1079"/>
      <c r="DA9" s="1079"/>
      <c r="DB9" s="1079"/>
      <c r="DC9" s="1079"/>
      <c r="DD9" s="1077">
        <v>10</v>
      </c>
    </row>
    <row r="10" spans="1:108" ht="25.15" customHeight="1">
      <c r="E10" s="1079"/>
      <c r="F10" s="3915" t="s">
        <v>76</v>
      </c>
      <c r="G10" s="3918" t="s">
        <v>1534</v>
      </c>
      <c r="H10" s="3871" t="s">
        <v>1535</v>
      </c>
      <c r="I10" s="3871"/>
      <c r="J10" s="3871"/>
      <c r="K10" s="3871" t="s">
        <v>1535</v>
      </c>
      <c r="L10" s="3871"/>
      <c r="M10" s="3871"/>
      <c r="N10" s="3871"/>
      <c r="O10" s="3871"/>
      <c r="P10" s="3871"/>
      <c r="Q10" s="3871"/>
      <c r="R10" s="3871"/>
      <c r="S10" s="3871"/>
      <c r="T10" s="3871" t="s">
        <v>1535</v>
      </c>
      <c r="U10" s="3871"/>
      <c r="V10" s="3871"/>
      <c r="W10" s="3871"/>
      <c r="X10" s="3871"/>
      <c r="Y10" s="3871"/>
      <c r="Z10" s="3871"/>
      <c r="AA10" s="3871"/>
      <c r="AB10" s="3871"/>
      <c r="AC10" s="3871"/>
      <c r="AD10" s="3871"/>
      <c r="AE10" s="3871"/>
      <c r="AF10" s="3871"/>
      <c r="AG10" s="3871"/>
      <c r="AH10" s="3871" t="s">
        <v>1535</v>
      </c>
      <c r="AI10" s="3871"/>
      <c r="AJ10" s="3871"/>
      <c r="AK10" s="3871"/>
      <c r="AL10" s="3871"/>
      <c r="AM10" s="3871"/>
      <c r="AN10" s="3871"/>
      <c r="AO10" s="3871"/>
      <c r="AP10" s="3871"/>
      <c r="AQ10" s="3871"/>
      <c r="AR10" s="3871"/>
      <c r="AS10" s="3871"/>
      <c r="AT10" s="3871" t="s">
        <v>1535</v>
      </c>
      <c r="AU10" s="3871"/>
      <c r="AV10" s="3871"/>
      <c r="AW10" s="3871"/>
      <c r="AX10" s="3871"/>
      <c r="AY10" s="3871"/>
      <c r="AZ10" s="3871"/>
      <c r="BA10" s="3871"/>
      <c r="BB10" s="3871"/>
      <c r="BC10" s="3871"/>
      <c r="BD10" s="3871"/>
      <c r="BE10" s="3871"/>
      <c r="BF10" s="3871" t="s">
        <v>1535</v>
      </c>
      <c r="BG10" s="3871"/>
      <c r="BH10" s="3871"/>
      <c r="BI10" s="3871"/>
      <c r="BJ10" s="3871"/>
      <c r="BK10" s="3871" t="s">
        <v>1535</v>
      </c>
      <c r="BL10" s="3871"/>
      <c r="BM10" s="3871"/>
      <c r="BN10" s="3871"/>
      <c r="BO10" s="3871"/>
      <c r="BP10" s="3871"/>
      <c r="BQ10" s="3871" t="s">
        <v>1535</v>
      </c>
      <c r="BR10" s="3871"/>
      <c r="BS10" s="3871"/>
      <c r="BT10" s="3871"/>
      <c r="BU10" s="3871"/>
      <c r="BV10" s="3871" t="s">
        <v>1535</v>
      </c>
      <c r="BW10" s="3871"/>
      <c r="BX10" s="3871"/>
      <c r="BY10" s="3871"/>
      <c r="BZ10" s="3871"/>
      <c r="CA10" s="3871"/>
      <c r="CB10" s="3871"/>
      <c r="CC10" s="3871"/>
      <c r="CD10" s="3871"/>
      <c r="CE10" s="3871"/>
      <c r="CF10" s="3871"/>
      <c r="CG10" s="3871"/>
      <c r="CH10" s="3871"/>
      <c r="CI10" s="3871"/>
      <c r="CJ10" s="3871"/>
      <c r="CK10" s="3871"/>
      <c r="CL10" s="3871"/>
      <c r="CM10" s="3871" t="s">
        <v>1535</v>
      </c>
      <c r="CN10" s="3871"/>
      <c r="CO10" s="3871"/>
      <c r="CP10" s="3871"/>
      <c r="CQ10" s="3871"/>
      <c r="CR10" s="1155"/>
      <c r="CS10" s="1079"/>
      <c r="CT10" s="1079"/>
      <c r="CU10" s="1079"/>
      <c r="CV10" s="1079"/>
      <c r="CW10" s="1079"/>
      <c r="CX10" s="1079"/>
      <c r="CY10" s="1079"/>
      <c r="CZ10" s="1079"/>
      <c r="DA10" s="1079"/>
      <c r="DB10" s="1079"/>
      <c r="DC10" s="1079"/>
      <c r="DD10" s="1077">
        <v>24</v>
      </c>
    </row>
    <row r="11" spans="1:108" ht="25.5" customHeight="1">
      <c r="E11" s="1079"/>
      <c r="F11" s="3916"/>
      <c r="G11" s="3918"/>
      <c r="H11" s="3910" t="e">
        <f>INDEX(IP_MAIN_LIST_NAME_IP,MATCH(H8,IP_MAIN_LIST_IP_ID,0))&amp;" ("&amp;INDEX(IP_MAIN_START_DATE,MATCH(H8,IP_MAIN_LIST_IP_ID,0))&amp;"-"&amp;INDEX(IP_MAIN_END_DATE,MATCH(H8,IP_MAIN_LIST_IP_ID,0))&amp;")"</f>
        <v>#N/A</v>
      </c>
      <c r="I11" s="3910"/>
      <c r="J11" s="3910"/>
      <c r="K11" s="3910" t="str">
        <f>INDEX(IP_MAIN_LIST_NAME_IP,MATCH(K8,IP_MAIN_LIST_IP_ID,0))&amp;" ("&amp;INDEX(IP_MAIN_START_DATE,MATCH(K8,IP_MAIN_LIST_IP_ID,0))&amp;"-"&amp;INDEX(IP_MAIN_END_DATE,MATCH(K8,IP_MAIN_LIST_IP_ID,0))&amp;")"</f>
        <v>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 (01.01.2020-31.12.2026)</v>
      </c>
      <c r="L11" s="3910"/>
      <c r="M11" s="3910"/>
      <c r="N11" s="3910"/>
      <c r="O11" s="3910"/>
      <c r="P11" s="3910"/>
      <c r="Q11" s="3910"/>
      <c r="R11" s="3910"/>
      <c r="S11" s="3910"/>
      <c r="T11" s="3910" t="str">
        <f>INDEX(IP_MAIN_LIST_NAME_IP,MATCH(T8,IP_MAIN_LIST_IP_ID,0))&amp;" ("&amp;INDEX(IP_MAIN_START_DATE,MATCH(T8,IP_MAIN_LIST_IP_ID,0))&amp;"-"&amp;INDEX(IP_MAIN_END_DATE,MATCH(T8,IP_MAIN_LIST_IP_ID,0))&amp;")"</f>
        <v>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округа Гагаринский на 2016-2027 годы (01.01.2016-31.12.2027)</v>
      </c>
      <c r="U11" s="3910"/>
      <c r="V11" s="3910"/>
      <c r="W11" s="3910"/>
      <c r="X11" s="3910"/>
      <c r="Y11" s="3910"/>
      <c r="Z11" s="3910"/>
      <c r="AA11" s="3910"/>
      <c r="AB11" s="3910"/>
      <c r="AC11" s="3910"/>
      <c r="AD11" s="3910"/>
      <c r="AE11" s="3910"/>
      <c r="AF11" s="3910"/>
      <c r="AG11" s="3910"/>
      <c r="AH11" s="3910" t="str">
        <f>INDEX(IP_MAIN_LIST_NAME_IP,MATCH(AH8,IP_MAIN_LIST_IP_ID,0))&amp;" ("&amp;INDEX(IP_MAIN_START_DATE,MATCH(AH8,IP_MAIN_LIST_IP_ID,0))&amp;"-"&amp;INDEX(IP_MAIN_END_DATE,MATCH(AH8,IP_MAIN_LIST_IP_ID,0))&amp;")"</f>
        <v>Инвестиционная программа № 29 от 12.03.2025 ООО "СМОЛЕНСКРЕГИОНТЕПЛОЭНЕРГО" в сфере теплоснабжения по строительству газовой котельной, на территории д Кощино, Смоленский муниципальный округ, Смоленский муниципальный округ на 2025-2034 годы (12.03.2025-31.12.2034)</v>
      </c>
      <c r="AI11" s="3910"/>
      <c r="AJ11" s="3910"/>
      <c r="AK11" s="3910"/>
      <c r="AL11" s="3910"/>
      <c r="AM11" s="3910"/>
      <c r="AN11" s="3910"/>
      <c r="AO11" s="3910"/>
      <c r="AP11" s="3910"/>
      <c r="AQ11" s="3910"/>
      <c r="AR11" s="3910"/>
      <c r="AS11" s="3910"/>
      <c r="AT11" s="3910" t="str">
        <f>INDEX(IP_MAIN_LIST_NAME_IP,MATCH(AT8,IP_MAIN_LIST_IP_ID,0))&amp;" ("&amp;INDEX(IP_MAIN_START_DATE,MATCH(AT8,IP_MAIN_LIST_IP_ID,0))&amp;"-"&amp;INDEX(IP_MAIN_END_DATE,MATCH(AT8,IP_MAIN_LIST_IP_ID,0))&amp;")"</f>
        <v>Инвестиционная программа № 30 от 12.03.2025 ООО "СМОЛЕНСКРЕГИОНТЕПЛОЭНЕРГО" в сфере теплоснабжения по строительству газовой котельной, на территории с Понизовье, Руднянский муниципальный округ, Руднянский муниципальный округ на 2025-2034 годы (12.03.2025-31.12.2034)</v>
      </c>
      <c r="AU11" s="3910"/>
      <c r="AV11" s="3910"/>
      <c r="AW11" s="3910"/>
      <c r="AX11" s="3910"/>
      <c r="AY11" s="3910"/>
      <c r="AZ11" s="3910"/>
      <c r="BA11" s="3910"/>
      <c r="BB11" s="3910"/>
      <c r="BC11" s="3910"/>
      <c r="BD11" s="3910"/>
      <c r="BE11" s="3910"/>
      <c r="BF11" s="3910" t="str">
        <f>INDEX(IP_MAIN_LIST_NAME_IP,MATCH(BF8,IP_MAIN_LIST_IP_ID,0))&amp;" ("&amp;INDEX(IP_MAIN_START_DATE,MATCH(BF8,IP_MAIN_LIST_IP_ID,0))&amp;"-"&amp;INDEX(IP_MAIN_END_DATE,MATCH(BF8,IP_MAIN_LIST_IP_ID,0))&amp;")"</f>
        <v>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 (01.01.2025-31.12.2027)</v>
      </c>
      <c r="BG11" s="3910"/>
      <c r="BH11" s="3910"/>
      <c r="BI11" s="3910"/>
      <c r="BJ11" s="3910"/>
      <c r="BK11" s="3910" t="str">
        <f>INDEX(IP_MAIN_LIST_NAME_IP,MATCH(BK8,IP_MAIN_LIST_IP_ID,0))&amp;" ("&amp;INDEX(IP_MAIN_START_DATE,MATCH(BK8,IP_MAIN_LIST_IP_ID,0))&amp;"-"&amp;INDEX(IP_MAIN_END_DATE,MATCH(BK8,IP_MAIN_LIST_IP_ID,0))&amp;")"</f>
        <v>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 (01.01.2022-31.12.2025)</v>
      </c>
      <c r="BL11" s="3910"/>
      <c r="BM11" s="3910"/>
      <c r="BN11" s="3910"/>
      <c r="BO11" s="3910"/>
      <c r="BP11" s="3910"/>
      <c r="BQ11" s="3910" t="str">
        <f>INDEX(IP_MAIN_LIST_NAME_IP,MATCH(BQ8,IP_MAIN_LIST_IP_ID,0))&amp;" ("&amp;INDEX(IP_MAIN_START_DATE,MATCH(BQ8,IP_MAIN_LIST_IP_ID,0))&amp;"-"&amp;INDEX(IP_MAIN_END_DATE,MATCH(BQ8,IP_MAIN_LIST_IP_ID,0))&amp;")"</f>
        <v>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 (01.01.2024-31.12.2026)</v>
      </c>
      <c r="BR11" s="3910"/>
      <c r="BS11" s="3910"/>
      <c r="BT11" s="3910"/>
      <c r="BU11" s="3910"/>
      <c r="BV11" s="3910" t="str">
        <f>INDEX(IP_MAIN_LIST_NAME_IP,MATCH(BV8,IP_MAIN_LIST_IP_ID,0))&amp;" ("&amp;INDEX(IP_MAIN_START_DATE,MATCH(BV8,IP_MAIN_LIST_IP_ID,0))&amp;"-"&amp;INDEX(IP_MAIN_END_DATE,MATCH(BV8,IP_MAIN_LIST_IP_ID,0))&amp;")"</f>
        <v>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 (18.03.2021-31.12.2035)</v>
      </c>
      <c r="BW11" s="3910"/>
      <c r="BX11" s="3910"/>
      <c r="BY11" s="3910"/>
      <c r="BZ11" s="3910"/>
      <c r="CA11" s="3910"/>
      <c r="CB11" s="3910"/>
      <c r="CC11" s="3910"/>
      <c r="CD11" s="3910"/>
      <c r="CE11" s="3910"/>
      <c r="CF11" s="3910"/>
      <c r="CG11" s="3910"/>
      <c r="CH11" s="3910"/>
      <c r="CI11" s="3910"/>
      <c r="CJ11" s="3910"/>
      <c r="CK11" s="3910"/>
      <c r="CL11" s="3910"/>
      <c r="CM11" s="3910" t="str">
        <f>INDEX(IP_MAIN_LIST_NAME_IP,MATCH(CM8,IP_MAIN_LIST_IP_ID,0))&amp;" ("&amp;INDEX(IP_MAIN_START_DATE,MATCH(CM8,IP_MAIN_LIST_IP_ID,0))&amp;"-"&amp;INDEX(IP_MAIN_END_DATE,MATCH(CM8,IP_MAIN_LIST_IP_ID,0))&amp;")"</f>
        <v>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 (01.01.2023-31.12.2025)</v>
      </c>
      <c r="CN11" s="3910"/>
      <c r="CO11" s="3910"/>
      <c r="CP11" s="3910"/>
      <c r="CQ11" s="3910"/>
      <c r="CR11" s="1155"/>
      <c r="CS11" s="1079"/>
      <c r="CT11" s="1079"/>
      <c r="CU11" s="1079"/>
      <c r="CV11" s="1079"/>
      <c r="CW11" s="1079"/>
      <c r="CX11" s="1079"/>
      <c r="CY11" s="1079"/>
      <c r="CZ11" s="1079"/>
      <c r="DA11" s="1079"/>
      <c r="DB11" s="1079"/>
      <c r="DC11" s="1079"/>
      <c r="DD11" s="1077">
        <v>24</v>
      </c>
    </row>
    <row r="12" spans="1:108" ht="10.5" customHeight="1">
      <c r="F12" s="3917"/>
      <c r="G12" s="3918"/>
      <c r="H12" s="1148" t="s">
        <v>1536</v>
      </c>
      <c r="I12" s="1154"/>
      <c r="J12" s="1148"/>
      <c r="K12" s="1996" t="s">
        <v>1536</v>
      </c>
      <c r="L12" s="1154">
        <v>2020</v>
      </c>
      <c r="M12" s="1154">
        <v>2021</v>
      </c>
      <c r="N12" s="1154">
        <v>2022</v>
      </c>
      <c r="O12" s="1154">
        <v>2023</v>
      </c>
      <c r="P12" s="1154">
        <v>2024</v>
      </c>
      <c r="Q12" s="1154">
        <v>2025</v>
      </c>
      <c r="R12" s="1154">
        <v>2026</v>
      </c>
      <c r="S12" s="1996"/>
      <c r="T12" s="1996" t="s">
        <v>1536</v>
      </c>
      <c r="U12" s="1154">
        <v>2016</v>
      </c>
      <c r="V12" s="1154">
        <v>2017</v>
      </c>
      <c r="W12" s="1154">
        <v>2018</v>
      </c>
      <c r="X12" s="1154">
        <v>2019</v>
      </c>
      <c r="Y12" s="1154">
        <v>2020</v>
      </c>
      <c r="Z12" s="1154">
        <v>2021</v>
      </c>
      <c r="AA12" s="1154">
        <v>2022</v>
      </c>
      <c r="AB12" s="1154">
        <v>2023</v>
      </c>
      <c r="AC12" s="1154">
        <v>2024</v>
      </c>
      <c r="AD12" s="1154">
        <v>2025</v>
      </c>
      <c r="AE12" s="1154">
        <v>2026</v>
      </c>
      <c r="AF12" s="1154">
        <v>2027</v>
      </c>
      <c r="AG12" s="1996"/>
      <c r="AH12" s="1996" t="s">
        <v>1536</v>
      </c>
      <c r="AI12" s="1154">
        <v>2025</v>
      </c>
      <c r="AJ12" s="1154">
        <v>2026</v>
      </c>
      <c r="AK12" s="1154">
        <v>2027</v>
      </c>
      <c r="AL12" s="1154">
        <v>2028</v>
      </c>
      <c r="AM12" s="1154">
        <v>2029</v>
      </c>
      <c r="AN12" s="1154">
        <v>2030</v>
      </c>
      <c r="AO12" s="1154">
        <v>2031</v>
      </c>
      <c r="AP12" s="1154">
        <v>2032</v>
      </c>
      <c r="AQ12" s="1154">
        <v>2033</v>
      </c>
      <c r="AR12" s="1154">
        <v>2034</v>
      </c>
      <c r="AS12" s="1996"/>
      <c r="AT12" s="1996" t="s">
        <v>1536</v>
      </c>
      <c r="AU12" s="1154">
        <v>2025</v>
      </c>
      <c r="AV12" s="1154">
        <v>2026</v>
      </c>
      <c r="AW12" s="1154">
        <v>2027</v>
      </c>
      <c r="AX12" s="1154">
        <v>2028</v>
      </c>
      <c r="AY12" s="1154">
        <v>2029</v>
      </c>
      <c r="AZ12" s="1154">
        <v>2030</v>
      </c>
      <c r="BA12" s="1154">
        <v>2031</v>
      </c>
      <c r="BB12" s="1154">
        <v>2032</v>
      </c>
      <c r="BC12" s="1154">
        <v>2033</v>
      </c>
      <c r="BD12" s="1154">
        <v>2034</v>
      </c>
      <c r="BE12" s="1996"/>
      <c r="BF12" s="1996" t="s">
        <v>1536</v>
      </c>
      <c r="BG12" s="1154">
        <v>2025</v>
      </c>
      <c r="BH12" s="1154">
        <v>2026</v>
      </c>
      <c r="BI12" s="1154">
        <v>2027</v>
      </c>
      <c r="BJ12" s="1996"/>
      <c r="BK12" s="1996" t="s">
        <v>1536</v>
      </c>
      <c r="BL12" s="1154">
        <v>2022</v>
      </c>
      <c r="BM12" s="1154">
        <v>2023</v>
      </c>
      <c r="BN12" s="1154">
        <v>2024</v>
      </c>
      <c r="BO12" s="1154">
        <v>2025</v>
      </c>
      <c r="BP12" s="1996"/>
      <c r="BQ12" s="1996" t="s">
        <v>1536</v>
      </c>
      <c r="BR12" s="1154">
        <v>2024</v>
      </c>
      <c r="BS12" s="1154">
        <v>2025</v>
      </c>
      <c r="BT12" s="1154">
        <v>2026</v>
      </c>
      <c r="BU12" s="1996"/>
      <c r="BV12" s="1996" t="s">
        <v>1536</v>
      </c>
      <c r="BW12" s="1154">
        <v>2021</v>
      </c>
      <c r="BX12" s="1154">
        <v>2022</v>
      </c>
      <c r="BY12" s="1154">
        <v>2023</v>
      </c>
      <c r="BZ12" s="1154">
        <v>2024</v>
      </c>
      <c r="CA12" s="1154">
        <v>2025</v>
      </c>
      <c r="CB12" s="1154">
        <v>2026</v>
      </c>
      <c r="CC12" s="1154">
        <v>2027</v>
      </c>
      <c r="CD12" s="1154">
        <v>2028</v>
      </c>
      <c r="CE12" s="1154">
        <v>2029</v>
      </c>
      <c r="CF12" s="1154">
        <v>2030</v>
      </c>
      <c r="CG12" s="1154">
        <v>2031</v>
      </c>
      <c r="CH12" s="1154">
        <v>2032</v>
      </c>
      <c r="CI12" s="1154">
        <v>2033</v>
      </c>
      <c r="CJ12" s="1154">
        <v>2034</v>
      </c>
      <c r="CK12" s="1154">
        <v>2035</v>
      </c>
      <c r="CL12" s="1996"/>
      <c r="CM12" s="1996" t="s">
        <v>1536</v>
      </c>
      <c r="CN12" s="1154">
        <v>2023</v>
      </c>
      <c r="CO12" s="1154">
        <v>2024</v>
      </c>
      <c r="CP12" s="1154">
        <v>2025</v>
      </c>
      <c r="CQ12" s="1996"/>
      <c r="CR12" s="1156"/>
      <c r="DD12" s="1077">
        <v>10</v>
      </c>
    </row>
    <row r="13" spans="1:108" ht="10.5" hidden="1" customHeight="1">
      <c r="F13" s="1148">
        <v>1</v>
      </c>
      <c r="G13" s="1148">
        <v>2</v>
      </c>
      <c r="H13" s="1148">
        <v>3</v>
      </c>
      <c r="I13" s="1148">
        <v>4</v>
      </c>
      <c r="J13" s="1148">
        <v>5</v>
      </c>
      <c r="K13" s="1996">
        <v>3</v>
      </c>
      <c r="L13" s="1996">
        <v>4</v>
      </c>
      <c r="M13" s="1996">
        <v>4</v>
      </c>
      <c r="N13" s="1996">
        <v>4</v>
      </c>
      <c r="O13" s="1996">
        <v>4</v>
      </c>
      <c r="P13" s="1996">
        <v>4</v>
      </c>
      <c r="Q13" s="1996">
        <v>4</v>
      </c>
      <c r="R13" s="1996">
        <v>4</v>
      </c>
      <c r="S13" s="1996">
        <v>5</v>
      </c>
      <c r="T13" s="1996">
        <v>3</v>
      </c>
      <c r="U13" s="1996">
        <v>4</v>
      </c>
      <c r="V13" s="1996">
        <v>4</v>
      </c>
      <c r="W13" s="1996">
        <v>4</v>
      </c>
      <c r="X13" s="1996">
        <v>4</v>
      </c>
      <c r="Y13" s="1996">
        <v>4</v>
      </c>
      <c r="Z13" s="1996">
        <v>4</v>
      </c>
      <c r="AA13" s="1996">
        <v>4</v>
      </c>
      <c r="AB13" s="1996">
        <v>4</v>
      </c>
      <c r="AC13" s="1996">
        <v>4</v>
      </c>
      <c r="AD13" s="1996">
        <v>4</v>
      </c>
      <c r="AE13" s="1996">
        <v>4</v>
      </c>
      <c r="AF13" s="1996">
        <v>4</v>
      </c>
      <c r="AG13" s="1996">
        <v>5</v>
      </c>
      <c r="AH13" s="1996">
        <v>3</v>
      </c>
      <c r="AI13" s="1996">
        <v>4</v>
      </c>
      <c r="AJ13" s="1996">
        <v>4</v>
      </c>
      <c r="AK13" s="1996">
        <v>4</v>
      </c>
      <c r="AL13" s="1996">
        <v>4</v>
      </c>
      <c r="AM13" s="1996">
        <v>4</v>
      </c>
      <c r="AN13" s="1996">
        <v>4</v>
      </c>
      <c r="AO13" s="1996">
        <v>4</v>
      </c>
      <c r="AP13" s="1996">
        <v>4</v>
      </c>
      <c r="AQ13" s="1996">
        <v>4</v>
      </c>
      <c r="AR13" s="1996">
        <v>4</v>
      </c>
      <c r="AS13" s="1996">
        <v>5</v>
      </c>
      <c r="AT13" s="1996">
        <v>3</v>
      </c>
      <c r="AU13" s="1996">
        <v>4</v>
      </c>
      <c r="AV13" s="1996">
        <v>4</v>
      </c>
      <c r="AW13" s="1996">
        <v>4</v>
      </c>
      <c r="AX13" s="1996">
        <v>4</v>
      </c>
      <c r="AY13" s="1996">
        <v>4</v>
      </c>
      <c r="AZ13" s="1996">
        <v>4</v>
      </c>
      <c r="BA13" s="1996">
        <v>4</v>
      </c>
      <c r="BB13" s="1996">
        <v>4</v>
      </c>
      <c r="BC13" s="1996">
        <v>4</v>
      </c>
      <c r="BD13" s="1996">
        <v>4</v>
      </c>
      <c r="BE13" s="1996">
        <v>5</v>
      </c>
      <c r="BF13" s="1996">
        <v>3</v>
      </c>
      <c r="BG13" s="1996">
        <v>4</v>
      </c>
      <c r="BH13" s="1996">
        <v>4</v>
      </c>
      <c r="BI13" s="1996">
        <v>4</v>
      </c>
      <c r="BJ13" s="1996">
        <v>5</v>
      </c>
      <c r="BK13" s="1996">
        <v>3</v>
      </c>
      <c r="BL13" s="1996">
        <v>4</v>
      </c>
      <c r="BM13" s="1996">
        <v>4</v>
      </c>
      <c r="BN13" s="1996">
        <v>4</v>
      </c>
      <c r="BO13" s="1996">
        <v>4</v>
      </c>
      <c r="BP13" s="1996">
        <v>5</v>
      </c>
      <c r="BQ13" s="1996">
        <v>3</v>
      </c>
      <c r="BR13" s="1996">
        <v>4</v>
      </c>
      <c r="BS13" s="1996">
        <v>4</v>
      </c>
      <c r="BT13" s="1996">
        <v>4</v>
      </c>
      <c r="BU13" s="1996">
        <v>5</v>
      </c>
      <c r="BV13" s="1996">
        <v>3</v>
      </c>
      <c r="BW13" s="1996">
        <v>4</v>
      </c>
      <c r="BX13" s="1996">
        <v>4</v>
      </c>
      <c r="BY13" s="1996">
        <v>4</v>
      </c>
      <c r="BZ13" s="1996">
        <v>4</v>
      </c>
      <c r="CA13" s="1996">
        <v>4</v>
      </c>
      <c r="CB13" s="1996">
        <v>4</v>
      </c>
      <c r="CC13" s="1996">
        <v>4</v>
      </c>
      <c r="CD13" s="1996">
        <v>4</v>
      </c>
      <c r="CE13" s="1996">
        <v>4</v>
      </c>
      <c r="CF13" s="1996">
        <v>4</v>
      </c>
      <c r="CG13" s="1996">
        <v>4</v>
      </c>
      <c r="CH13" s="1996">
        <v>4</v>
      </c>
      <c r="CI13" s="1996">
        <v>4</v>
      </c>
      <c r="CJ13" s="1996">
        <v>4</v>
      </c>
      <c r="CK13" s="1996">
        <v>4</v>
      </c>
      <c r="CL13" s="1996">
        <v>5</v>
      </c>
      <c r="CM13" s="1996">
        <v>3</v>
      </c>
      <c r="CN13" s="1996">
        <v>4</v>
      </c>
      <c r="CO13" s="1996">
        <v>4</v>
      </c>
      <c r="CP13" s="1996">
        <v>4</v>
      </c>
      <c r="CQ13" s="1996">
        <v>5</v>
      </c>
      <c r="CR13" s="1156"/>
      <c r="DD13" s="1077">
        <v>0</v>
      </c>
    </row>
    <row r="14" spans="1:108" ht="11.45" customHeight="1">
      <c r="F14" s="1147" t="s">
        <v>1537</v>
      </c>
      <c r="G14" s="3913" t="s">
        <v>1538</v>
      </c>
      <c r="H14" s="3913"/>
      <c r="I14" s="3913"/>
      <c r="J14" s="3913"/>
      <c r="K14" s="1994"/>
      <c r="L14" s="1994"/>
      <c r="M14" s="1994"/>
      <c r="N14" s="1994"/>
      <c r="O14" s="1994"/>
      <c r="P14" s="1994"/>
      <c r="Q14" s="1994"/>
      <c r="R14" s="1994"/>
      <c r="S14" s="1994"/>
      <c r="T14" s="1994"/>
      <c r="U14" s="1994"/>
      <c r="V14" s="1994"/>
      <c r="W14" s="1994"/>
      <c r="X14" s="1994"/>
      <c r="Y14" s="1994"/>
      <c r="Z14" s="1994"/>
      <c r="AA14" s="1994"/>
      <c r="AB14" s="1994"/>
      <c r="AC14" s="1994"/>
      <c r="AD14" s="1994"/>
      <c r="AE14" s="1994"/>
      <c r="AF14" s="1994"/>
      <c r="AG14" s="1994"/>
      <c r="AH14" s="1994"/>
      <c r="AI14" s="1994"/>
      <c r="AJ14" s="1994"/>
      <c r="AK14" s="1994"/>
      <c r="AL14" s="1994"/>
      <c r="AM14" s="1994"/>
      <c r="AN14" s="1994"/>
      <c r="AO14" s="1994"/>
      <c r="AP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c r="CF14" s="1994"/>
      <c r="CG14" s="1994"/>
      <c r="CH14" s="1994"/>
      <c r="CI14" s="1994"/>
      <c r="CJ14" s="1994"/>
      <c r="CK14" s="1994"/>
      <c r="CL14" s="1994"/>
      <c r="CM14" s="1994"/>
      <c r="CN14" s="1994"/>
      <c r="CO14" s="1994"/>
      <c r="CP14" s="1994"/>
      <c r="CQ14" s="1994"/>
      <c r="CR14" s="1156"/>
      <c r="DD14" s="1077">
        <v>11</v>
      </c>
    </row>
    <row r="15" spans="1:108" ht="11.45" customHeight="1">
      <c r="F15" s="1152">
        <v>1</v>
      </c>
      <c r="G15" s="624" t="s">
        <v>1539</v>
      </c>
      <c r="H15" s="1158">
        <f t="shared" ref="H15:H36" si="0">SUM(I15:J15)</f>
        <v>0</v>
      </c>
      <c r="I15" s="1158">
        <f>SUM(I16:I27)</f>
        <v>0</v>
      </c>
      <c r="J15" s="1147"/>
      <c r="K15" s="1158">
        <f t="shared" ref="K15:K36" si="1">SUM(L15:S15)</f>
        <v>0</v>
      </c>
      <c r="L15" s="1158">
        <f t="shared" ref="L15:R15" si="2">SUM(L16:L27)</f>
        <v>0</v>
      </c>
      <c r="M15" s="1158">
        <f t="shared" si="2"/>
        <v>0</v>
      </c>
      <c r="N15" s="1158">
        <f t="shared" si="2"/>
        <v>0</v>
      </c>
      <c r="O15" s="1158">
        <f t="shared" si="2"/>
        <v>0</v>
      </c>
      <c r="P15" s="1158">
        <f t="shared" si="2"/>
        <v>0</v>
      </c>
      <c r="Q15" s="1158">
        <f t="shared" si="2"/>
        <v>0</v>
      </c>
      <c r="R15" s="1158">
        <f t="shared" si="2"/>
        <v>0</v>
      </c>
      <c r="S15" s="1995"/>
      <c r="T15" s="1158">
        <f t="shared" ref="T15:T36" si="3">SUM(U15:AG15)</f>
        <v>0</v>
      </c>
      <c r="U15" s="1158">
        <f t="shared" ref="U15:AF15" si="4">SUM(U16:U27)</f>
        <v>0</v>
      </c>
      <c r="V15" s="1158">
        <f t="shared" si="4"/>
        <v>0</v>
      </c>
      <c r="W15" s="1158">
        <f t="shared" si="4"/>
        <v>0</v>
      </c>
      <c r="X15" s="1158">
        <f t="shared" si="4"/>
        <v>0</v>
      </c>
      <c r="Y15" s="1158">
        <f t="shared" si="4"/>
        <v>0</v>
      </c>
      <c r="Z15" s="1158">
        <f t="shared" si="4"/>
        <v>0</v>
      </c>
      <c r="AA15" s="1158">
        <f t="shared" si="4"/>
        <v>0</v>
      </c>
      <c r="AB15" s="1158">
        <f t="shared" si="4"/>
        <v>0</v>
      </c>
      <c r="AC15" s="1158">
        <f t="shared" si="4"/>
        <v>0</v>
      </c>
      <c r="AD15" s="1158">
        <f t="shared" si="4"/>
        <v>0</v>
      </c>
      <c r="AE15" s="1158">
        <f t="shared" si="4"/>
        <v>0</v>
      </c>
      <c r="AF15" s="1158">
        <f t="shared" si="4"/>
        <v>0</v>
      </c>
      <c r="AG15" s="1995"/>
      <c r="AH15" s="1158">
        <f t="shared" ref="AH15:AH36" si="5">SUM(AI15:AS15)</f>
        <v>0</v>
      </c>
      <c r="AI15" s="1158">
        <f t="shared" ref="AI15:AR15" si="6">SUM(AI16:AI27)</f>
        <v>0</v>
      </c>
      <c r="AJ15" s="1158">
        <f t="shared" si="6"/>
        <v>0</v>
      </c>
      <c r="AK15" s="1158">
        <f t="shared" si="6"/>
        <v>0</v>
      </c>
      <c r="AL15" s="1158">
        <f t="shared" si="6"/>
        <v>0</v>
      </c>
      <c r="AM15" s="1158">
        <f t="shared" si="6"/>
        <v>0</v>
      </c>
      <c r="AN15" s="1158">
        <f t="shared" si="6"/>
        <v>0</v>
      </c>
      <c r="AO15" s="1158">
        <f t="shared" si="6"/>
        <v>0</v>
      </c>
      <c r="AP15" s="1158">
        <f t="shared" si="6"/>
        <v>0</v>
      </c>
      <c r="AQ15" s="1158">
        <f t="shared" si="6"/>
        <v>0</v>
      </c>
      <c r="AR15" s="1158">
        <f t="shared" si="6"/>
        <v>0</v>
      </c>
      <c r="AS15" s="1995"/>
      <c r="AT15" s="1158">
        <f t="shared" ref="AT15:AT36" si="7">SUM(AU15:BE15)</f>
        <v>0</v>
      </c>
      <c r="AU15" s="1158">
        <f t="shared" ref="AU15:BD15" si="8">SUM(AU16:AU27)</f>
        <v>0</v>
      </c>
      <c r="AV15" s="1158">
        <f t="shared" si="8"/>
        <v>0</v>
      </c>
      <c r="AW15" s="1158">
        <f t="shared" si="8"/>
        <v>0</v>
      </c>
      <c r="AX15" s="1158">
        <f t="shared" si="8"/>
        <v>0</v>
      </c>
      <c r="AY15" s="1158">
        <f t="shared" si="8"/>
        <v>0</v>
      </c>
      <c r="AZ15" s="1158">
        <f t="shared" si="8"/>
        <v>0</v>
      </c>
      <c r="BA15" s="1158">
        <f t="shared" si="8"/>
        <v>0</v>
      </c>
      <c r="BB15" s="1158">
        <f t="shared" si="8"/>
        <v>0</v>
      </c>
      <c r="BC15" s="1158">
        <f t="shared" si="8"/>
        <v>0</v>
      </c>
      <c r="BD15" s="1158">
        <f t="shared" si="8"/>
        <v>0</v>
      </c>
      <c r="BE15" s="1995"/>
      <c r="BF15" s="1158">
        <f t="shared" ref="BF15:BF36" si="9">SUM(BG15:BJ15)</f>
        <v>0</v>
      </c>
      <c r="BG15" s="1158">
        <f>SUM(BG16:BG27)</f>
        <v>0</v>
      </c>
      <c r="BH15" s="1158">
        <f>SUM(BH16:BH27)</f>
        <v>0</v>
      </c>
      <c r="BI15" s="1158">
        <f>SUM(BI16:BI27)</f>
        <v>0</v>
      </c>
      <c r="BJ15" s="1995"/>
      <c r="BK15" s="1158">
        <f t="shared" ref="BK15:BK36" si="10">SUM(BL15:BP15)</f>
        <v>0</v>
      </c>
      <c r="BL15" s="1158">
        <f>SUM(BL16:BL27)</f>
        <v>0</v>
      </c>
      <c r="BM15" s="1158">
        <f>SUM(BM16:BM27)</f>
        <v>0</v>
      </c>
      <c r="BN15" s="1158">
        <f>SUM(BN16:BN27)</f>
        <v>0</v>
      </c>
      <c r="BO15" s="1158">
        <f>SUM(BO16:BO27)</f>
        <v>0</v>
      </c>
      <c r="BP15" s="1995"/>
      <c r="BQ15" s="1158">
        <f t="shared" ref="BQ15:BQ36" si="11">SUM(BR15:BU15)</f>
        <v>0</v>
      </c>
      <c r="BR15" s="1158">
        <f>SUM(BR16:BR27)</f>
        <v>0</v>
      </c>
      <c r="BS15" s="1158">
        <f>SUM(BS16:BS27)</f>
        <v>0</v>
      </c>
      <c r="BT15" s="1158">
        <f>SUM(BT16:BT27)</f>
        <v>0</v>
      </c>
      <c r="BU15" s="1995"/>
      <c r="BV15" s="1158">
        <f t="shared" ref="BV15:BV36" si="12">SUM(BW15:CL15)</f>
        <v>0</v>
      </c>
      <c r="BW15" s="1158">
        <f t="shared" ref="BW15:CK15" si="13">SUM(BW16:BW27)</f>
        <v>0</v>
      </c>
      <c r="BX15" s="1158">
        <f t="shared" si="13"/>
        <v>0</v>
      </c>
      <c r="BY15" s="1158">
        <f t="shared" si="13"/>
        <v>0</v>
      </c>
      <c r="BZ15" s="1158">
        <f t="shared" si="13"/>
        <v>0</v>
      </c>
      <c r="CA15" s="1158">
        <f t="shared" si="13"/>
        <v>0</v>
      </c>
      <c r="CB15" s="1158">
        <f t="shared" si="13"/>
        <v>0</v>
      </c>
      <c r="CC15" s="1158">
        <f t="shared" si="13"/>
        <v>0</v>
      </c>
      <c r="CD15" s="1158">
        <f t="shared" si="13"/>
        <v>0</v>
      </c>
      <c r="CE15" s="1158">
        <f t="shared" si="13"/>
        <v>0</v>
      </c>
      <c r="CF15" s="1158">
        <f t="shared" si="13"/>
        <v>0</v>
      </c>
      <c r="CG15" s="1158">
        <f t="shared" si="13"/>
        <v>0</v>
      </c>
      <c r="CH15" s="1158">
        <f t="shared" si="13"/>
        <v>0</v>
      </c>
      <c r="CI15" s="1158">
        <f t="shared" si="13"/>
        <v>0</v>
      </c>
      <c r="CJ15" s="1158">
        <f t="shared" si="13"/>
        <v>0</v>
      </c>
      <c r="CK15" s="1158">
        <f t="shared" si="13"/>
        <v>0</v>
      </c>
      <c r="CL15" s="1995"/>
      <c r="CM15" s="1158">
        <f t="shared" ref="CM15:CM36" si="14">SUM(CN15:CQ15)</f>
        <v>0</v>
      </c>
      <c r="CN15" s="1158">
        <f>SUM(CN16:CN27)</f>
        <v>0</v>
      </c>
      <c r="CO15" s="1158">
        <f>SUM(CO16:CO27)</f>
        <v>0</v>
      </c>
      <c r="CP15" s="1158">
        <f>SUM(CP16:CP27)</f>
        <v>0</v>
      </c>
      <c r="CQ15" s="1995"/>
      <c r="CR15" s="1156"/>
      <c r="DD15" s="1077">
        <v>11</v>
      </c>
    </row>
    <row r="16" spans="1:108" ht="24" customHeight="1">
      <c r="F16" s="1152" t="s">
        <v>1540</v>
      </c>
      <c r="G16" s="1159" t="s">
        <v>1541</v>
      </c>
      <c r="H16" s="1158">
        <f t="shared" si="0"/>
        <v>0</v>
      </c>
      <c r="I16" s="1157"/>
      <c r="J16" s="1147"/>
      <c r="K16" s="1158">
        <f t="shared" si="1"/>
        <v>0</v>
      </c>
      <c r="L16" s="1157"/>
      <c r="M16" s="1157"/>
      <c r="N16" s="1157"/>
      <c r="O16" s="1157"/>
      <c r="P16" s="1157"/>
      <c r="Q16" s="1157"/>
      <c r="R16" s="1157"/>
      <c r="S16" s="1995"/>
      <c r="T16" s="1158">
        <f t="shared" si="3"/>
        <v>0</v>
      </c>
      <c r="U16" s="1157"/>
      <c r="V16" s="1157"/>
      <c r="W16" s="1157"/>
      <c r="X16" s="1157"/>
      <c r="Y16" s="1157"/>
      <c r="Z16" s="1157"/>
      <c r="AA16" s="1157"/>
      <c r="AB16" s="1157"/>
      <c r="AC16" s="1157"/>
      <c r="AD16" s="1157"/>
      <c r="AE16" s="1157"/>
      <c r="AF16" s="1157"/>
      <c r="AG16" s="1995"/>
      <c r="AH16" s="1158">
        <f t="shared" si="5"/>
        <v>0</v>
      </c>
      <c r="AI16" s="1157"/>
      <c r="AJ16" s="1157"/>
      <c r="AK16" s="1157"/>
      <c r="AL16" s="1157"/>
      <c r="AM16" s="1157"/>
      <c r="AN16" s="1157"/>
      <c r="AO16" s="1157"/>
      <c r="AP16" s="1157"/>
      <c r="AQ16" s="1157"/>
      <c r="AR16" s="1157"/>
      <c r="AS16" s="1995"/>
      <c r="AT16" s="1158">
        <f t="shared" si="7"/>
        <v>0</v>
      </c>
      <c r="AU16" s="1157"/>
      <c r="AV16" s="1157"/>
      <c r="AW16" s="1157"/>
      <c r="AX16" s="1157"/>
      <c r="AY16" s="1157"/>
      <c r="AZ16" s="1157"/>
      <c r="BA16" s="1157"/>
      <c r="BB16" s="1157"/>
      <c r="BC16" s="1157"/>
      <c r="BD16" s="1157"/>
      <c r="BE16" s="1995"/>
      <c r="BF16" s="1158">
        <f t="shared" si="9"/>
        <v>0</v>
      </c>
      <c r="BG16" s="1157"/>
      <c r="BH16" s="1157"/>
      <c r="BI16" s="1157"/>
      <c r="BJ16" s="1995"/>
      <c r="BK16" s="1158">
        <f t="shared" si="10"/>
        <v>0</v>
      </c>
      <c r="BL16" s="1157"/>
      <c r="BM16" s="1157"/>
      <c r="BN16" s="1157"/>
      <c r="BO16" s="1157"/>
      <c r="BP16" s="1995"/>
      <c r="BQ16" s="1158">
        <f t="shared" si="11"/>
        <v>0</v>
      </c>
      <c r="BR16" s="1157"/>
      <c r="BS16" s="1157"/>
      <c r="BT16" s="1157"/>
      <c r="BU16" s="1995"/>
      <c r="BV16" s="1158">
        <f t="shared" si="12"/>
        <v>0</v>
      </c>
      <c r="BW16" s="1157"/>
      <c r="BX16" s="1157"/>
      <c r="BY16" s="1157"/>
      <c r="BZ16" s="1157"/>
      <c r="CA16" s="1157"/>
      <c r="CB16" s="1157"/>
      <c r="CC16" s="1157"/>
      <c r="CD16" s="1157"/>
      <c r="CE16" s="1157"/>
      <c r="CF16" s="1157"/>
      <c r="CG16" s="1157"/>
      <c r="CH16" s="1157"/>
      <c r="CI16" s="1157"/>
      <c r="CJ16" s="1157"/>
      <c r="CK16" s="1157"/>
      <c r="CL16" s="1995"/>
      <c r="CM16" s="1158">
        <f t="shared" si="14"/>
        <v>0</v>
      </c>
      <c r="CN16" s="1157"/>
      <c r="CO16" s="1157"/>
      <c r="CP16" s="1157"/>
      <c r="CQ16" s="1995"/>
      <c r="CR16" s="1156"/>
      <c r="DD16" s="1077">
        <v>23</v>
      </c>
    </row>
    <row r="17" spans="6:108" ht="24" customHeight="1">
      <c r="F17" s="1152" t="s">
        <v>1542</v>
      </c>
      <c r="G17" s="1159" t="s">
        <v>1543</v>
      </c>
      <c r="H17" s="1158">
        <f t="shared" si="0"/>
        <v>0</v>
      </c>
      <c r="I17" s="1157"/>
      <c r="J17" s="1147"/>
      <c r="K17" s="1158">
        <f t="shared" si="1"/>
        <v>0</v>
      </c>
      <c r="L17" s="1157"/>
      <c r="M17" s="1157"/>
      <c r="N17" s="1157"/>
      <c r="O17" s="1157"/>
      <c r="P17" s="1157"/>
      <c r="Q17" s="1157"/>
      <c r="R17" s="1157"/>
      <c r="S17" s="1995"/>
      <c r="T17" s="1158">
        <f t="shared" si="3"/>
        <v>0</v>
      </c>
      <c r="U17" s="1157"/>
      <c r="V17" s="1157"/>
      <c r="W17" s="1157"/>
      <c r="X17" s="1157"/>
      <c r="Y17" s="1157"/>
      <c r="Z17" s="1157"/>
      <c r="AA17" s="1157"/>
      <c r="AB17" s="1157"/>
      <c r="AC17" s="1157"/>
      <c r="AD17" s="1157"/>
      <c r="AE17" s="1157"/>
      <c r="AF17" s="1157"/>
      <c r="AG17" s="1995"/>
      <c r="AH17" s="1158">
        <f t="shared" si="5"/>
        <v>0</v>
      </c>
      <c r="AI17" s="1157"/>
      <c r="AJ17" s="1157"/>
      <c r="AK17" s="1157"/>
      <c r="AL17" s="1157"/>
      <c r="AM17" s="1157"/>
      <c r="AN17" s="1157"/>
      <c r="AO17" s="1157"/>
      <c r="AP17" s="1157"/>
      <c r="AQ17" s="1157"/>
      <c r="AR17" s="1157"/>
      <c r="AS17" s="1995"/>
      <c r="AT17" s="1158">
        <f t="shared" si="7"/>
        <v>0</v>
      </c>
      <c r="AU17" s="1157"/>
      <c r="AV17" s="1157"/>
      <c r="AW17" s="1157"/>
      <c r="AX17" s="1157"/>
      <c r="AY17" s="1157"/>
      <c r="AZ17" s="1157"/>
      <c r="BA17" s="1157"/>
      <c r="BB17" s="1157"/>
      <c r="BC17" s="1157"/>
      <c r="BD17" s="1157"/>
      <c r="BE17" s="1995"/>
      <c r="BF17" s="1158">
        <f t="shared" si="9"/>
        <v>0</v>
      </c>
      <c r="BG17" s="1157"/>
      <c r="BH17" s="1157"/>
      <c r="BI17" s="1157"/>
      <c r="BJ17" s="1995"/>
      <c r="BK17" s="1158">
        <f t="shared" si="10"/>
        <v>0</v>
      </c>
      <c r="BL17" s="1157"/>
      <c r="BM17" s="1157"/>
      <c r="BN17" s="1157"/>
      <c r="BO17" s="1157"/>
      <c r="BP17" s="1995"/>
      <c r="BQ17" s="1158">
        <f t="shared" si="11"/>
        <v>0</v>
      </c>
      <c r="BR17" s="1157"/>
      <c r="BS17" s="1157"/>
      <c r="BT17" s="1157"/>
      <c r="BU17" s="1995"/>
      <c r="BV17" s="1158">
        <f t="shared" si="12"/>
        <v>0</v>
      </c>
      <c r="BW17" s="1157"/>
      <c r="BX17" s="1157"/>
      <c r="BY17" s="1157"/>
      <c r="BZ17" s="1157"/>
      <c r="CA17" s="1157"/>
      <c r="CB17" s="1157"/>
      <c r="CC17" s="1157"/>
      <c r="CD17" s="1157"/>
      <c r="CE17" s="1157"/>
      <c r="CF17" s="1157"/>
      <c r="CG17" s="1157"/>
      <c r="CH17" s="1157"/>
      <c r="CI17" s="1157"/>
      <c r="CJ17" s="1157"/>
      <c r="CK17" s="1157"/>
      <c r="CL17" s="1995"/>
      <c r="CM17" s="1158">
        <f t="shared" si="14"/>
        <v>0</v>
      </c>
      <c r="CN17" s="1157"/>
      <c r="CO17" s="1157"/>
      <c r="CP17" s="1157"/>
      <c r="CQ17" s="1995"/>
      <c r="CR17" s="1156"/>
      <c r="DD17" s="1077">
        <v>23</v>
      </c>
    </row>
    <row r="18" spans="6:108" ht="35.65" customHeight="1">
      <c r="F18" s="1152" t="s">
        <v>1544</v>
      </c>
      <c r="G18" s="1159" t="s">
        <v>1545</v>
      </c>
      <c r="H18" s="1158">
        <f t="shared" si="0"/>
        <v>0</v>
      </c>
      <c r="I18" s="1157"/>
      <c r="J18" s="1147"/>
      <c r="K18" s="1158">
        <f t="shared" si="1"/>
        <v>0</v>
      </c>
      <c r="L18" s="1157"/>
      <c r="M18" s="1157"/>
      <c r="N18" s="1157"/>
      <c r="O18" s="1157"/>
      <c r="P18" s="1157"/>
      <c r="Q18" s="1157"/>
      <c r="R18" s="1157"/>
      <c r="S18" s="1995"/>
      <c r="T18" s="1158">
        <f t="shared" si="3"/>
        <v>0</v>
      </c>
      <c r="U18" s="1157"/>
      <c r="V18" s="1157"/>
      <c r="W18" s="1157"/>
      <c r="X18" s="1157"/>
      <c r="Y18" s="1157"/>
      <c r="Z18" s="1157"/>
      <c r="AA18" s="1157"/>
      <c r="AB18" s="1157"/>
      <c r="AC18" s="1157"/>
      <c r="AD18" s="1157"/>
      <c r="AE18" s="1157"/>
      <c r="AF18" s="1157"/>
      <c r="AG18" s="1995"/>
      <c r="AH18" s="1158">
        <f t="shared" si="5"/>
        <v>0</v>
      </c>
      <c r="AI18" s="1157"/>
      <c r="AJ18" s="1157"/>
      <c r="AK18" s="1157"/>
      <c r="AL18" s="1157"/>
      <c r="AM18" s="1157"/>
      <c r="AN18" s="1157"/>
      <c r="AO18" s="1157"/>
      <c r="AP18" s="1157"/>
      <c r="AQ18" s="1157"/>
      <c r="AR18" s="1157"/>
      <c r="AS18" s="1995"/>
      <c r="AT18" s="1158">
        <f t="shared" si="7"/>
        <v>0</v>
      </c>
      <c r="AU18" s="1157"/>
      <c r="AV18" s="1157"/>
      <c r="AW18" s="1157"/>
      <c r="AX18" s="1157"/>
      <c r="AY18" s="1157"/>
      <c r="AZ18" s="1157"/>
      <c r="BA18" s="1157"/>
      <c r="BB18" s="1157"/>
      <c r="BC18" s="1157"/>
      <c r="BD18" s="1157"/>
      <c r="BE18" s="1995"/>
      <c r="BF18" s="1158">
        <f t="shared" si="9"/>
        <v>0</v>
      </c>
      <c r="BG18" s="1157"/>
      <c r="BH18" s="1157"/>
      <c r="BI18" s="1157"/>
      <c r="BJ18" s="1995"/>
      <c r="BK18" s="1158">
        <f t="shared" si="10"/>
        <v>0</v>
      </c>
      <c r="BL18" s="1157"/>
      <c r="BM18" s="1157"/>
      <c r="BN18" s="1157"/>
      <c r="BO18" s="1157"/>
      <c r="BP18" s="1995"/>
      <c r="BQ18" s="1158">
        <f t="shared" si="11"/>
        <v>0</v>
      </c>
      <c r="BR18" s="1157"/>
      <c r="BS18" s="1157"/>
      <c r="BT18" s="1157"/>
      <c r="BU18" s="1995"/>
      <c r="BV18" s="1158">
        <f t="shared" si="12"/>
        <v>0</v>
      </c>
      <c r="BW18" s="1157"/>
      <c r="BX18" s="1157"/>
      <c r="BY18" s="1157"/>
      <c r="BZ18" s="1157"/>
      <c r="CA18" s="1157"/>
      <c r="CB18" s="1157"/>
      <c r="CC18" s="1157"/>
      <c r="CD18" s="1157"/>
      <c r="CE18" s="1157"/>
      <c r="CF18" s="1157"/>
      <c r="CG18" s="1157"/>
      <c r="CH18" s="1157"/>
      <c r="CI18" s="1157"/>
      <c r="CJ18" s="1157"/>
      <c r="CK18" s="1157"/>
      <c r="CL18" s="1995"/>
      <c r="CM18" s="1158">
        <f t="shared" si="14"/>
        <v>0</v>
      </c>
      <c r="CN18" s="1157"/>
      <c r="CO18" s="1157"/>
      <c r="CP18" s="1157"/>
      <c r="CQ18" s="1995"/>
      <c r="CR18" s="1156"/>
      <c r="DD18" s="1077">
        <v>34</v>
      </c>
    </row>
    <row r="19" spans="6:108" ht="35.65" customHeight="1">
      <c r="F19" s="1152" t="s">
        <v>1546</v>
      </c>
      <c r="G19" s="1159" t="s">
        <v>1547</v>
      </c>
      <c r="H19" s="1158">
        <f t="shared" si="0"/>
        <v>0</v>
      </c>
      <c r="I19" s="1157"/>
      <c r="J19" s="1147"/>
      <c r="K19" s="1158">
        <f t="shared" si="1"/>
        <v>0</v>
      </c>
      <c r="L19" s="1157"/>
      <c r="M19" s="1157"/>
      <c r="N19" s="1157"/>
      <c r="O19" s="1157"/>
      <c r="P19" s="1157"/>
      <c r="Q19" s="1157"/>
      <c r="R19" s="1157"/>
      <c r="S19" s="1995"/>
      <c r="T19" s="1158">
        <f t="shared" si="3"/>
        <v>0</v>
      </c>
      <c r="U19" s="1157"/>
      <c r="V19" s="1157"/>
      <c r="W19" s="1157"/>
      <c r="X19" s="1157"/>
      <c r="Y19" s="1157"/>
      <c r="Z19" s="1157"/>
      <c r="AA19" s="1157"/>
      <c r="AB19" s="1157"/>
      <c r="AC19" s="1157"/>
      <c r="AD19" s="1157"/>
      <c r="AE19" s="1157"/>
      <c r="AF19" s="1157"/>
      <c r="AG19" s="1995"/>
      <c r="AH19" s="1158">
        <f t="shared" si="5"/>
        <v>0</v>
      </c>
      <c r="AI19" s="1157"/>
      <c r="AJ19" s="1157"/>
      <c r="AK19" s="1157"/>
      <c r="AL19" s="1157"/>
      <c r="AM19" s="1157"/>
      <c r="AN19" s="1157"/>
      <c r="AO19" s="1157"/>
      <c r="AP19" s="1157"/>
      <c r="AQ19" s="1157"/>
      <c r="AR19" s="1157"/>
      <c r="AS19" s="1995"/>
      <c r="AT19" s="1158">
        <f t="shared" si="7"/>
        <v>0</v>
      </c>
      <c r="AU19" s="1157"/>
      <c r="AV19" s="1157"/>
      <c r="AW19" s="1157"/>
      <c r="AX19" s="1157"/>
      <c r="AY19" s="1157"/>
      <c r="AZ19" s="1157"/>
      <c r="BA19" s="1157"/>
      <c r="BB19" s="1157"/>
      <c r="BC19" s="1157"/>
      <c r="BD19" s="1157"/>
      <c r="BE19" s="1995"/>
      <c r="BF19" s="1158">
        <f t="shared" si="9"/>
        <v>0</v>
      </c>
      <c r="BG19" s="1157"/>
      <c r="BH19" s="1157"/>
      <c r="BI19" s="1157"/>
      <c r="BJ19" s="1995"/>
      <c r="BK19" s="1158">
        <f t="shared" si="10"/>
        <v>0</v>
      </c>
      <c r="BL19" s="1157"/>
      <c r="BM19" s="1157"/>
      <c r="BN19" s="1157"/>
      <c r="BO19" s="1157"/>
      <c r="BP19" s="1995"/>
      <c r="BQ19" s="1158">
        <f t="shared" si="11"/>
        <v>0</v>
      </c>
      <c r="BR19" s="1157"/>
      <c r="BS19" s="1157"/>
      <c r="BT19" s="1157"/>
      <c r="BU19" s="1995"/>
      <c r="BV19" s="1158">
        <f t="shared" si="12"/>
        <v>0</v>
      </c>
      <c r="BW19" s="1157"/>
      <c r="BX19" s="1157"/>
      <c r="BY19" s="1157"/>
      <c r="BZ19" s="1157"/>
      <c r="CA19" s="1157"/>
      <c r="CB19" s="1157"/>
      <c r="CC19" s="1157"/>
      <c r="CD19" s="1157"/>
      <c r="CE19" s="1157"/>
      <c r="CF19" s="1157"/>
      <c r="CG19" s="1157"/>
      <c r="CH19" s="1157"/>
      <c r="CI19" s="1157"/>
      <c r="CJ19" s="1157"/>
      <c r="CK19" s="1157"/>
      <c r="CL19" s="1995"/>
      <c r="CM19" s="1158">
        <f t="shared" si="14"/>
        <v>0</v>
      </c>
      <c r="CN19" s="1157"/>
      <c r="CO19" s="1157"/>
      <c r="CP19" s="1157"/>
      <c r="CQ19" s="1995"/>
      <c r="CR19" s="1156"/>
      <c r="DD19" s="1077">
        <v>34</v>
      </c>
    </row>
    <row r="20" spans="6:108" ht="48.2" customHeight="1">
      <c r="F20" s="1152" t="s">
        <v>1548</v>
      </c>
      <c r="G20" s="1159" t="s">
        <v>1549</v>
      </c>
      <c r="H20" s="1158">
        <f t="shared" si="0"/>
        <v>0</v>
      </c>
      <c r="I20" s="1157"/>
      <c r="J20" s="1147"/>
      <c r="K20" s="1158">
        <f t="shared" si="1"/>
        <v>0</v>
      </c>
      <c r="L20" s="1157"/>
      <c r="M20" s="1157"/>
      <c r="N20" s="1157"/>
      <c r="O20" s="1157"/>
      <c r="P20" s="1157"/>
      <c r="Q20" s="1157"/>
      <c r="R20" s="1157"/>
      <c r="S20" s="1995"/>
      <c r="T20" s="1158">
        <f t="shared" si="3"/>
        <v>0</v>
      </c>
      <c r="U20" s="1157"/>
      <c r="V20" s="1157"/>
      <c r="W20" s="1157"/>
      <c r="X20" s="1157"/>
      <c r="Y20" s="1157"/>
      <c r="Z20" s="1157"/>
      <c r="AA20" s="1157"/>
      <c r="AB20" s="1157"/>
      <c r="AC20" s="1157"/>
      <c r="AD20" s="1157"/>
      <c r="AE20" s="1157"/>
      <c r="AF20" s="1157"/>
      <c r="AG20" s="1995"/>
      <c r="AH20" s="1158">
        <f t="shared" si="5"/>
        <v>0</v>
      </c>
      <c r="AI20" s="1157"/>
      <c r="AJ20" s="1157"/>
      <c r="AK20" s="1157"/>
      <c r="AL20" s="1157"/>
      <c r="AM20" s="1157"/>
      <c r="AN20" s="1157"/>
      <c r="AO20" s="1157"/>
      <c r="AP20" s="1157"/>
      <c r="AQ20" s="1157"/>
      <c r="AR20" s="1157"/>
      <c r="AS20" s="1995"/>
      <c r="AT20" s="1158">
        <f t="shared" si="7"/>
        <v>0</v>
      </c>
      <c r="AU20" s="1157"/>
      <c r="AV20" s="1157"/>
      <c r="AW20" s="1157"/>
      <c r="AX20" s="1157"/>
      <c r="AY20" s="1157"/>
      <c r="AZ20" s="1157"/>
      <c r="BA20" s="1157"/>
      <c r="BB20" s="1157"/>
      <c r="BC20" s="1157"/>
      <c r="BD20" s="1157"/>
      <c r="BE20" s="1995"/>
      <c r="BF20" s="1158">
        <f t="shared" si="9"/>
        <v>0</v>
      </c>
      <c r="BG20" s="1157"/>
      <c r="BH20" s="1157"/>
      <c r="BI20" s="1157"/>
      <c r="BJ20" s="1995"/>
      <c r="BK20" s="1158">
        <f t="shared" si="10"/>
        <v>0</v>
      </c>
      <c r="BL20" s="1157"/>
      <c r="BM20" s="1157"/>
      <c r="BN20" s="1157"/>
      <c r="BO20" s="1157"/>
      <c r="BP20" s="1995"/>
      <c r="BQ20" s="1158">
        <f t="shared" si="11"/>
        <v>0</v>
      </c>
      <c r="BR20" s="1157"/>
      <c r="BS20" s="1157"/>
      <c r="BT20" s="1157"/>
      <c r="BU20" s="1995"/>
      <c r="BV20" s="1158">
        <f t="shared" si="12"/>
        <v>0</v>
      </c>
      <c r="BW20" s="1157"/>
      <c r="BX20" s="1157"/>
      <c r="BY20" s="1157"/>
      <c r="BZ20" s="1157"/>
      <c r="CA20" s="1157"/>
      <c r="CB20" s="1157"/>
      <c r="CC20" s="1157"/>
      <c r="CD20" s="1157"/>
      <c r="CE20" s="1157"/>
      <c r="CF20" s="1157"/>
      <c r="CG20" s="1157"/>
      <c r="CH20" s="1157"/>
      <c r="CI20" s="1157"/>
      <c r="CJ20" s="1157"/>
      <c r="CK20" s="1157"/>
      <c r="CL20" s="1995"/>
      <c r="CM20" s="1158">
        <f t="shared" si="14"/>
        <v>0</v>
      </c>
      <c r="CN20" s="1157"/>
      <c r="CO20" s="1157"/>
      <c r="CP20" s="1157"/>
      <c r="CQ20" s="1995"/>
      <c r="CR20" s="1156"/>
      <c r="DD20" s="1077">
        <v>46</v>
      </c>
    </row>
    <row r="21" spans="6:108" ht="35.65" customHeight="1">
      <c r="F21" s="1152" t="s">
        <v>1550</v>
      </c>
      <c r="G21" s="1159" t="s">
        <v>1551</v>
      </c>
      <c r="H21" s="1158">
        <f t="shared" si="0"/>
        <v>0</v>
      </c>
      <c r="I21" s="1157"/>
      <c r="J21" s="1147"/>
      <c r="K21" s="1158">
        <f t="shared" si="1"/>
        <v>0</v>
      </c>
      <c r="L21" s="1157"/>
      <c r="M21" s="1157"/>
      <c r="N21" s="1157"/>
      <c r="O21" s="1157"/>
      <c r="P21" s="1157"/>
      <c r="Q21" s="1157"/>
      <c r="R21" s="1157"/>
      <c r="S21" s="1995"/>
      <c r="T21" s="1158">
        <f t="shared" si="3"/>
        <v>0</v>
      </c>
      <c r="U21" s="1157"/>
      <c r="V21" s="1157"/>
      <c r="W21" s="1157"/>
      <c r="X21" s="1157"/>
      <c r="Y21" s="1157"/>
      <c r="Z21" s="1157"/>
      <c r="AA21" s="1157"/>
      <c r="AB21" s="1157"/>
      <c r="AC21" s="1157"/>
      <c r="AD21" s="1157"/>
      <c r="AE21" s="1157"/>
      <c r="AF21" s="1157"/>
      <c r="AG21" s="1995"/>
      <c r="AH21" s="1158">
        <f t="shared" si="5"/>
        <v>0</v>
      </c>
      <c r="AI21" s="1157"/>
      <c r="AJ21" s="1157"/>
      <c r="AK21" s="1157"/>
      <c r="AL21" s="1157"/>
      <c r="AM21" s="1157"/>
      <c r="AN21" s="1157"/>
      <c r="AO21" s="1157"/>
      <c r="AP21" s="1157"/>
      <c r="AQ21" s="1157"/>
      <c r="AR21" s="1157"/>
      <c r="AS21" s="1995"/>
      <c r="AT21" s="1158">
        <f t="shared" si="7"/>
        <v>0</v>
      </c>
      <c r="AU21" s="1157"/>
      <c r="AV21" s="1157"/>
      <c r="AW21" s="1157"/>
      <c r="AX21" s="1157"/>
      <c r="AY21" s="1157"/>
      <c r="AZ21" s="1157"/>
      <c r="BA21" s="1157"/>
      <c r="BB21" s="1157"/>
      <c r="BC21" s="1157"/>
      <c r="BD21" s="1157"/>
      <c r="BE21" s="1995"/>
      <c r="BF21" s="1158">
        <f t="shared" si="9"/>
        <v>0</v>
      </c>
      <c r="BG21" s="1157"/>
      <c r="BH21" s="1157"/>
      <c r="BI21" s="1157"/>
      <c r="BJ21" s="1995"/>
      <c r="BK21" s="1158">
        <f t="shared" si="10"/>
        <v>0</v>
      </c>
      <c r="BL21" s="1157"/>
      <c r="BM21" s="1157"/>
      <c r="BN21" s="1157"/>
      <c r="BO21" s="1157"/>
      <c r="BP21" s="1995"/>
      <c r="BQ21" s="1158">
        <f t="shared" si="11"/>
        <v>0</v>
      </c>
      <c r="BR21" s="1157"/>
      <c r="BS21" s="1157"/>
      <c r="BT21" s="1157"/>
      <c r="BU21" s="1995"/>
      <c r="BV21" s="1158">
        <f t="shared" si="12"/>
        <v>0</v>
      </c>
      <c r="BW21" s="1157"/>
      <c r="BX21" s="1157"/>
      <c r="BY21" s="1157"/>
      <c r="BZ21" s="1157"/>
      <c r="CA21" s="1157"/>
      <c r="CB21" s="1157"/>
      <c r="CC21" s="1157"/>
      <c r="CD21" s="1157"/>
      <c r="CE21" s="1157"/>
      <c r="CF21" s="1157"/>
      <c r="CG21" s="1157"/>
      <c r="CH21" s="1157"/>
      <c r="CI21" s="1157"/>
      <c r="CJ21" s="1157"/>
      <c r="CK21" s="1157"/>
      <c r="CL21" s="1995"/>
      <c r="CM21" s="1158">
        <f t="shared" si="14"/>
        <v>0</v>
      </c>
      <c r="CN21" s="1157"/>
      <c r="CO21" s="1157"/>
      <c r="CP21" s="1157"/>
      <c r="CQ21" s="1995"/>
      <c r="CR21" s="1156"/>
      <c r="DD21" s="1077">
        <v>34</v>
      </c>
    </row>
    <row r="22" spans="6:108" ht="35.65" customHeight="1">
      <c r="F22" s="1152" t="s">
        <v>1552</v>
      </c>
      <c r="G22" s="1159" t="s">
        <v>1553</v>
      </c>
      <c r="H22" s="1158">
        <f t="shared" si="0"/>
        <v>0</v>
      </c>
      <c r="I22" s="1157"/>
      <c r="J22" s="1147"/>
      <c r="K22" s="1158">
        <f t="shared" si="1"/>
        <v>0</v>
      </c>
      <c r="L22" s="1157"/>
      <c r="M22" s="1157"/>
      <c r="N22" s="1157"/>
      <c r="O22" s="1157"/>
      <c r="P22" s="1157"/>
      <c r="Q22" s="1157"/>
      <c r="R22" s="1157"/>
      <c r="S22" s="1995"/>
      <c r="T22" s="1158">
        <f t="shared" si="3"/>
        <v>0</v>
      </c>
      <c r="U22" s="1157"/>
      <c r="V22" s="1157"/>
      <c r="W22" s="1157"/>
      <c r="X22" s="1157"/>
      <c r="Y22" s="1157"/>
      <c r="Z22" s="1157"/>
      <c r="AA22" s="1157"/>
      <c r="AB22" s="1157"/>
      <c r="AC22" s="1157"/>
      <c r="AD22" s="1157"/>
      <c r="AE22" s="1157"/>
      <c r="AF22" s="1157"/>
      <c r="AG22" s="1995"/>
      <c r="AH22" s="1158">
        <f t="shared" si="5"/>
        <v>0</v>
      </c>
      <c r="AI22" s="1157"/>
      <c r="AJ22" s="1157"/>
      <c r="AK22" s="1157"/>
      <c r="AL22" s="1157"/>
      <c r="AM22" s="1157"/>
      <c r="AN22" s="1157"/>
      <c r="AO22" s="1157"/>
      <c r="AP22" s="1157"/>
      <c r="AQ22" s="1157"/>
      <c r="AR22" s="1157"/>
      <c r="AS22" s="1995"/>
      <c r="AT22" s="1158">
        <f t="shared" si="7"/>
        <v>0</v>
      </c>
      <c r="AU22" s="1157"/>
      <c r="AV22" s="1157"/>
      <c r="AW22" s="1157"/>
      <c r="AX22" s="1157"/>
      <c r="AY22" s="1157"/>
      <c r="AZ22" s="1157"/>
      <c r="BA22" s="1157"/>
      <c r="BB22" s="1157"/>
      <c r="BC22" s="1157"/>
      <c r="BD22" s="1157"/>
      <c r="BE22" s="1995"/>
      <c r="BF22" s="1158">
        <f t="shared" si="9"/>
        <v>0</v>
      </c>
      <c r="BG22" s="1157"/>
      <c r="BH22" s="1157"/>
      <c r="BI22" s="1157"/>
      <c r="BJ22" s="1995"/>
      <c r="BK22" s="1158">
        <f t="shared" si="10"/>
        <v>0</v>
      </c>
      <c r="BL22" s="1157"/>
      <c r="BM22" s="1157"/>
      <c r="BN22" s="1157"/>
      <c r="BO22" s="1157"/>
      <c r="BP22" s="1995"/>
      <c r="BQ22" s="1158">
        <f t="shared" si="11"/>
        <v>0</v>
      </c>
      <c r="BR22" s="1157"/>
      <c r="BS22" s="1157"/>
      <c r="BT22" s="1157"/>
      <c r="BU22" s="1995"/>
      <c r="BV22" s="1158">
        <f t="shared" si="12"/>
        <v>0</v>
      </c>
      <c r="BW22" s="1157"/>
      <c r="BX22" s="1157"/>
      <c r="BY22" s="1157"/>
      <c r="BZ22" s="1157"/>
      <c r="CA22" s="1157"/>
      <c r="CB22" s="1157"/>
      <c r="CC22" s="1157"/>
      <c r="CD22" s="1157"/>
      <c r="CE22" s="1157"/>
      <c r="CF22" s="1157"/>
      <c r="CG22" s="1157"/>
      <c r="CH22" s="1157"/>
      <c r="CI22" s="1157"/>
      <c r="CJ22" s="1157"/>
      <c r="CK22" s="1157"/>
      <c r="CL22" s="1995"/>
      <c r="CM22" s="1158">
        <f t="shared" si="14"/>
        <v>0</v>
      </c>
      <c r="CN22" s="1157"/>
      <c r="CO22" s="1157"/>
      <c r="CP22" s="1157"/>
      <c r="CQ22" s="1995"/>
      <c r="CR22" s="1156"/>
      <c r="DD22" s="1077">
        <v>34</v>
      </c>
    </row>
    <row r="23" spans="6:108" ht="24" customHeight="1">
      <c r="F23" s="1152" t="s">
        <v>1554</v>
      </c>
      <c r="G23" s="1159" t="s">
        <v>1555</v>
      </c>
      <c r="H23" s="1158">
        <f t="shared" si="0"/>
        <v>0</v>
      </c>
      <c r="I23" s="1157"/>
      <c r="J23" s="1147"/>
      <c r="K23" s="1158">
        <f t="shared" si="1"/>
        <v>0</v>
      </c>
      <c r="L23" s="1157"/>
      <c r="M23" s="1157"/>
      <c r="N23" s="1157"/>
      <c r="O23" s="1157"/>
      <c r="P23" s="1157"/>
      <c r="Q23" s="1157"/>
      <c r="R23" s="1157"/>
      <c r="S23" s="1995"/>
      <c r="T23" s="1158">
        <f t="shared" si="3"/>
        <v>0</v>
      </c>
      <c r="U23" s="1157"/>
      <c r="V23" s="1157"/>
      <c r="W23" s="1157"/>
      <c r="X23" s="1157"/>
      <c r="Y23" s="1157"/>
      <c r="Z23" s="1157"/>
      <c r="AA23" s="1157"/>
      <c r="AB23" s="1157"/>
      <c r="AC23" s="1157"/>
      <c r="AD23" s="1157"/>
      <c r="AE23" s="1157"/>
      <c r="AF23" s="1157"/>
      <c r="AG23" s="1995"/>
      <c r="AH23" s="1158">
        <f t="shared" si="5"/>
        <v>0</v>
      </c>
      <c r="AI23" s="1157"/>
      <c r="AJ23" s="1157"/>
      <c r="AK23" s="1157"/>
      <c r="AL23" s="1157"/>
      <c r="AM23" s="1157"/>
      <c r="AN23" s="1157"/>
      <c r="AO23" s="1157"/>
      <c r="AP23" s="1157"/>
      <c r="AQ23" s="1157"/>
      <c r="AR23" s="1157"/>
      <c r="AS23" s="1995"/>
      <c r="AT23" s="1158">
        <f t="shared" si="7"/>
        <v>0</v>
      </c>
      <c r="AU23" s="1157"/>
      <c r="AV23" s="1157"/>
      <c r="AW23" s="1157"/>
      <c r="AX23" s="1157"/>
      <c r="AY23" s="1157"/>
      <c r="AZ23" s="1157"/>
      <c r="BA23" s="1157"/>
      <c r="BB23" s="1157"/>
      <c r="BC23" s="1157"/>
      <c r="BD23" s="1157"/>
      <c r="BE23" s="1995"/>
      <c r="BF23" s="1158">
        <f t="shared" si="9"/>
        <v>0</v>
      </c>
      <c r="BG23" s="1157"/>
      <c r="BH23" s="1157"/>
      <c r="BI23" s="1157"/>
      <c r="BJ23" s="1995"/>
      <c r="BK23" s="1158">
        <f t="shared" si="10"/>
        <v>0</v>
      </c>
      <c r="BL23" s="1157"/>
      <c r="BM23" s="1157"/>
      <c r="BN23" s="1157"/>
      <c r="BO23" s="1157"/>
      <c r="BP23" s="1995"/>
      <c r="BQ23" s="1158">
        <f t="shared" si="11"/>
        <v>0</v>
      </c>
      <c r="BR23" s="1157"/>
      <c r="BS23" s="1157"/>
      <c r="BT23" s="1157"/>
      <c r="BU23" s="1995"/>
      <c r="BV23" s="1158">
        <f t="shared" si="12"/>
        <v>0</v>
      </c>
      <c r="BW23" s="1157"/>
      <c r="BX23" s="1157"/>
      <c r="BY23" s="1157"/>
      <c r="BZ23" s="1157"/>
      <c r="CA23" s="1157"/>
      <c r="CB23" s="1157"/>
      <c r="CC23" s="1157"/>
      <c r="CD23" s="1157"/>
      <c r="CE23" s="1157"/>
      <c r="CF23" s="1157"/>
      <c r="CG23" s="1157"/>
      <c r="CH23" s="1157"/>
      <c r="CI23" s="1157"/>
      <c r="CJ23" s="1157"/>
      <c r="CK23" s="1157"/>
      <c r="CL23" s="1995"/>
      <c r="CM23" s="1158">
        <f t="shared" si="14"/>
        <v>0</v>
      </c>
      <c r="CN23" s="1157"/>
      <c r="CO23" s="1157"/>
      <c r="CP23" s="1157"/>
      <c r="CQ23" s="1995"/>
      <c r="CR23" s="1156"/>
      <c r="DD23" s="1077">
        <v>23</v>
      </c>
    </row>
    <row r="24" spans="6:108" ht="24" customHeight="1">
      <c r="F24" s="1152" t="s">
        <v>1556</v>
      </c>
      <c r="G24" s="1159" t="s">
        <v>1557</v>
      </c>
      <c r="H24" s="1158">
        <f t="shared" si="0"/>
        <v>0</v>
      </c>
      <c r="I24" s="1157"/>
      <c r="J24" s="1147"/>
      <c r="K24" s="1158">
        <f t="shared" si="1"/>
        <v>0</v>
      </c>
      <c r="L24" s="1157"/>
      <c r="M24" s="1157"/>
      <c r="N24" s="1157"/>
      <c r="O24" s="1157"/>
      <c r="P24" s="1157"/>
      <c r="Q24" s="1157"/>
      <c r="R24" s="1157"/>
      <c r="S24" s="1995"/>
      <c r="T24" s="1158">
        <f t="shared" si="3"/>
        <v>0</v>
      </c>
      <c r="U24" s="1157"/>
      <c r="V24" s="1157"/>
      <c r="W24" s="1157"/>
      <c r="X24" s="1157"/>
      <c r="Y24" s="1157"/>
      <c r="Z24" s="1157"/>
      <c r="AA24" s="1157"/>
      <c r="AB24" s="1157"/>
      <c r="AC24" s="1157"/>
      <c r="AD24" s="1157"/>
      <c r="AE24" s="1157"/>
      <c r="AF24" s="1157"/>
      <c r="AG24" s="1995"/>
      <c r="AH24" s="1158">
        <f t="shared" si="5"/>
        <v>0</v>
      </c>
      <c r="AI24" s="1157"/>
      <c r="AJ24" s="1157"/>
      <c r="AK24" s="1157"/>
      <c r="AL24" s="1157"/>
      <c r="AM24" s="1157"/>
      <c r="AN24" s="1157"/>
      <c r="AO24" s="1157"/>
      <c r="AP24" s="1157"/>
      <c r="AQ24" s="1157"/>
      <c r="AR24" s="1157"/>
      <c r="AS24" s="1995"/>
      <c r="AT24" s="1158">
        <f t="shared" si="7"/>
        <v>0</v>
      </c>
      <c r="AU24" s="1157"/>
      <c r="AV24" s="1157"/>
      <c r="AW24" s="1157"/>
      <c r="AX24" s="1157"/>
      <c r="AY24" s="1157"/>
      <c r="AZ24" s="1157"/>
      <c r="BA24" s="1157"/>
      <c r="BB24" s="1157"/>
      <c r="BC24" s="1157"/>
      <c r="BD24" s="1157"/>
      <c r="BE24" s="1995"/>
      <c r="BF24" s="1158">
        <f t="shared" si="9"/>
        <v>0</v>
      </c>
      <c r="BG24" s="1157"/>
      <c r="BH24" s="1157"/>
      <c r="BI24" s="1157"/>
      <c r="BJ24" s="1995"/>
      <c r="BK24" s="1158">
        <f t="shared" si="10"/>
        <v>0</v>
      </c>
      <c r="BL24" s="1157"/>
      <c r="BM24" s="1157"/>
      <c r="BN24" s="1157"/>
      <c r="BO24" s="1157"/>
      <c r="BP24" s="1995"/>
      <c r="BQ24" s="1158">
        <f t="shared" si="11"/>
        <v>0</v>
      </c>
      <c r="BR24" s="1157"/>
      <c r="BS24" s="1157"/>
      <c r="BT24" s="1157"/>
      <c r="BU24" s="1995"/>
      <c r="BV24" s="1158">
        <f t="shared" si="12"/>
        <v>0</v>
      </c>
      <c r="BW24" s="1157"/>
      <c r="BX24" s="1157"/>
      <c r="BY24" s="1157"/>
      <c r="BZ24" s="1157"/>
      <c r="CA24" s="1157"/>
      <c r="CB24" s="1157"/>
      <c r="CC24" s="1157"/>
      <c r="CD24" s="1157"/>
      <c r="CE24" s="1157"/>
      <c r="CF24" s="1157"/>
      <c r="CG24" s="1157"/>
      <c r="CH24" s="1157"/>
      <c r="CI24" s="1157"/>
      <c r="CJ24" s="1157"/>
      <c r="CK24" s="1157"/>
      <c r="CL24" s="1995"/>
      <c r="CM24" s="1158">
        <f t="shared" si="14"/>
        <v>0</v>
      </c>
      <c r="CN24" s="1157"/>
      <c r="CO24" s="1157"/>
      <c r="CP24" s="1157"/>
      <c r="CQ24" s="1995"/>
      <c r="CR24" s="1156"/>
      <c r="DD24" s="1077">
        <v>23</v>
      </c>
    </row>
    <row r="25" spans="6:108" ht="35.65" customHeight="1">
      <c r="F25" s="1152" t="s">
        <v>1558</v>
      </c>
      <c r="G25" s="1159" t="s">
        <v>1559</v>
      </c>
      <c r="H25" s="1158">
        <f t="shared" si="0"/>
        <v>0</v>
      </c>
      <c r="I25" s="1157"/>
      <c r="J25" s="1147"/>
      <c r="K25" s="1158">
        <f t="shared" si="1"/>
        <v>0</v>
      </c>
      <c r="L25" s="1157"/>
      <c r="M25" s="1157"/>
      <c r="N25" s="1157"/>
      <c r="O25" s="1157"/>
      <c r="P25" s="1157"/>
      <c r="Q25" s="1157"/>
      <c r="R25" s="1157"/>
      <c r="S25" s="1995"/>
      <c r="T25" s="1158">
        <f t="shared" si="3"/>
        <v>0</v>
      </c>
      <c r="U25" s="1157"/>
      <c r="V25" s="1157"/>
      <c r="W25" s="1157"/>
      <c r="X25" s="1157"/>
      <c r="Y25" s="1157"/>
      <c r="Z25" s="1157"/>
      <c r="AA25" s="1157"/>
      <c r="AB25" s="1157"/>
      <c r="AC25" s="1157"/>
      <c r="AD25" s="1157"/>
      <c r="AE25" s="1157"/>
      <c r="AF25" s="1157"/>
      <c r="AG25" s="1995"/>
      <c r="AH25" s="1158">
        <f t="shared" si="5"/>
        <v>0</v>
      </c>
      <c r="AI25" s="1157"/>
      <c r="AJ25" s="1157"/>
      <c r="AK25" s="1157"/>
      <c r="AL25" s="1157"/>
      <c r="AM25" s="1157"/>
      <c r="AN25" s="1157"/>
      <c r="AO25" s="1157"/>
      <c r="AP25" s="1157"/>
      <c r="AQ25" s="1157"/>
      <c r="AR25" s="1157"/>
      <c r="AS25" s="1995"/>
      <c r="AT25" s="1158">
        <f t="shared" si="7"/>
        <v>0</v>
      </c>
      <c r="AU25" s="1157"/>
      <c r="AV25" s="1157"/>
      <c r="AW25" s="1157"/>
      <c r="AX25" s="1157"/>
      <c r="AY25" s="1157"/>
      <c r="AZ25" s="1157"/>
      <c r="BA25" s="1157"/>
      <c r="BB25" s="1157"/>
      <c r="BC25" s="1157"/>
      <c r="BD25" s="1157"/>
      <c r="BE25" s="1995"/>
      <c r="BF25" s="1158">
        <f t="shared" si="9"/>
        <v>0</v>
      </c>
      <c r="BG25" s="1157"/>
      <c r="BH25" s="1157"/>
      <c r="BI25" s="1157"/>
      <c r="BJ25" s="1995"/>
      <c r="BK25" s="1158">
        <f t="shared" si="10"/>
        <v>0</v>
      </c>
      <c r="BL25" s="1157"/>
      <c r="BM25" s="1157"/>
      <c r="BN25" s="1157"/>
      <c r="BO25" s="1157"/>
      <c r="BP25" s="1995"/>
      <c r="BQ25" s="1158">
        <f t="shared" si="11"/>
        <v>0</v>
      </c>
      <c r="BR25" s="1157"/>
      <c r="BS25" s="1157"/>
      <c r="BT25" s="1157"/>
      <c r="BU25" s="1995"/>
      <c r="BV25" s="1158">
        <f t="shared" si="12"/>
        <v>0</v>
      </c>
      <c r="BW25" s="1157"/>
      <c r="BX25" s="1157"/>
      <c r="BY25" s="1157"/>
      <c r="BZ25" s="1157"/>
      <c r="CA25" s="1157"/>
      <c r="CB25" s="1157"/>
      <c r="CC25" s="1157"/>
      <c r="CD25" s="1157"/>
      <c r="CE25" s="1157"/>
      <c r="CF25" s="1157"/>
      <c r="CG25" s="1157"/>
      <c r="CH25" s="1157"/>
      <c r="CI25" s="1157"/>
      <c r="CJ25" s="1157"/>
      <c r="CK25" s="1157"/>
      <c r="CL25" s="1995"/>
      <c r="CM25" s="1158">
        <f t="shared" si="14"/>
        <v>0</v>
      </c>
      <c r="CN25" s="1157"/>
      <c r="CO25" s="1157"/>
      <c r="CP25" s="1157"/>
      <c r="CQ25" s="1995"/>
      <c r="CR25" s="1156"/>
      <c r="DD25" s="1077">
        <v>34</v>
      </c>
    </row>
    <row r="26" spans="6:108" ht="35.65" customHeight="1">
      <c r="F26" s="1152" t="s">
        <v>1560</v>
      </c>
      <c r="G26" s="1159" t="s">
        <v>1561</v>
      </c>
      <c r="H26" s="1158">
        <f t="shared" si="0"/>
        <v>0</v>
      </c>
      <c r="I26" s="1157"/>
      <c r="J26" s="1147"/>
      <c r="K26" s="1158">
        <f t="shared" si="1"/>
        <v>0</v>
      </c>
      <c r="L26" s="1157"/>
      <c r="M26" s="1157"/>
      <c r="N26" s="1157"/>
      <c r="O26" s="1157"/>
      <c r="P26" s="1157"/>
      <c r="Q26" s="1157"/>
      <c r="R26" s="1157"/>
      <c r="S26" s="1995"/>
      <c r="T26" s="1158">
        <f t="shared" si="3"/>
        <v>0</v>
      </c>
      <c r="U26" s="1157"/>
      <c r="V26" s="1157"/>
      <c r="W26" s="1157"/>
      <c r="X26" s="1157"/>
      <c r="Y26" s="1157"/>
      <c r="Z26" s="1157"/>
      <c r="AA26" s="1157"/>
      <c r="AB26" s="1157"/>
      <c r="AC26" s="1157"/>
      <c r="AD26" s="1157"/>
      <c r="AE26" s="1157"/>
      <c r="AF26" s="1157"/>
      <c r="AG26" s="1995"/>
      <c r="AH26" s="1158">
        <f t="shared" si="5"/>
        <v>0</v>
      </c>
      <c r="AI26" s="1157"/>
      <c r="AJ26" s="1157"/>
      <c r="AK26" s="1157"/>
      <c r="AL26" s="1157"/>
      <c r="AM26" s="1157"/>
      <c r="AN26" s="1157"/>
      <c r="AO26" s="1157"/>
      <c r="AP26" s="1157"/>
      <c r="AQ26" s="1157"/>
      <c r="AR26" s="1157"/>
      <c r="AS26" s="1995"/>
      <c r="AT26" s="1158">
        <f t="shared" si="7"/>
        <v>0</v>
      </c>
      <c r="AU26" s="1157"/>
      <c r="AV26" s="1157"/>
      <c r="AW26" s="1157"/>
      <c r="AX26" s="1157"/>
      <c r="AY26" s="1157"/>
      <c r="AZ26" s="1157"/>
      <c r="BA26" s="1157"/>
      <c r="BB26" s="1157"/>
      <c r="BC26" s="1157"/>
      <c r="BD26" s="1157"/>
      <c r="BE26" s="1995"/>
      <c r="BF26" s="1158">
        <f t="shared" si="9"/>
        <v>0</v>
      </c>
      <c r="BG26" s="1157"/>
      <c r="BH26" s="1157"/>
      <c r="BI26" s="1157"/>
      <c r="BJ26" s="1995"/>
      <c r="BK26" s="1158">
        <f t="shared" si="10"/>
        <v>0</v>
      </c>
      <c r="BL26" s="1157"/>
      <c r="BM26" s="1157"/>
      <c r="BN26" s="1157"/>
      <c r="BO26" s="1157"/>
      <c r="BP26" s="1995"/>
      <c r="BQ26" s="1158">
        <f t="shared" si="11"/>
        <v>0</v>
      </c>
      <c r="BR26" s="1157"/>
      <c r="BS26" s="1157"/>
      <c r="BT26" s="1157"/>
      <c r="BU26" s="1995"/>
      <c r="BV26" s="1158">
        <f t="shared" si="12"/>
        <v>0</v>
      </c>
      <c r="BW26" s="1157"/>
      <c r="BX26" s="1157"/>
      <c r="BY26" s="1157"/>
      <c r="BZ26" s="1157"/>
      <c r="CA26" s="1157"/>
      <c r="CB26" s="1157"/>
      <c r="CC26" s="1157"/>
      <c r="CD26" s="1157"/>
      <c r="CE26" s="1157"/>
      <c r="CF26" s="1157"/>
      <c r="CG26" s="1157"/>
      <c r="CH26" s="1157"/>
      <c r="CI26" s="1157"/>
      <c r="CJ26" s="1157"/>
      <c r="CK26" s="1157"/>
      <c r="CL26" s="1995"/>
      <c r="CM26" s="1158">
        <f t="shared" si="14"/>
        <v>0</v>
      </c>
      <c r="CN26" s="1157"/>
      <c r="CO26" s="1157"/>
      <c r="CP26" s="1157"/>
      <c r="CQ26" s="1995"/>
      <c r="CR26" s="1156"/>
      <c r="DD26" s="1077">
        <v>34</v>
      </c>
    </row>
    <row r="27" spans="6:108" ht="11.45" customHeight="1">
      <c r="F27" s="1152" t="s">
        <v>1562</v>
      </c>
      <c r="G27" s="1159" t="s">
        <v>1563</v>
      </c>
      <c r="H27" s="1158">
        <f t="shared" si="0"/>
        <v>0</v>
      </c>
      <c r="I27" s="1157"/>
      <c r="J27" s="1147"/>
      <c r="K27" s="1158">
        <f t="shared" si="1"/>
        <v>0</v>
      </c>
      <c r="L27" s="1157"/>
      <c r="M27" s="1157"/>
      <c r="N27" s="1157"/>
      <c r="O27" s="1157"/>
      <c r="P27" s="1157"/>
      <c r="Q27" s="1157"/>
      <c r="R27" s="1157"/>
      <c r="S27" s="1995"/>
      <c r="T27" s="1158">
        <f t="shared" si="3"/>
        <v>0</v>
      </c>
      <c r="U27" s="1157"/>
      <c r="V27" s="1157"/>
      <c r="W27" s="1157"/>
      <c r="X27" s="1157"/>
      <c r="Y27" s="1157"/>
      <c r="Z27" s="1157"/>
      <c r="AA27" s="1157"/>
      <c r="AB27" s="1157"/>
      <c r="AC27" s="1157"/>
      <c r="AD27" s="1157"/>
      <c r="AE27" s="1157"/>
      <c r="AF27" s="1157"/>
      <c r="AG27" s="1995"/>
      <c r="AH27" s="1158">
        <f t="shared" si="5"/>
        <v>0</v>
      </c>
      <c r="AI27" s="1157"/>
      <c r="AJ27" s="1157"/>
      <c r="AK27" s="1157"/>
      <c r="AL27" s="1157"/>
      <c r="AM27" s="1157"/>
      <c r="AN27" s="1157"/>
      <c r="AO27" s="1157"/>
      <c r="AP27" s="1157"/>
      <c r="AQ27" s="1157"/>
      <c r="AR27" s="1157"/>
      <c r="AS27" s="1995"/>
      <c r="AT27" s="1158">
        <f t="shared" si="7"/>
        <v>0</v>
      </c>
      <c r="AU27" s="1157"/>
      <c r="AV27" s="1157"/>
      <c r="AW27" s="1157"/>
      <c r="AX27" s="1157"/>
      <c r="AY27" s="1157"/>
      <c r="AZ27" s="1157"/>
      <c r="BA27" s="1157"/>
      <c r="BB27" s="1157"/>
      <c r="BC27" s="1157"/>
      <c r="BD27" s="1157"/>
      <c r="BE27" s="1995"/>
      <c r="BF27" s="1158">
        <f t="shared" si="9"/>
        <v>0</v>
      </c>
      <c r="BG27" s="1157"/>
      <c r="BH27" s="1157"/>
      <c r="BI27" s="1157"/>
      <c r="BJ27" s="1995"/>
      <c r="BK27" s="1158">
        <f t="shared" si="10"/>
        <v>0</v>
      </c>
      <c r="BL27" s="1157"/>
      <c r="BM27" s="1157"/>
      <c r="BN27" s="1157"/>
      <c r="BO27" s="1157"/>
      <c r="BP27" s="1995"/>
      <c r="BQ27" s="1158">
        <f t="shared" si="11"/>
        <v>0</v>
      </c>
      <c r="BR27" s="1157"/>
      <c r="BS27" s="1157"/>
      <c r="BT27" s="1157"/>
      <c r="BU27" s="1995"/>
      <c r="BV27" s="1158">
        <f t="shared" si="12"/>
        <v>0</v>
      </c>
      <c r="BW27" s="1157"/>
      <c r="BX27" s="1157"/>
      <c r="BY27" s="1157"/>
      <c r="BZ27" s="1157"/>
      <c r="CA27" s="1157"/>
      <c r="CB27" s="1157"/>
      <c r="CC27" s="1157"/>
      <c r="CD27" s="1157"/>
      <c r="CE27" s="1157"/>
      <c r="CF27" s="1157"/>
      <c r="CG27" s="1157"/>
      <c r="CH27" s="1157"/>
      <c r="CI27" s="1157"/>
      <c r="CJ27" s="1157"/>
      <c r="CK27" s="1157"/>
      <c r="CL27" s="1995"/>
      <c r="CM27" s="1158">
        <f t="shared" si="14"/>
        <v>0</v>
      </c>
      <c r="CN27" s="1157"/>
      <c r="CO27" s="1157"/>
      <c r="CP27" s="1157"/>
      <c r="CQ27" s="1995"/>
      <c r="CR27" s="1156"/>
      <c r="DD27" s="1077">
        <v>11</v>
      </c>
    </row>
    <row r="28" spans="6:108" ht="11.45" customHeight="1">
      <c r="F28" s="1152">
        <v>2</v>
      </c>
      <c r="G28" s="624" t="s">
        <v>1564</v>
      </c>
      <c r="H28" s="1158">
        <f t="shared" si="0"/>
        <v>0</v>
      </c>
      <c r="I28" s="1158">
        <f>SUM(I29:I31)</f>
        <v>0</v>
      </c>
      <c r="J28" s="1147"/>
      <c r="K28" s="1158">
        <f t="shared" si="1"/>
        <v>0</v>
      </c>
      <c r="L28" s="1158">
        <f t="shared" ref="L28:R28" si="15">SUM(L29:L31)</f>
        <v>0</v>
      </c>
      <c r="M28" s="1158">
        <f t="shared" si="15"/>
        <v>0</v>
      </c>
      <c r="N28" s="1158">
        <f t="shared" si="15"/>
        <v>0</v>
      </c>
      <c r="O28" s="1158">
        <f t="shared" si="15"/>
        <v>0</v>
      </c>
      <c r="P28" s="1158">
        <f t="shared" si="15"/>
        <v>0</v>
      </c>
      <c r="Q28" s="1158">
        <f t="shared" si="15"/>
        <v>0</v>
      </c>
      <c r="R28" s="1158">
        <f t="shared" si="15"/>
        <v>0</v>
      </c>
      <c r="S28" s="1995"/>
      <c r="T28" s="1158">
        <f t="shared" si="3"/>
        <v>0</v>
      </c>
      <c r="U28" s="1158">
        <f t="shared" ref="U28:AF28" si="16">SUM(U29:U31)</f>
        <v>0</v>
      </c>
      <c r="V28" s="1158">
        <f t="shared" si="16"/>
        <v>0</v>
      </c>
      <c r="W28" s="1158">
        <f t="shared" si="16"/>
        <v>0</v>
      </c>
      <c r="X28" s="1158">
        <f t="shared" si="16"/>
        <v>0</v>
      </c>
      <c r="Y28" s="1158">
        <f t="shared" si="16"/>
        <v>0</v>
      </c>
      <c r="Z28" s="1158">
        <f t="shared" si="16"/>
        <v>0</v>
      </c>
      <c r="AA28" s="1158">
        <f t="shared" si="16"/>
        <v>0</v>
      </c>
      <c r="AB28" s="1158">
        <f t="shared" si="16"/>
        <v>0</v>
      </c>
      <c r="AC28" s="1158">
        <f t="shared" si="16"/>
        <v>0</v>
      </c>
      <c r="AD28" s="1158">
        <f t="shared" si="16"/>
        <v>0</v>
      </c>
      <c r="AE28" s="1158">
        <f t="shared" si="16"/>
        <v>0</v>
      </c>
      <c r="AF28" s="1158">
        <f t="shared" si="16"/>
        <v>0</v>
      </c>
      <c r="AG28" s="1995"/>
      <c r="AH28" s="1158">
        <f t="shared" si="5"/>
        <v>0</v>
      </c>
      <c r="AI28" s="1158">
        <f t="shared" ref="AI28:AR28" si="17">SUM(AI29:AI31)</f>
        <v>0</v>
      </c>
      <c r="AJ28" s="1158">
        <f t="shared" si="17"/>
        <v>0</v>
      </c>
      <c r="AK28" s="1158">
        <f t="shared" si="17"/>
        <v>0</v>
      </c>
      <c r="AL28" s="1158">
        <f t="shared" si="17"/>
        <v>0</v>
      </c>
      <c r="AM28" s="1158">
        <f t="shared" si="17"/>
        <v>0</v>
      </c>
      <c r="AN28" s="1158">
        <f t="shared" si="17"/>
        <v>0</v>
      </c>
      <c r="AO28" s="1158">
        <f t="shared" si="17"/>
        <v>0</v>
      </c>
      <c r="AP28" s="1158">
        <f t="shared" si="17"/>
        <v>0</v>
      </c>
      <c r="AQ28" s="1158">
        <f t="shared" si="17"/>
        <v>0</v>
      </c>
      <c r="AR28" s="1158">
        <f t="shared" si="17"/>
        <v>0</v>
      </c>
      <c r="AS28" s="1995"/>
      <c r="AT28" s="1158">
        <f t="shared" si="7"/>
        <v>0</v>
      </c>
      <c r="AU28" s="1158">
        <f t="shared" ref="AU28:BD28" si="18">SUM(AU29:AU31)</f>
        <v>0</v>
      </c>
      <c r="AV28" s="1158">
        <f t="shared" si="18"/>
        <v>0</v>
      </c>
      <c r="AW28" s="1158">
        <f t="shared" si="18"/>
        <v>0</v>
      </c>
      <c r="AX28" s="1158">
        <f t="shared" si="18"/>
        <v>0</v>
      </c>
      <c r="AY28" s="1158">
        <f t="shared" si="18"/>
        <v>0</v>
      </c>
      <c r="AZ28" s="1158">
        <f t="shared" si="18"/>
        <v>0</v>
      </c>
      <c r="BA28" s="1158">
        <f t="shared" si="18"/>
        <v>0</v>
      </c>
      <c r="BB28" s="1158">
        <f t="shared" si="18"/>
        <v>0</v>
      </c>
      <c r="BC28" s="1158">
        <f t="shared" si="18"/>
        <v>0</v>
      </c>
      <c r="BD28" s="1158">
        <f t="shared" si="18"/>
        <v>0</v>
      </c>
      <c r="BE28" s="1995"/>
      <c r="BF28" s="1158">
        <f t="shared" si="9"/>
        <v>0</v>
      </c>
      <c r="BG28" s="1158">
        <f>SUM(BG29:BG31)</f>
        <v>0</v>
      </c>
      <c r="BH28" s="1158">
        <f>SUM(BH29:BH31)</f>
        <v>0</v>
      </c>
      <c r="BI28" s="1158">
        <f>SUM(BI29:BI31)</f>
        <v>0</v>
      </c>
      <c r="BJ28" s="1995"/>
      <c r="BK28" s="1158">
        <f t="shared" si="10"/>
        <v>0</v>
      </c>
      <c r="BL28" s="1158">
        <f>SUM(BL29:BL31)</f>
        <v>0</v>
      </c>
      <c r="BM28" s="1158">
        <f>SUM(BM29:BM31)</f>
        <v>0</v>
      </c>
      <c r="BN28" s="1158">
        <f>SUM(BN29:BN31)</f>
        <v>0</v>
      </c>
      <c r="BO28" s="1158">
        <f>SUM(BO29:BO31)</f>
        <v>0</v>
      </c>
      <c r="BP28" s="1995"/>
      <c r="BQ28" s="1158">
        <f t="shared" si="11"/>
        <v>0</v>
      </c>
      <c r="BR28" s="1158">
        <f>SUM(BR29:BR31)</f>
        <v>0</v>
      </c>
      <c r="BS28" s="1158">
        <f>SUM(BS29:BS31)</f>
        <v>0</v>
      </c>
      <c r="BT28" s="1158">
        <f>SUM(BT29:BT31)</f>
        <v>0</v>
      </c>
      <c r="BU28" s="1995"/>
      <c r="BV28" s="1158">
        <f t="shared" si="12"/>
        <v>0</v>
      </c>
      <c r="BW28" s="1158">
        <f t="shared" ref="BW28:CK28" si="19">SUM(BW29:BW31)</f>
        <v>0</v>
      </c>
      <c r="BX28" s="1158">
        <f t="shared" si="19"/>
        <v>0</v>
      </c>
      <c r="BY28" s="1158">
        <f t="shared" si="19"/>
        <v>0</v>
      </c>
      <c r="BZ28" s="1158">
        <f t="shared" si="19"/>
        <v>0</v>
      </c>
      <c r="CA28" s="1158">
        <f t="shared" si="19"/>
        <v>0</v>
      </c>
      <c r="CB28" s="1158">
        <f t="shared" si="19"/>
        <v>0</v>
      </c>
      <c r="CC28" s="1158">
        <f t="shared" si="19"/>
        <v>0</v>
      </c>
      <c r="CD28" s="1158">
        <f t="shared" si="19"/>
        <v>0</v>
      </c>
      <c r="CE28" s="1158">
        <f t="shared" si="19"/>
        <v>0</v>
      </c>
      <c r="CF28" s="1158">
        <f t="shared" si="19"/>
        <v>0</v>
      </c>
      <c r="CG28" s="1158">
        <f t="shared" si="19"/>
        <v>0</v>
      </c>
      <c r="CH28" s="1158">
        <f t="shared" si="19"/>
        <v>0</v>
      </c>
      <c r="CI28" s="1158">
        <f t="shared" si="19"/>
        <v>0</v>
      </c>
      <c r="CJ28" s="1158">
        <f t="shared" si="19"/>
        <v>0</v>
      </c>
      <c r="CK28" s="1158">
        <f t="shared" si="19"/>
        <v>0</v>
      </c>
      <c r="CL28" s="1995"/>
      <c r="CM28" s="1158">
        <f t="shared" si="14"/>
        <v>0</v>
      </c>
      <c r="CN28" s="1158">
        <f>SUM(CN29:CN31)</f>
        <v>0</v>
      </c>
      <c r="CO28" s="1158">
        <f>SUM(CO29:CO31)</f>
        <v>0</v>
      </c>
      <c r="CP28" s="1158">
        <f>SUM(CP29:CP31)</f>
        <v>0</v>
      </c>
      <c r="CQ28" s="1995"/>
      <c r="CR28" s="1156"/>
      <c r="DD28" s="1077">
        <v>11</v>
      </c>
    </row>
    <row r="29" spans="6:108" ht="11.45" customHeight="1">
      <c r="F29" s="1152" t="s">
        <v>1029</v>
      </c>
      <c r="G29" s="1159" t="s">
        <v>1565</v>
      </c>
      <c r="H29" s="1158">
        <f t="shared" si="0"/>
        <v>0</v>
      </c>
      <c r="I29" s="1157"/>
      <c r="J29" s="1147"/>
      <c r="K29" s="1158">
        <f t="shared" si="1"/>
        <v>0</v>
      </c>
      <c r="L29" s="1157"/>
      <c r="M29" s="1157"/>
      <c r="N29" s="1157"/>
      <c r="O29" s="1157"/>
      <c r="P29" s="1157"/>
      <c r="Q29" s="1157"/>
      <c r="R29" s="1157"/>
      <c r="S29" s="1995"/>
      <c r="T29" s="1158">
        <f t="shared" si="3"/>
        <v>0</v>
      </c>
      <c r="U29" s="1157"/>
      <c r="V29" s="1157"/>
      <c r="W29" s="1157"/>
      <c r="X29" s="1157"/>
      <c r="Y29" s="1157"/>
      <c r="Z29" s="1157"/>
      <c r="AA29" s="1157"/>
      <c r="AB29" s="1157"/>
      <c r="AC29" s="1157"/>
      <c r="AD29" s="1157"/>
      <c r="AE29" s="1157"/>
      <c r="AF29" s="1157"/>
      <c r="AG29" s="1995"/>
      <c r="AH29" s="1158">
        <f t="shared" si="5"/>
        <v>0</v>
      </c>
      <c r="AI29" s="1157"/>
      <c r="AJ29" s="1157"/>
      <c r="AK29" s="1157"/>
      <c r="AL29" s="1157"/>
      <c r="AM29" s="1157"/>
      <c r="AN29" s="1157"/>
      <c r="AO29" s="1157"/>
      <c r="AP29" s="1157"/>
      <c r="AQ29" s="1157"/>
      <c r="AR29" s="1157"/>
      <c r="AS29" s="1995"/>
      <c r="AT29" s="1158">
        <f t="shared" si="7"/>
        <v>0</v>
      </c>
      <c r="AU29" s="1157"/>
      <c r="AV29" s="1157"/>
      <c r="AW29" s="1157"/>
      <c r="AX29" s="1157"/>
      <c r="AY29" s="1157"/>
      <c r="AZ29" s="1157"/>
      <c r="BA29" s="1157"/>
      <c r="BB29" s="1157"/>
      <c r="BC29" s="1157"/>
      <c r="BD29" s="1157"/>
      <c r="BE29" s="1995"/>
      <c r="BF29" s="1158">
        <f t="shared" si="9"/>
        <v>0</v>
      </c>
      <c r="BG29" s="1157"/>
      <c r="BH29" s="1157"/>
      <c r="BI29" s="1157"/>
      <c r="BJ29" s="1995"/>
      <c r="BK29" s="1158">
        <f t="shared" si="10"/>
        <v>0</v>
      </c>
      <c r="BL29" s="1157"/>
      <c r="BM29" s="1157"/>
      <c r="BN29" s="1157"/>
      <c r="BO29" s="1157"/>
      <c r="BP29" s="1995"/>
      <c r="BQ29" s="1158">
        <f t="shared" si="11"/>
        <v>0</v>
      </c>
      <c r="BR29" s="1157"/>
      <c r="BS29" s="1157"/>
      <c r="BT29" s="1157"/>
      <c r="BU29" s="1995"/>
      <c r="BV29" s="1158">
        <f t="shared" si="12"/>
        <v>0</v>
      </c>
      <c r="BW29" s="1157"/>
      <c r="BX29" s="1157"/>
      <c r="BY29" s="1157"/>
      <c r="BZ29" s="1157"/>
      <c r="CA29" s="1157"/>
      <c r="CB29" s="1157"/>
      <c r="CC29" s="1157"/>
      <c r="CD29" s="1157"/>
      <c r="CE29" s="1157"/>
      <c r="CF29" s="1157"/>
      <c r="CG29" s="1157"/>
      <c r="CH29" s="1157"/>
      <c r="CI29" s="1157"/>
      <c r="CJ29" s="1157"/>
      <c r="CK29" s="1157"/>
      <c r="CL29" s="1995"/>
      <c r="CM29" s="1158">
        <f t="shared" si="14"/>
        <v>0</v>
      </c>
      <c r="CN29" s="1157"/>
      <c r="CO29" s="1157"/>
      <c r="CP29" s="1157"/>
      <c r="CQ29" s="1995"/>
      <c r="CR29" s="1156"/>
      <c r="DD29" s="1077">
        <v>11</v>
      </c>
    </row>
    <row r="30" spans="6:108" ht="11.45" customHeight="1">
      <c r="F30" s="1152" t="s">
        <v>352</v>
      </c>
      <c r="G30" s="1159" t="s">
        <v>1566</v>
      </c>
      <c r="H30" s="1158">
        <f t="shared" si="0"/>
        <v>0</v>
      </c>
      <c r="I30" s="1157"/>
      <c r="J30" s="1147"/>
      <c r="K30" s="1158">
        <f t="shared" si="1"/>
        <v>0</v>
      </c>
      <c r="L30" s="1157"/>
      <c r="M30" s="1157"/>
      <c r="N30" s="1157"/>
      <c r="O30" s="1157"/>
      <c r="P30" s="1157"/>
      <c r="Q30" s="1157"/>
      <c r="R30" s="1157"/>
      <c r="S30" s="1995"/>
      <c r="T30" s="1158">
        <f t="shared" si="3"/>
        <v>0</v>
      </c>
      <c r="U30" s="1157"/>
      <c r="V30" s="1157"/>
      <c r="W30" s="1157"/>
      <c r="X30" s="1157"/>
      <c r="Y30" s="1157"/>
      <c r="Z30" s="1157"/>
      <c r="AA30" s="1157"/>
      <c r="AB30" s="1157"/>
      <c r="AC30" s="1157"/>
      <c r="AD30" s="1157"/>
      <c r="AE30" s="1157"/>
      <c r="AF30" s="1157"/>
      <c r="AG30" s="1995"/>
      <c r="AH30" s="1158">
        <f t="shared" si="5"/>
        <v>0</v>
      </c>
      <c r="AI30" s="1157"/>
      <c r="AJ30" s="1157"/>
      <c r="AK30" s="1157"/>
      <c r="AL30" s="1157"/>
      <c r="AM30" s="1157"/>
      <c r="AN30" s="1157"/>
      <c r="AO30" s="1157"/>
      <c r="AP30" s="1157"/>
      <c r="AQ30" s="1157"/>
      <c r="AR30" s="1157"/>
      <c r="AS30" s="1995"/>
      <c r="AT30" s="1158">
        <f t="shared" si="7"/>
        <v>0</v>
      </c>
      <c r="AU30" s="1157"/>
      <c r="AV30" s="1157"/>
      <c r="AW30" s="1157"/>
      <c r="AX30" s="1157"/>
      <c r="AY30" s="1157"/>
      <c r="AZ30" s="1157"/>
      <c r="BA30" s="1157"/>
      <c r="BB30" s="1157"/>
      <c r="BC30" s="1157"/>
      <c r="BD30" s="1157"/>
      <c r="BE30" s="1995"/>
      <c r="BF30" s="1158">
        <f t="shared" si="9"/>
        <v>0</v>
      </c>
      <c r="BG30" s="1157"/>
      <c r="BH30" s="1157"/>
      <c r="BI30" s="1157"/>
      <c r="BJ30" s="1995"/>
      <c r="BK30" s="1158">
        <f t="shared" si="10"/>
        <v>0</v>
      </c>
      <c r="BL30" s="1157"/>
      <c r="BM30" s="1157"/>
      <c r="BN30" s="1157"/>
      <c r="BO30" s="1157"/>
      <c r="BP30" s="1995"/>
      <c r="BQ30" s="1158">
        <f t="shared" si="11"/>
        <v>0</v>
      </c>
      <c r="BR30" s="1157"/>
      <c r="BS30" s="1157"/>
      <c r="BT30" s="1157"/>
      <c r="BU30" s="1995"/>
      <c r="BV30" s="1158">
        <f t="shared" si="12"/>
        <v>0</v>
      </c>
      <c r="BW30" s="1157"/>
      <c r="BX30" s="1157"/>
      <c r="BY30" s="1157"/>
      <c r="BZ30" s="1157"/>
      <c r="CA30" s="1157"/>
      <c r="CB30" s="1157"/>
      <c r="CC30" s="1157"/>
      <c r="CD30" s="1157"/>
      <c r="CE30" s="1157"/>
      <c r="CF30" s="1157"/>
      <c r="CG30" s="1157"/>
      <c r="CH30" s="1157"/>
      <c r="CI30" s="1157"/>
      <c r="CJ30" s="1157"/>
      <c r="CK30" s="1157"/>
      <c r="CL30" s="1995"/>
      <c r="CM30" s="1158">
        <f t="shared" si="14"/>
        <v>0</v>
      </c>
      <c r="CN30" s="1157"/>
      <c r="CO30" s="1157"/>
      <c r="CP30" s="1157"/>
      <c r="CQ30" s="1995"/>
      <c r="CR30" s="1156"/>
      <c r="DD30" s="1077">
        <v>11</v>
      </c>
    </row>
    <row r="31" spans="6:108" ht="11.45" customHeight="1">
      <c r="F31" s="1152" t="s">
        <v>355</v>
      </c>
      <c r="G31" s="1159" t="s">
        <v>1567</v>
      </c>
      <c r="H31" s="1158">
        <f t="shared" si="0"/>
        <v>0</v>
      </c>
      <c r="I31" s="1157"/>
      <c r="J31" s="1147"/>
      <c r="K31" s="1158">
        <f t="shared" si="1"/>
        <v>0</v>
      </c>
      <c r="L31" s="1157"/>
      <c r="M31" s="1157"/>
      <c r="N31" s="1157"/>
      <c r="O31" s="1157"/>
      <c r="P31" s="1157"/>
      <c r="Q31" s="1157"/>
      <c r="R31" s="1157"/>
      <c r="S31" s="1995"/>
      <c r="T31" s="1158">
        <f t="shared" si="3"/>
        <v>0</v>
      </c>
      <c r="U31" s="1157"/>
      <c r="V31" s="1157"/>
      <c r="W31" s="1157"/>
      <c r="X31" s="1157"/>
      <c r="Y31" s="1157"/>
      <c r="Z31" s="1157"/>
      <c r="AA31" s="1157"/>
      <c r="AB31" s="1157"/>
      <c r="AC31" s="1157"/>
      <c r="AD31" s="1157"/>
      <c r="AE31" s="1157"/>
      <c r="AF31" s="1157"/>
      <c r="AG31" s="1995"/>
      <c r="AH31" s="1158">
        <f t="shared" si="5"/>
        <v>0</v>
      </c>
      <c r="AI31" s="1157"/>
      <c r="AJ31" s="1157"/>
      <c r="AK31" s="1157"/>
      <c r="AL31" s="1157"/>
      <c r="AM31" s="1157"/>
      <c r="AN31" s="1157"/>
      <c r="AO31" s="1157"/>
      <c r="AP31" s="1157"/>
      <c r="AQ31" s="1157"/>
      <c r="AR31" s="1157"/>
      <c r="AS31" s="1995"/>
      <c r="AT31" s="1158">
        <f t="shared" si="7"/>
        <v>0</v>
      </c>
      <c r="AU31" s="1157"/>
      <c r="AV31" s="1157"/>
      <c r="AW31" s="1157"/>
      <c r="AX31" s="1157"/>
      <c r="AY31" s="1157"/>
      <c r="AZ31" s="1157"/>
      <c r="BA31" s="1157"/>
      <c r="BB31" s="1157"/>
      <c r="BC31" s="1157"/>
      <c r="BD31" s="1157"/>
      <c r="BE31" s="1995"/>
      <c r="BF31" s="1158">
        <f t="shared" si="9"/>
        <v>0</v>
      </c>
      <c r="BG31" s="1157"/>
      <c r="BH31" s="1157"/>
      <c r="BI31" s="1157"/>
      <c r="BJ31" s="1995"/>
      <c r="BK31" s="1158">
        <f t="shared" si="10"/>
        <v>0</v>
      </c>
      <c r="BL31" s="1157"/>
      <c r="BM31" s="1157"/>
      <c r="BN31" s="1157"/>
      <c r="BO31" s="1157"/>
      <c r="BP31" s="1995"/>
      <c r="BQ31" s="1158">
        <f t="shared" si="11"/>
        <v>0</v>
      </c>
      <c r="BR31" s="1157"/>
      <c r="BS31" s="1157"/>
      <c r="BT31" s="1157"/>
      <c r="BU31" s="1995"/>
      <c r="BV31" s="1158">
        <f t="shared" si="12"/>
        <v>0</v>
      </c>
      <c r="BW31" s="1157"/>
      <c r="BX31" s="1157"/>
      <c r="BY31" s="1157"/>
      <c r="BZ31" s="1157"/>
      <c r="CA31" s="1157"/>
      <c r="CB31" s="1157"/>
      <c r="CC31" s="1157"/>
      <c r="CD31" s="1157"/>
      <c r="CE31" s="1157"/>
      <c r="CF31" s="1157"/>
      <c r="CG31" s="1157"/>
      <c r="CH31" s="1157"/>
      <c r="CI31" s="1157"/>
      <c r="CJ31" s="1157"/>
      <c r="CK31" s="1157"/>
      <c r="CL31" s="1995"/>
      <c r="CM31" s="1158">
        <f t="shared" si="14"/>
        <v>0</v>
      </c>
      <c r="CN31" s="1157"/>
      <c r="CO31" s="1157"/>
      <c r="CP31" s="1157"/>
      <c r="CQ31" s="1995"/>
      <c r="CR31" s="1156"/>
      <c r="DD31" s="1077">
        <v>11</v>
      </c>
    </row>
    <row r="32" spans="6:108" ht="11.45" customHeight="1">
      <c r="F32" s="1152">
        <v>3</v>
      </c>
      <c r="G32" s="624" t="s">
        <v>1568</v>
      </c>
      <c r="H32" s="1158">
        <f t="shared" si="0"/>
        <v>0</v>
      </c>
      <c r="I32" s="1158">
        <f>SUM(I33:I34)</f>
        <v>0</v>
      </c>
      <c r="J32" s="1147"/>
      <c r="K32" s="1158">
        <f t="shared" si="1"/>
        <v>0</v>
      </c>
      <c r="L32" s="1158">
        <f t="shared" ref="L32:R32" si="20">SUM(L33:L34)</f>
        <v>0</v>
      </c>
      <c r="M32" s="1158">
        <f t="shared" si="20"/>
        <v>0</v>
      </c>
      <c r="N32" s="1158">
        <f t="shared" si="20"/>
        <v>0</v>
      </c>
      <c r="O32" s="1158">
        <f t="shared" si="20"/>
        <v>0</v>
      </c>
      <c r="P32" s="1158">
        <f t="shared" si="20"/>
        <v>0</v>
      </c>
      <c r="Q32" s="1158">
        <f t="shared" si="20"/>
        <v>0</v>
      </c>
      <c r="R32" s="1158">
        <f t="shared" si="20"/>
        <v>0</v>
      </c>
      <c r="S32" s="1995"/>
      <c r="T32" s="1158">
        <f t="shared" si="3"/>
        <v>0</v>
      </c>
      <c r="U32" s="1158">
        <f t="shared" ref="U32:AF32" si="21">SUM(U33:U34)</f>
        <v>0</v>
      </c>
      <c r="V32" s="1158">
        <f t="shared" si="21"/>
        <v>0</v>
      </c>
      <c r="W32" s="1158">
        <f t="shared" si="21"/>
        <v>0</v>
      </c>
      <c r="X32" s="1158">
        <f t="shared" si="21"/>
        <v>0</v>
      </c>
      <c r="Y32" s="1158">
        <f t="shared" si="21"/>
        <v>0</v>
      </c>
      <c r="Z32" s="1158">
        <f t="shared" si="21"/>
        <v>0</v>
      </c>
      <c r="AA32" s="1158">
        <f t="shared" si="21"/>
        <v>0</v>
      </c>
      <c r="AB32" s="1158">
        <f t="shared" si="21"/>
        <v>0</v>
      </c>
      <c r="AC32" s="1158">
        <f t="shared" si="21"/>
        <v>0</v>
      </c>
      <c r="AD32" s="1158">
        <f t="shared" si="21"/>
        <v>0</v>
      </c>
      <c r="AE32" s="1158">
        <f t="shared" si="21"/>
        <v>0</v>
      </c>
      <c r="AF32" s="1158">
        <f t="shared" si="21"/>
        <v>0</v>
      </c>
      <c r="AG32" s="1995"/>
      <c r="AH32" s="1158">
        <f t="shared" si="5"/>
        <v>0</v>
      </c>
      <c r="AI32" s="1158">
        <f t="shared" ref="AI32:AR32" si="22">SUM(AI33:AI34)</f>
        <v>0</v>
      </c>
      <c r="AJ32" s="1158">
        <f t="shared" si="22"/>
        <v>0</v>
      </c>
      <c r="AK32" s="1158">
        <f t="shared" si="22"/>
        <v>0</v>
      </c>
      <c r="AL32" s="1158">
        <f t="shared" si="22"/>
        <v>0</v>
      </c>
      <c r="AM32" s="1158">
        <f t="shared" si="22"/>
        <v>0</v>
      </c>
      <c r="AN32" s="1158">
        <f t="shared" si="22"/>
        <v>0</v>
      </c>
      <c r="AO32" s="1158">
        <f t="shared" si="22"/>
        <v>0</v>
      </c>
      <c r="AP32" s="1158">
        <f t="shared" si="22"/>
        <v>0</v>
      </c>
      <c r="AQ32" s="1158">
        <f t="shared" si="22"/>
        <v>0</v>
      </c>
      <c r="AR32" s="1158">
        <f t="shared" si="22"/>
        <v>0</v>
      </c>
      <c r="AS32" s="1995"/>
      <c r="AT32" s="1158">
        <f t="shared" si="7"/>
        <v>0</v>
      </c>
      <c r="AU32" s="1158">
        <f t="shared" ref="AU32:BD32" si="23">SUM(AU33:AU34)</f>
        <v>0</v>
      </c>
      <c r="AV32" s="1158">
        <f t="shared" si="23"/>
        <v>0</v>
      </c>
      <c r="AW32" s="1158">
        <f t="shared" si="23"/>
        <v>0</v>
      </c>
      <c r="AX32" s="1158">
        <f t="shared" si="23"/>
        <v>0</v>
      </c>
      <c r="AY32" s="1158">
        <f t="shared" si="23"/>
        <v>0</v>
      </c>
      <c r="AZ32" s="1158">
        <f t="shared" si="23"/>
        <v>0</v>
      </c>
      <c r="BA32" s="1158">
        <f t="shared" si="23"/>
        <v>0</v>
      </c>
      <c r="BB32" s="1158">
        <f t="shared" si="23"/>
        <v>0</v>
      </c>
      <c r="BC32" s="1158">
        <f t="shared" si="23"/>
        <v>0</v>
      </c>
      <c r="BD32" s="1158">
        <f t="shared" si="23"/>
        <v>0</v>
      </c>
      <c r="BE32" s="1995"/>
      <c r="BF32" s="1158">
        <f t="shared" si="9"/>
        <v>0</v>
      </c>
      <c r="BG32" s="1158">
        <f>SUM(BG33:BG34)</f>
        <v>0</v>
      </c>
      <c r="BH32" s="1158">
        <f>SUM(BH33:BH34)</f>
        <v>0</v>
      </c>
      <c r="BI32" s="1158">
        <f>SUM(BI33:BI34)</f>
        <v>0</v>
      </c>
      <c r="BJ32" s="1995"/>
      <c r="BK32" s="1158">
        <f t="shared" si="10"/>
        <v>0</v>
      </c>
      <c r="BL32" s="1158">
        <f>SUM(BL33:BL34)</f>
        <v>0</v>
      </c>
      <c r="BM32" s="1158">
        <f>SUM(BM33:BM34)</f>
        <v>0</v>
      </c>
      <c r="BN32" s="1158">
        <f>SUM(BN33:BN34)</f>
        <v>0</v>
      </c>
      <c r="BO32" s="1158">
        <f>SUM(BO33:BO34)</f>
        <v>0</v>
      </c>
      <c r="BP32" s="1995"/>
      <c r="BQ32" s="1158">
        <f t="shared" si="11"/>
        <v>0</v>
      </c>
      <c r="BR32" s="1158">
        <f>SUM(BR33:BR34)</f>
        <v>0</v>
      </c>
      <c r="BS32" s="1158">
        <f>SUM(BS33:BS34)</f>
        <v>0</v>
      </c>
      <c r="BT32" s="1158">
        <f>SUM(BT33:BT34)</f>
        <v>0</v>
      </c>
      <c r="BU32" s="1995"/>
      <c r="BV32" s="1158">
        <f t="shared" si="12"/>
        <v>0</v>
      </c>
      <c r="BW32" s="1158">
        <f t="shared" ref="BW32:CK32" si="24">SUM(BW33:BW34)</f>
        <v>0</v>
      </c>
      <c r="BX32" s="1158">
        <f t="shared" si="24"/>
        <v>0</v>
      </c>
      <c r="BY32" s="1158">
        <f t="shared" si="24"/>
        <v>0</v>
      </c>
      <c r="BZ32" s="1158">
        <f t="shared" si="24"/>
        <v>0</v>
      </c>
      <c r="CA32" s="1158">
        <f t="shared" si="24"/>
        <v>0</v>
      </c>
      <c r="CB32" s="1158">
        <f t="shared" si="24"/>
        <v>0</v>
      </c>
      <c r="CC32" s="1158">
        <f t="shared" si="24"/>
        <v>0</v>
      </c>
      <c r="CD32" s="1158">
        <f t="shared" si="24"/>
        <v>0</v>
      </c>
      <c r="CE32" s="1158">
        <f t="shared" si="24"/>
        <v>0</v>
      </c>
      <c r="CF32" s="1158">
        <f t="shared" si="24"/>
        <v>0</v>
      </c>
      <c r="CG32" s="1158">
        <f t="shared" si="24"/>
        <v>0</v>
      </c>
      <c r="CH32" s="1158">
        <f t="shared" si="24"/>
        <v>0</v>
      </c>
      <c r="CI32" s="1158">
        <f t="shared" si="24"/>
        <v>0</v>
      </c>
      <c r="CJ32" s="1158">
        <f t="shared" si="24"/>
        <v>0</v>
      </c>
      <c r="CK32" s="1158">
        <f t="shared" si="24"/>
        <v>0</v>
      </c>
      <c r="CL32" s="1995"/>
      <c r="CM32" s="1158">
        <f t="shared" si="14"/>
        <v>0</v>
      </c>
      <c r="CN32" s="1158">
        <f>SUM(CN33:CN34)</f>
        <v>0</v>
      </c>
      <c r="CO32" s="1158">
        <f>SUM(CO33:CO34)</f>
        <v>0</v>
      </c>
      <c r="CP32" s="1158">
        <f>SUM(CP33:CP34)</f>
        <v>0</v>
      </c>
      <c r="CQ32" s="1995"/>
      <c r="CR32" s="1156"/>
      <c r="DD32" s="1077">
        <v>11</v>
      </c>
    </row>
    <row r="33" spans="6:108" ht="48.2" customHeight="1">
      <c r="F33" s="1152" t="s">
        <v>369</v>
      </c>
      <c r="G33" s="1159" t="s">
        <v>1569</v>
      </c>
      <c r="H33" s="1158">
        <f t="shared" si="0"/>
        <v>0</v>
      </c>
      <c r="I33" s="1157"/>
      <c r="J33" s="1147"/>
      <c r="K33" s="1158">
        <f t="shared" si="1"/>
        <v>0</v>
      </c>
      <c r="L33" s="1157"/>
      <c r="M33" s="1157"/>
      <c r="N33" s="1157"/>
      <c r="O33" s="1157"/>
      <c r="P33" s="1157"/>
      <c r="Q33" s="1157"/>
      <c r="R33" s="1157"/>
      <c r="S33" s="1995"/>
      <c r="T33" s="1158">
        <f t="shared" si="3"/>
        <v>0</v>
      </c>
      <c r="U33" s="1157"/>
      <c r="V33" s="1157"/>
      <c r="W33" s="1157"/>
      <c r="X33" s="1157"/>
      <c r="Y33" s="1157"/>
      <c r="Z33" s="1157"/>
      <c r="AA33" s="1157"/>
      <c r="AB33" s="1157"/>
      <c r="AC33" s="1157"/>
      <c r="AD33" s="1157"/>
      <c r="AE33" s="1157"/>
      <c r="AF33" s="1157"/>
      <c r="AG33" s="1995"/>
      <c r="AH33" s="1158">
        <f t="shared" si="5"/>
        <v>0</v>
      </c>
      <c r="AI33" s="1157"/>
      <c r="AJ33" s="1157"/>
      <c r="AK33" s="1157"/>
      <c r="AL33" s="1157"/>
      <c r="AM33" s="1157"/>
      <c r="AN33" s="1157"/>
      <c r="AO33" s="1157"/>
      <c r="AP33" s="1157"/>
      <c r="AQ33" s="1157"/>
      <c r="AR33" s="1157"/>
      <c r="AS33" s="1995"/>
      <c r="AT33" s="1158">
        <f t="shared" si="7"/>
        <v>0</v>
      </c>
      <c r="AU33" s="1157"/>
      <c r="AV33" s="1157"/>
      <c r="AW33" s="1157"/>
      <c r="AX33" s="1157"/>
      <c r="AY33" s="1157"/>
      <c r="AZ33" s="1157"/>
      <c r="BA33" s="1157"/>
      <c r="BB33" s="1157"/>
      <c r="BC33" s="1157"/>
      <c r="BD33" s="1157"/>
      <c r="BE33" s="1995"/>
      <c r="BF33" s="1158">
        <f t="shared" si="9"/>
        <v>0</v>
      </c>
      <c r="BG33" s="1157"/>
      <c r="BH33" s="1157"/>
      <c r="BI33" s="1157"/>
      <c r="BJ33" s="1995"/>
      <c r="BK33" s="1158">
        <f t="shared" si="10"/>
        <v>0</v>
      </c>
      <c r="BL33" s="1157"/>
      <c r="BM33" s="1157"/>
      <c r="BN33" s="1157"/>
      <c r="BO33" s="1157"/>
      <c r="BP33" s="1995"/>
      <c r="BQ33" s="1158">
        <f t="shared" si="11"/>
        <v>0</v>
      </c>
      <c r="BR33" s="1157"/>
      <c r="BS33" s="1157"/>
      <c r="BT33" s="1157"/>
      <c r="BU33" s="1995"/>
      <c r="BV33" s="1158">
        <f t="shared" si="12"/>
        <v>0</v>
      </c>
      <c r="BW33" s="1157"/>
      <c r="BX33" s="1157"/>
      <c r="BY33" s="1157"/>
      <c r="BZ33" s="1157"/>
      <c r="CA33" s="1157"/>
      <c r="CB33" s="1157"/>
      <c r="CC33" s="1157"/>
      <c r="CD33" s="1157"/>
      <c r="CE33" s="1157"/>
      <c r="CF33" s="1157"/>
      <c r="CG33" s="1157"/>
      <c r="CH33" s="1157"/>
      <c r="CI33" s="1157"/>
      <c r="CJ33" s="1157"/>
      <c r="CK33" s="1157"/>
      <c r="CL33" s="1995"/>
      <c r="CM33" s="1158">
        <f t="shared" si="14"/>
        <v>0</v>
      </c>
      <c r="CN33" s="1157"/>
      <c r="CO33" s="1157"/>
      <c r="CP33" s="1157"/>
      <c r="CQ33" s="1995"/>
      <c r="CR33" s="1156"/>
      <c r="DD33" s="1077">
        <v>46</v>
      </c>
    </row>
    <row r="34" spans="6:108" ht="11.45" customHeight="1">
      <c r="F34" s="1152" t="s">
        <v>377</v>
      </c>
      <c r="G34" s="1159" t="s">
        <v>1570</v>
      </c>
      <c r="H34" s="1158">
        <f t="shared" si="0"/>
        <v>0</v>
      </c>
      <c r="I34" s="1157"/>
      <c r="J34" s="1147"/>
      <c r="K34" s="1158">
        <f t="shared" si="1"/>
        <v>0</v>
      </c>
      <c r="L34" s="1157"/>
      <c r="M34" s="1157"/>
      <c r="N34" s="1157"/>
      <c r="O34" s="1157"/>
      <c r="P34" s="1157"/>
      <c r="Q34" s="1157"/>
      <c r="R34" s="1157"/>
      <c r="S34" s="1995"/>
      <c r="T34" s="1158">
        <f t="shared" si="3"/>
        <v>0</v>
      </c>
      <c r="U34" s="1157"/>
      <c r="V34" s="1157"/>
      <c r="W34" s="1157"/>
      <c r="X34" s="1157"/>
      <c r="Y34" s="1157"/>
      <c r="Z34" s="1157"/>
      <c r="AA34" s="1157"/>
      <c r="AB34" s="1157"/>
      <c r="AC34" s="1157"/>
      <c r="AD34" s="1157"/>
      <c r="AE34" s="1157"/>
      <c r="AF34" s="1157"/>
      <c r="AG34" s="1995"/>
      <c r="AH34" s="1158">
        <f t="shared" si="5"/>
        <v>0</v>
      </c>
      <c r="AI34" s="1157"/>
      <c r="AJ34" s="1157"/>
      <c r="AK34" s="1157"/>
      <c r="AL34" s="1157"/>
      <c r="AM34" s="1157"/>
      <c r="AN34" s="1157"/>
      <c r="AO34" s="1157"/>
      <c r="AP34" s="1157"/>
      <c r="AQ34" s="1157"/>
      <c r="AR34" s="1157"/>
      <c r="AS34" s="1995"/>
      <c r="AT34" s="1158">
        <f t="shared" si="7"/>
        <v>0</v>
      </c>
      <c r="AU34" s="1157"/>
      <c r="AV34" s="1157"/>
      <c r="AW34" s="1157"/>
      <c r="AX34" s="1157"/>
      <c r="AY34" s="1157"/>
      <c r="AZ34" s="1157"/>
      <c r="BA34" s="1157"/>
      <c r="BB34" s="1157"/>
      <c r="BC34" s="1157"/>
      <c r="BD34" s="1157"/>
      <c r="BE34" s="1995"/>
      <c r="BF34" s="1158">
        <f t="shared" si="9"/>
        <v>0</v>
      </c>
      <c r="BG34" s="1157"/>
      <c r="BH34" s="1157"/>
      <c r="BI34" s="1157"/>
      <c r="BJ34" s="1995"/>
      <c r="BK34" s="1158">
        <f t="shared" si="10"/>
        <v>0</v>
      </c>
      <c r="BL34" s="1157"/>
      <c r="BM34" s="1157"/>
      <c r="BN34" s="1157"/>
      <c r="BO34" s="1157"/>
      <c r="BP34" s="1995"/>
      <c r="BQ34" s="1158">
        <f t="shared" si="11"/>
        <v>0</v>
      </c>
      <c r="BR34" s="1157"/>
      <c r="BS34" s="1157"/>
      <c r="BT34" s="1157"/>
      <c r="BU34" s="1995"/>
      <c r="BV34" s="1158">
        <f t="shared" si="12"/>
        <v>0</v>
      </c>
      <c r="BW34" s="1157"/>
      <c r="BX34" s="1157"/>
      <c r="BY34" s="1157"/>
      <c r="BZ34" s="1157"/>
      <c r="CA34" s="1157"/>
      <c r="CB34" s="1157"/>
      <c r="CC34" s="1157"/>
      <c r="CD34" s="1157"/>
      <c r="CE34" s="1157"/>
      <c r="CF34" s="1157"/>
      <c r="CG34" s="1157"/>
      <c r="CH34" s="1157"/>
      <c r="CI34" s="1157"/>
      <c r="CJ34" s="1157"/>
      <c r="CK34" s="1157"/>
      <c r="CL34" s="1995"/>
      <c r="CM34" s="1158">
        <f t="shared" si="14"/>
        <v>0</v>
      </c>
      <c r="CN34" s="1157"/>
      <c r="CO34" s="1157"/>
      <c r="CP34" s="1157"/>
      <c r="CQ34" s="1995"/>
      <c r="CR34" s="1156"/>
      <c r="DD34" s="1077">
        <v>11</v>
      </c>
    </row>
    <row r="35" spans="6:108" ht="11.45" customHeight="1">
      <c r="F35" s="1152">
        <v>4</v>
      </c>
      <c r="G35" s="624" t="s">
        <v>1571</v>
      </c>
      <c r="H35" s="1158">
        <f t="shared" si="0"/>
        <v>0</v>
      </c>
      <c r="I35" s="1157"/>
      <c r="J35" s="1147"/>
      <c r="K35" s="1158">
        <f t="shared" si="1"/>
        <v>0</v>
      </c>
      <c r="L35" s="1157"/>
      <c r="M35" s="1157"/>
      <c r="N35" s="1157"/>
      <c r="O35" s="1157"/>
      <c r="P35" s="1157"/>
      <c r="Q35" s="1157"/>
      <c r="R35" s="1157"/>
      <c r="S35" s="1995"/>
      <c r="T35" s="1158">
        <f t="shared" si="3"/>
        <v>0</v>
      </c>
      <c r="U35" s="1157"/>
      <c r="V35" s="1157"/>
      <c r="W35" s="1157"/>
      <c r="X35" s="1157"/>
      <c r="Y35" s="1157"/>
      <c r="Z35" s="1157"/>
      <c r="AA35" s="1157"/>
      <c r="AB35" s="1157"/>
      <c r="AC35" s="1157"/>
      <c r="AD35" s="1157"/>
      <c r="AE35" s="1157"/>
      <c r="AF35" s="1157"/>
      <c r="AG35" s="1995"/>
      <c r="AH35" s="1158">
        <f t="shared" si="5"/>
        <v>0</v>
      </c>
      <c r="AI35" s="1157"/>
      <c r="AJ35" s="1157"/>
      <c r="AK35" s="1157"/>
      <c r="AL35" s="1157"/>
      <c r="AM35" s="1157"/>
      <c r="AN35" s="1157"/>
      <c r="AO35" s="1157"/>
      <c r="AP35" s="1157"/>
      <c r="AQ35" s="1157"/>
      <c r="AR35" s="1157"/>
      <c r="AS35" s="1995"/>
      <c r="AT35" s="1158">
        <f t="shared" si="7"/>
        <v>0</v>
      </c>
      <c r="AU35" s="1157"/>
      <c r="AV35" s="1157"/>
      <c r="AW35" s="1157"/>
      <c r="AX35" s="1157"/>
      <c r="AY35" s="1157"/>
      <c r="AZ35" s="1157"/>
      <c r="BA35" s="1157"/>
      <c r="BB35" s="1157"/>
      <c r="BC35" s="1157"/>
      <c r="BD35" s="1157"/>
      <c r="BE35" s="1995"/>
      <c r="BF35" s="1158">
        <f t="shared" si="9"/>
        <v>0</v>
      </c>
      <c r="BG35" s="1157"/>
      <c r="BH35" s="1157"/>
      <c r="BI35" s="1157"/>
      <c r="BJ35" s="1995"/>
      <c r="BK35" s="1158">
        <f t="shared" si="10"/>
        <v>0</v>
      </c>
      <c r="BL35" s="1157"/>
      <c r="BM35" s="1157"/>
      <c r="BN35" s="1157"/>
      <c r="BO35" s="1157"/>
      <c r="BP35" s="1995"/>
      <c r="BQ35" s="1158">
        <f t="shared" si="11"/>
        <v>0</v>
      </c>
      <c r="BR35" s="1157"/>
      <c r="BS35" s="1157"/>
      <c r="BT35" s="1157"/>
      <c r="BU35" s="1995"/>
      <c r="BV35" s="1158">
        <f t="shared" si="12"/>
        <v>0</v>
      </c>
      <c r="BW35" s="1157"/>
      <c r="BX35" s="1157"/>
      <c r="BY35" s="1157"/>
      <c r="BZ35" s="1157"/>
      <c r="CA35" s="1157"/>
      <c r="CB35" s="1157"/>
      <c r="CC35" s="1157"/>
      <c r="CD35" s="1157"/>
      <c r="CE35" s="1157"/>
      <c r="CF35" s="1157"/>
      <c r="CG35" s="1157"/>
      <c r="CH35" s="1157"/>
      <c r="CI35" s="1157"/>
      <c r="CJ35" s="1157"/>
      <c r="CK35" s="1157"/>
      <c r="CL35" s="1995"/>
      <c r="CM35" s="1158">
        <f t="shared" si="14"/>
        <v>0</v>
      </c>
      <c r="CN35" s="1157"/>
      <c r="CO35" s="1157"/>
      <c r="CP35" s="1157"/>
      <c r="CQ35" s="1995"/>
      <c r="CR35" s="1156"/>
      <c r="DD35" s="1077">
        <v>11</v>
      </c>
    </row>
    <row r="36" spans="6:108" ht="11.45" customHeight="1">
      <c r="F36" s="1152"/>
      <c r="G36" s="627" t="s">
        <v>1572</v>
      </c>
      <c r="H36" s="1158">
        <f t="shared" si="0"/>
        <v>0</v>
      </c>
      <c r="I36" s="1158">
        <f>SUM(I15,I28,I32,I35)</f>
        <v>0</v>
      </c>
      <c r="J36" s="1147"/>
      <c r="K36" s="1158">
        <f t="shared" si="1"/>
        <v>0</v>
      </c>
      <c r="L36" s="1158">
        <f t="shared" ref="L36:R36" si="25">SUM(L15,L28,L32,L35)</f>
        <v>0</v>
      </c>
      <c r="M36" s="1158">
        <f t="shared" si="25"/>
        <v>0</v>
      </c>
      <c r="N36" s="1158">
        <f t="shared" si="25"/>
        <v>0</v>
      </c>
      <c r="O36" s="1158">
        <f t="shared" si="25"/>
        <v>0</v>
      </c>
      <c r="P36" s="1158">
        <f t="shared" si="25"/>
        <v>0</v>
      </c>
      <c r="Q36" s="1158">
        <f t="shared" si="25"/>
        <v>0</v>
      </c>
      <c r="R36" s="1158">
        <f t="shared" si="25"/>
        <v>0</v>
      </c>
      <c r="S36" s="1995"/>
      <c r="T36" s="1158">
        <f t="shared" si="3"/>
        <v>0</v>
      </c>
      <c r="U36" s="1158">
        <f t="shared" ref="U36:AF36" si="26">SUM(U15,U28,U32,U35)</f>
        <v>0</v>
      </c>
      <c r="V36" s="1158">
        <f t="shared" si="26"/>
        <v>0</v>
      </c>
      <c r="W36" s="1158">
        <f t="shared" si="26"/>
        <v>0</v>
      </c>
      <c r="X36" s="1158">
        <f t="shared" si="26"/>
        <v>0</v>
      </c>
      <c r="Y36" s="1158">
        <f t="shared" si="26"/>
        <v>0</v>
      </c>
      <c r="Z36" s="1158">
        <f t="shared" si="26"/>
        <v>0</v>
      </c>
      <c r="AA36" s="1158">
        <f t="shared" si="26"/>
        <v>0</v>
      </c>
      <c r="AB36" s="1158">
        <f t="shared" si="26"/>
        <v>0</v>
      </c>
      <c r="AC36" s="1158">
        <f t="shared" si="26"/>
        <v>0</v>
      </c>
      <c r="AD36" s="1158">
        <f t="shared" si="26"/>
        <v>0</v>
      </c>
      <c r="AE36" s="1158">
        <f t="shared" si="26"/>
        <v>0</v>
      </c>
      <c r="AF36" s="1158">
        <f t="shared" si="26"/>
        <v>0</v>
      </c>
      <c r="AG36" s="1995"/>
      <c r="AH36" s="1158">
        <f t="shared" si="5"/>
        <v>0</v>
      </c>
      <c r="AI36" s="1158">
        <f t="shared" ref="AI36:AR36" si="27">SUM(AI15,AI28,AI32,AI35)</f>
        <v>0</v>
      </c>
      <c r="AJ36" s="1158">
        <f t="shared" si="27"/>
        <v>0</v>
      </c>
      <c r="AK36" s="1158">
        <f t="shared" si="27"/>
        <v>0</v>
      </c>
      <c r="AL36" s="1158">
        <f t="shared" si="27"/>
        <v>0</v>
      </c>
      <c r="AM36" s="1158">
        <f t="shared" si="27"/>
        <v>0</v>
      </c>
      <c r="AN36" s="1158">
        <f t="shared" si="27"/>
        <v>0</v>
      </c>
      <c r="AO36" s="1158">
        <f t="shared" si="27"/>
        <v>0</v>
      </c>
      <c r="AP36" s="1158">
        <f t="shared" si="27"/>
        <v>0</v>
      </c>
      <c r="AQ36" s="1158">
        <f t="shared" si="27"/>
        <v>0</v>
      </c>
      <c r="AR36" s="1158">
        <f t="shared" si="27"/>
        <v>0</v>
      </c>
      <c r="AS36" s="1995"/>
      <c r="AT36" s="1158">
        <f t="shared" si="7"/>
        <v>0</v>
      </c>
      <c r="AU36" s="1158">
        <f t="shared" ref="AU36:BD36" si="28">SUM(AU15,AU28,AU32,AU35)</f>
        <v>0</v>
      </c>
      <c r="AV36" s="1158">
        <f t="shared" si="28"/>
        <v>0</v>
      </c>
      <c r="AW36" s="1158">
        <f t="shared" si="28"/>
        <v>0</v>
      </c>
      <c r="AX36" s="1158">
        <f t="shared" si="28"/>
        <v>0</v>
      </c>
      <c r="AY36" s="1158">
        <f t="shared" si="28"/>
        <v>0</v>
      </c>
      <c r="AZ36" s="1158">
        <f t="shared" si="28"/>
        <v>0</v>
      </c>
      <c r="BA36" s="1158">
        <f t="shared" si="28"/>
        <v>0</v>
      </c>
      <c r="BB36" s="1158">
        <f t="shared" si="28"/>
        <v>0</v>
      </c>
      <c r="BC36" s="1158">
        <f t="shared" si="28"/>
        <v>0</v>
      </c>
      <c r="BD36" s="1158">
        <f t="shared" si="28"/>
        <v>0</v>
      </c>
      <c r="BE36" s="1995"/>
      <c r="BF36" s="1158">
        <f t="shared" si="9"/>
        <v>0</v>
      </c>
      <c r="BG36" s="1158">
        <f>SUM(BG15,BG28,BG32,BG35)</f>
        <v>0</v>
      </c>
      <c r="BH36" s="1158">
        <f>SUM(BH15,BH28,BH32,BH35)</f>
        <v>0</v>
      </c>
      <c r="BI36" s="1158">
        <f>SUM(BI15,BI28,BI32,BI35)</f>
        <v>0</v>
      </c>
      <c r="BJ36" s="1995"/>
      <c r="BK36" s="1158">
        <f t="shared" si="10"/>
        <v>0</v>
      </c>
      <c r="BL36" s="1158">
        <f>SUM(BL15,BL28,BL32,BL35)</f>
        <v>0</v>
      </c>
      <c r="BM36" s="1158">
        <f>SUM(BM15,BM28,BM32,BM35)</f>
        <v>0</v>
      </c>
      <c r="BN36" s="1158">
        <f>SUM(BN15,BN28,BN32,BN35)</f>
        <v>0</v>
      </c>
      <c r="BO36" s="1158">
        <f>SUM(BO15,BO28,BO32,BO35)</f>
        <v>0</v>
      </c>
      <c r="BP36" s="1995"/>
      <c r="BQ36" s="1158">
        <f t="shared" si="11"/>
        <v>0</v>
      </c>
      <c r="BR36" s="1158">
        <f>SUM(BR15,BR28,BR32,BR35)</f>
        <v>0</v>
      </c>
      <c r="BS36" s="1158">
        <f>SUM(BS15,BS28,BS32,BS35)</f>
        <v>0</v>
      </c>
      <c r="BT36" s="1158">
        <f>SUM(BT15,BT28,BT32,BT35)</f>
        <v>0</v>
      </c>
      <c r="BU36" s="1995"/>
      <c r="BV36" s="1158">
        <f t="shared" si="12"/>
        <v>0</v>
      </c>
      <c r="BW36" s="1158">
        <f t="shared" ref="BW36:CK36" si="29">SUM(BW15,BW28,BW32,BW35)</f>
        <v>0</v>
      </c>
      <c r="BX36" s="1158">
        <f t="shared" si="29"/>
        <v>0</v>
      </c>
      <c r="BY36" s="1158">
        <f t="shared" si="29"/>
        <v>0</v>
      </c>
      <c r="BZ36" s="1158">
        <f t="shared" si="29"/>
        <v>0</v>
      </c>
      <c r="CA36" s="1158">
        <f t="shared" si="29"/>
        <v>0</v>
      </c>
      <c r="CB36" s="1158">
        <f t="shared" si="29"/>
        <v>0</v>
      </c>
      <c r="CC36" s="1158">
        <f t="shared" si="29"/>
        <v>0</v>
      </c>
      <c r="CD36" s="1158">
        <f t="shared" si="29"/>
        <v>0</v>
      </c>
      <c r="CE36" s="1158">
        <f t="shared" si="29"/>
        <v>0</v>
      </c>
      <c r="CF36" s="1158">
        <f t="shared" si="29"/>
        <v>0</v>
      </c>
      <c r="CG36" s="1158">
        <f t="shared" si="29"/>
        <v>0</v>
      </c>
      <c r="CH36" s="1158">
        <f t="shared" si="29"/>
        <v>0</v>
      </c>
      <c r="CI36" s="1158">
        <f t="shared" si="29"/>
        <v>0</v>
      </c>
      <c r="CJ36" s="1158">
        <f t="shared" si="29"/>
        <v>0</v>
      </c>
      <c r="CK36" s="1158">
        <f t="shared" si="29"/>
        <v>0</v>
      </c>
      <c r="CL36" s="1995"/>
      <c r="CM36" s="1158">
        <f t="shared" si="14"/>
        <v>0</v>
      </c>
      <c r="CN36" s="1158">
        <f>SUM(CN15,CN28,CN32,CN35)</f>
        <v>0</v>
      </c>
      <c r="CO36" s="1158">
        <f>SUM(CO15,CO28,CO32,CO35)</f>
        <v>0</v>
      </c>
      <c r="CP36" s="1158">
        <f>SUM(CP15,CP28,CP32,CP35)</f>
        <v>0</v>
      </c>
      <c r="CQ36" s="1995"/>
      <c r="CR36" s="1156"/>
      <c r="DD36" s="1077">
        <v>11</v>
      </c>
    </row>
    <row r="37" spans="6:108" ht="29.25" customHeight="1">
      <c r="F37" s="1153" t="s">
        <v>1573</v>
      </c>
      <c r="G37" s="3914" t="s">
        <v>1574</v>
      </c>
      <c r="H37" s="3914"/>
      <c r="I37" s="3914"/>
      <c r="J37" s="3914"/>
      <c r="K37" s="2015"/>
      <c r="L37" s="2015"/>
      <c r="M37" s="2015"/>
      <c r="N37" s="2015"/>
      <c r="O37" s="2015"/>
      <c r="P37" s="2015"/>
      <c r="Q37" s="2015"/>
      <c r="R37" s="2015"/>
      <c r="S37" s="2015"/>
      <c r="T37" s="2015"/>
      <c r="U37" s="2015"/>
      <c r="V37" s="2015"/>
      <c r="W37" s="2015"/>
      <c r="X37" s="2015"/>
      <c r="Y37" s="2015"/>
      <c r="Z37" s="2015"/>
      <c r="AA37" s="2015"/>
      <c r="AB37" s="2015"/>
      <c r="AC37" s="2015"/>
      <c r="AD37" s="2015"/>
      <c r="AE37" s="2015"/>
      <c r="AF37" s="2015"/>
      <c r="AG37" s="2015"/>
      <c r="AH37" s="2015"/>
      <c r="AI37" s="2015"/>
      <c r="AJ37" s="2015"/>
      <c r="AK37" s="2015"/>
      <c r="AL37" s="2015"/>
      <c r="AM37" s="2015"/>
      <c r="AN37" s="2015"/>
      <c r="AO37" s="2015"/>
      <c r="AP37" s="2015"/>
      <c r="AQ37" s="2015"/>
      <c r="AR37" s="2015"/>
      <c r="AS37" s="2015"/>
      <c r="AT37" s="2015"/>
      <c r="AU37" s="2015"/>
      <c r="AV37" s="2015"/>
      <c r="AW37" s="2015"/>
      <c r="AX37" s="2015"/>
      <c r="AY37" s="2015"/>
      <c r="AZ37" s="2015"/>
      <c r="BA37" s="2015"/>
      <c r="BB37" s="2015"/>
      <c r="BC37" s="2015"/>
      <c r="BD37" s="2015"/>
      <c r="BE37" s="2015"/>
      <c r="BF37" s="2015"/>
      <c r="BG37" s="2015"/>
      <c r="BH37" s="2015"/>
      <c r="BI37" s="2015"/>
      <c r="BJ37" s="2015"/>
      <c r="BK37" s="2015"/>
      <c r="BL37" s="2015"/>
      <c r="BM37" s="2015"/>
      <c r="BN37" s="2015"/>
      <c r="BO37" s="2015"/>
      <c r="BP37" s="2015"/>
      <c r="BQ37" s="2015"/>
      <c r="BR37" s="2015"/>
      <c r="BS37" s="2015"/>
      <c r="BT37" s="2015"/>
      <c r="BU37" s="2015"/>
      <c r="BV37" s="2015"/>
      <c r="BW37" s="2015"/>
      <c r="BX37" s="2015"/>
      <c r="BY37" s="2015"/>
      <c r="BZ37" s="2015"/>
      <c r="CA37" s="2015"/>
      <c r="CB37" s="2015"/>
      <c r="CC37" s="2015"/>
      <c r="CD37" s="2015"/>
      <c r="CE37" s="2015"/>
      <c r="CF37" s="2015"/>
      <c r="CG37" s="2015"/>
      <c r="CH37" s="2015"/>
      <c r="CI37" s="2015"/>
      <c r="CJ37" s="2015"/>
      <c r="CK37" s="2015"/>
      <c r="CL37" s="2015"/>
      <c r="CM37" s="2015"/>
      <c r="CN37" s="2015"/>
      <c r="CO37" s="2015"/>
      <c r="CP37" s="2015"/>
      <c r="CQ37" s="2015"/>
      <c r="CR37" s="1156"/>
      <c r="DD37" s="1077">
        <v>28</v>
      </c>
    </row>
    <row r="38" spans="6:108" ht="24" customHeight="1">
      <c r="F38" s="1152" t="s">
        <v>164</v>
      </c>
      <c r="G38" s="624" t="s">
        <v>1575</v>
      </c>
      <c r="H38" s="1158">
        <f t="shared" ref="H38:H58" si="30">SUM(I38:J38)</f>
        <v>0</v>
      </c>
      <c r="I38" s="1158">
        <f>SUM(I39,I44,I47)</f>
        <v>0</v>
      </c>
      <c r="J38" s="1147"/>
      <c r="K38" s="1158">
        <f t="shared" ref="K38:K58" si="31">SUM(L38:S38)</f>
        <v>0</v>
      </c>
      <c r="L38" s="1158">
        <f t="shared" ref="L38:R38" si="32">SUM(L39,L44,L47)</f>
        <v>0</v>
      </c>
      <c r="M38" s="1158">
        <f t="shared" si="32"/>
        <v>0</v>
      </c>
      <c r="N38" s="1158">
        <f t="shared" si="32"/>
        <v>0</v>
      </c>
      <c r="O38" s="1158">
        <f t="shared" si="32"/>
        <v>0</v>
      </c>
      <c r="P38" s="1158">
        <f t="shared" si="32"/>
        <v>0</v>
      </c>
      <c r="Q38" s="1158">
        <f t="shared" si="32"/>
        <v>0</v>
      </c>
      <c r="R38" s="1158">
        <f t="shared" si="32"/>
        <v>0</v>
      </c>
      <c r="S38" s="1995"/>
      <c r="T38" s="1158">
        <f t="shared" ref="T38:T58" si="33">SUM(U38:AG38)</f>
        <v>0</v>
      </c>
      <c r="U38" s="1158">
        <f t="shared" ref="U38:AF38" si="34">SUM(U39,U44,U47)</f>
        <v>0</v>
      </c>
      <c r="V38" s="1158">
        <f t="shared" si="34"/>
        <v>0</v>
      </c>
      <c r="W38" s="1158">
        <f t="shared" si="34"/>
        <v>0</v>
      </c>
      <c r="X38" s="1158">
        <f t="shared" si="34"/>
        <v>0</v>
      </c>
      <c r="Y38" s="1158">
        <f t="shared" si="34"/>
        <v>0</v>
      </c>
      <c r="Z38" s="1158">
        <f t="shared" si="34"/>
        <v>0</v>
      </c>
      <c r="AA38" s="1158">
        <f t="shared" si="34"/>
        <v>0</v>
      </c>
      <c r="AB38" s="1158">
        <f t="shared" si="34"/>
        <v>0</v>
      </c>
      <c r="AC38" s="1158">
        <f t="shared" si="34"/>
        <v>0</v>
      </c>
      <c r="AD38" s="1158">
        <f t="shared" si="34"/>
        <v>0</v>
      </c>
      <c r="AE38" s="1158">
        <f t="shared" si="34"/>
        <v>0</v>
      </c>
      <c r="AF38" s="1158">
        <f t="shared" si="34"/>
        <v>0</v>
      </c>
      <c r="AG38" s="1995"/>
      <c r="AH38" s="1158">
        <f t="shared" ref="AH38:AH58" si="35">SUM(AI38:AS38)</f>
        <v>0</v>
      </c>
      <c r="AI38" s="1158">
        <f t="shared" ref="AI38:AR38" si="36">SUM(AI39,AI44,AI47)</f>
        <v>0</v>
      </c>
      <c r="AJ38" s="1158">
        <f t="shared" si="36"/>
        <v>0</v>
      </c>
      <c r="AK38" s="1158">
        <f t="shared" si="36"/>
        <v>0</v>
      </c>
      <c r="AL38" s="1158">
        <f t="shared" si="36"/>
        <v>0</v>
      </c>
      <c r="AM38" s="1158">
        <f t="shared" si="36"/>
        <v>0</v>
      </c>
      <c r="AN38" s="1158">
        <f t="shared" si="36"/>
        <v>0</v>
      </c>
      <c r="AO38" s="1158">
        <f t="shared" si="36"/>
        <v>0</v>
      </c>
      <c r="AP38" s="1158">
        <f t="shared" si="36"/>
        <v>0</v>
      </c>
      <c r="AQ38" s="1158">
        <f t="shared" si="36"/>
        <v>0</v>
      </c>
      <c r="AR38" s="1158">
        <f t="shared" si="36"/>
        <v>0</v>
      </c>
      <c r="AS38" s="1995"/>
      <c r="AT38" s="1158">
        <f t="shared" ref="AT38:AT58" si="37">SUM(AU38:BE38)</f>
        <v>0</v>
      </c>
      <c r="AU38" s="1158">
        <f t="shared" ref="AU38:BD38" si="38">SUM(AU39,AU44,AU47)</f>
        <v>0</v>
      </c>
      <c r="AV38" s="1158">
        <f t="shared" si="38"/>
        <v>0</v>
      </c>
      <c r="AW38" s="1158">
        <f t="shared" si="38"/>
        <v>0</v>
      </c>
      <c r="AX38" s="1158">
        <f t="shared" si="38"/>
        <v>0</v>
      </c>
      <c r="AY38" s="1158">
        <f t="shared" si="38"/>
        <v>0</v>
      </c>
      <c r="AZ38" s="1158">
        <f t="shared" si="38"/>
        <v>0</v>
      </c>
      <c r="BA38" s="1158">
        <f t="shared" si="38"/>
        <v>0</v>
      </c>
      <c r="BB38" s="1158">
        <f t="shared" si="38"/>
        <v>0</v>
      </c>
      <c r="BC38" s="1158">
        <f t="shared" si="38"/>
        <v>0</v>
      </c>
      <c r="BD38" s="1158">
        <f t="shared" si="38"/>
        <v>0</v>
      </c>
      <c r="BE38" s="1995"/>
      <c r="BF38" s="1158">
        <f t="shared" ref="BF38:BF58" si="39">SUM(BG38:BJ38)</f>
        <v>0</v>
      </c>
      <c r="BG38" s="1158">
        <f>SUM(BG39,BG44,BG47)</f>
        <v>0</v>
      </c>
      <c r="BH38" s="1158">
        <f>SUM(BH39,BH44,BH47)</f>
        <v>0</v>
      </c>
      <c r="BI38" s="1158">
        <f>SUM(BI39,BI44,BI47)</f>
        <v>0</v>
      </c>
      <c r="BJ38" s="1995"/>
      <c r="BK38" s="1158">
        <f t="shared" ref="BK38:BK58" si="40">SUM(BL38:BP38)</f>
        <v>0</v>
      </c>
      <c r="BL38" s="1158">
        <f>SUM(BL39,BL44,BL47)</f>
        <v>0</v>
      </c>
      <c r="BM38" s="1158">
        <f>SUM(BM39,BM44,BM47)</f>
        <v>0</v>
      </c>
      <c r="BN38" s="1158">
        <f>SUM(BN39,BN44,BN47)</f>
        <v>0</v>
      </c>
      <c r="BO38" s="1158">
        <f>SUM(BO39,BO44,BO47)</f>
        <v>0</v>
      </c>
      <c r="BP38" s="1995"/>
      <c r="BQ38" s="1158">
        <f t="shared" ref="BQ38:BQ58" si="41">SUM(BR38:BU38)</f>
        <v>0</v>
      </c>
      <c r="BR38" s="1158">
        <f>SUM(BR39,BR44,BR47)</f>
        <v>0</v>
      </c>
      <c r="BS38" s="1158">
        <f>SUM(BS39,BS44,BS47)</f>
        <v>0</v>
      </c>
      <c r="BT38" s="1158">
        <f>SUM(BT39,BT44,BT47)</f>
        <v>0</v>
      </c>
      <c r="BU38" s="1995"/>
      <c r="BV38" s="1158">
        <f t="shared" ref="BV38:BV58" si="42">SUM(BW38:CL38)</f>
        <v>0</v>
      </c>
      <c r="BW38" s="1158">
        <f t="shared" ref="BW38:CK38" si="43">SUM(BW39,BW44,BW47)</f>
        <v>0</v>
      </c>
      <c r="BX38" s="1158">
        <f t="shared" si="43"/>
        <v>0</v>
      </c>
      <c r="BY38" s="1158">
        <f t="shared" si="43"/>
        <v>0</v>
      </c>
      <c r="BZ38" s="1158">
        <f t="shared" si="43"/>
        <v>0</v>
      </c>
      <c r="CA38" s="1158">
        <f t="shared" si="43"/>
        <v>0</v>
      </c>
      <c r="CB38" s="1158">
        <f t="shared" si="43"/>
        <v>0</v>
      </c>
      <c r="CC38" s="1158">
        <f t="shared" si="43"/>
        <v>0</v>
      </c>
      <c r="CD38" s="1158">
        <f t="shared" si="43"/>
        <v>0</v>
      </c>
      <c r="CE38" s="1158">
        <f t="shared" si="43"/>
        <v>0</v>
      </c>
      <c r="CF38" s="1158">
        <f t="shared" si="43"/>
        <v>0</v>
      </c>
      <c r="CG38" s="1158">
        <f t="shared" si="43"/>
        <v>0</v>
      </c>
      <c r="CH38" s="1158">
        <f t="shared" si="43"/>
        <v>0</v>
      </c>
      <c r="CI38" s="1158">
        <f t="shared" si="43"/>
        <v>0</v>
      </c>
      <c r="CJ38" s="1158">
        <f t="shared" si="43"/>
        <v>0</v>
      </c>
      <c r="CK38" s="1158">
        <f t="shared" si="43"/>
        <v>0</v>
      </c>
      <c r="CL38" s="1995"/>
      <c r="CM38" s="1158">
        <f t="shared" ref="CM38:CM58" si="44">SUM(CN38:CQ38)</f>
        <v>0</v>
      </c>
      <c r="CN38" s="1158">
        <f>SUM(CN39,CN44,CN47)</f>
        <v>0</v>
      </c>
      <c r="CO38" s="1158">
        <f>SUM(CO39,CO44,CO47)</f>
        <v>0</v>
      </c>
      <c r="CP38" s="1158">
        <f>SUM(CP39,CP44,CP47)</f>
        <v>0</v>
      </c>
      <c r="CQ38" s="1995"/>
      <c r="CR38" s="1156"/>
      <c r="DD38" s="1077">
        <v>23</v>
      </c>
    </row>
    <row r="39" spans="6:108" ht="11.45" customHeight="1">
      <c r="F39" s="1152" t="s">
        <v>1540</v>
      </c>
      <c r="G39" s="1159" t="s">
        <v>1539</v>
      </c>
      <c r="H39" s="1158">
        <f t="shared" si="30"/>
        <v>0</v>
      </c>
      <c r="I39" s="1158">
        <f>SUM(I40:I43)</f>
        <v>0</v>
      </c>
      <c r="J39" s="1147"/>
      <c r="K39" s="1158">
        <f t="shared" si="31"/>
        <v>0</v>
      </c>
      <c r="L39" s="1158">
        <f t="shared" ref="L39:R39" si="45">SUM(L40:L43)</f>
        <v>0</v>
      </c>
      <c r="M39" s="1158">
        <f t="shared" si="45"/>
        <v>0</v>
      </c>
      <c r="N39" s="1158">
        <f t="shared" si="45"/>
        <v>0</v>
      </c>
      <c r="O39" s="1158">
        <f t="shared" si="45"/>
        <v>0</v>
      </c>
      <c r="P39" s="1158">
        <f t="shared" si="45"/>
        <v>0</v>
      </c>
      <c r="Q39" s="1158">
        <f t="shared" si="45"/>
        <v>0</v>
      </c>
      <c r="R39" s="1158">
        <f t="shared" si="45"/>
        <v>0</v>
      </c>
      <c r="S39" s="1995"/>
      <c r="T39" s="1158">
        <f t="shared" si="33"/>
        <v>0</v>
      </c>
      <c r="U39" s="1158">
        <f t="shared" ref="U39:AF39" si="46">SUM(U40:U43)</f>
        <v>0</v>
      </c>
      <c r="V39" s="1158">
        <f t="shared" si="46"/>
        <v>0</v>
      </c>
      <c r="W39" s="1158">
        <f t="shared" si="46"/>
        <v>0</v>
      </c>
      <c r="X39" s="1158">
        <f t="shared" si="46"/>
        <v>0</v>
      </c>
      <c r="Y39" s="1158">
        <f t="shared" si="46"/>
        <v>0</v>
      </c>
      <c r="Z39" s="1158">
        <f t="shared" si="46"/>
        <v>0</v>
      </c>
      <c r="AA39" s="1158">
        <f t="shared" si="46"/>
        <v>0</v>
      </c>
      <c r="AB39" s="1158">
        <f t="shared" si="46"/>
        <v>0</v>
      </c>
      <c r="AC39" s="1158">
        <f t="shared" si="46"/>
        <v>0</v>
      </c>
      <c r="AD39" s="1158">
        <f t="shared" si="46"/>
        <v>0</v>
      </c>
      <c r="AE39" s="1158">
        <f t="shared" si="46"/>
        <v>0</v>
      </c>
      <c r="AF39" s="1158">
        <f t="shared" si="46"/>
        <v>0</v>
      </c>
      <c r="AG39" s="1995"/>
      <c r="AH39" s="1158">
        <f t="shared" si="35"/>
        <v>0</v>
      </c>
      <c r="AI39" s="1158">
        <f t="shared" ref="AI39:AR39" si="47">SUM(AI40:AI43)</f>
        <v>0</v>
      </c>
      <c r="AJ39" s="1158">
        <f t="shared" si="47"/>
        <v>0</v>
      </c>
      <c r="AK39" s="1158">
        <f t="shared" si="47"/>
        <v>0</v>
      </c>
      <c r="AL39" s="1158">
        <f t="shared" si="47"/>
        <v>0</v>
      </c>
      <c r="AM39" s="1158">
        <f t="shared" si="47"/>
        <v>0</v>
      </c>
      <c r="AN39" s="1158">
        <f t="shared" si="47"/>
        <v>0</v>
      </c>
      <c r="AO39" s="1158">
        <f t="shared" si="47"/>
        <v>0</v>
      </c>
      <c r="AP39" s="1158">
        <f t="shared" si="47"/>
        <v>0</v>
      </c>
      <c r="AQ39" s="1158">
        <f t="shared" si="47"/>
        <v>0</v>
      </c>
      <c r="AR39" s="1158">
        <f t="shared" si="47"/>
        <v>0</v>
      </c>
      <c r="AS39" s="1995"/>
      <c r="AT39" s="1158">
        <f t="shared" si="37"/>
        <v>0</v>
      </c>
      <c r="AU39" s="1158">
        <f t="shared" ref="AU39:BD39" si="48">SUM(AU40:AU43)</f>
        <v>0</v>
      </c>
      <c r="AV39" s="1158">
        <f t="shared" si="48"/>
        <v>0</v>
      </c>
      <c r="AW39" s="1158">
        <f t="shared" si="48"/>
        <v>0</v>
      </c>
      <c r="AX39" s="1158">
        <f t="shared" si="48"/>
        <v>0</v>
      </c>
      <c r="AY39" s="1158">
        <f t="shared" si="48"/>
        <v>0</v>
      </c>
      <c r="AZ39" s="1158">
        <f t="shared" si="48"/>
        <v>0</v>
      </c>
      <c r="BA39" s="1158">
        <f t="shared" si="48"/>
        <v>0</v>
      </c>
      <c r="BB39" s="1158">
        <f t="shared" si="48"/>
        <v>0</v>
      </c>
      <c r="BC39" s="1158">
        <f t="shared" si="48"/>
        <v>0</v>
      </c>
      <c r="BD39" s="1158">
        <f t="shared" si="48"/>
        <v>0</v>
      </c>
      <c r="BE39" s="1995"/>
      <c r="BF39" s="1158">
        <f t="shared" si="39"/>
        <v>0</v>
      </c>
      <c r="BG39" s="1158">
        <f>SUM(BG40:BG43)</f>
        <v>0</v>
      </c>
      <c r="BH39" s="1158">
        <f>SUM(BH40:BH43)</f>
        <v>0</v>
      </c>
      <c r="BI39" s="1158">
        <f>SUM(BI40:BI43)</f>
        <v>0</v>
      </c>
      <c r="BJ39" s="1995"/>
      <c r="BK39" s="1158">
        <f t="shared" si="40"/>
        <v>0</v>
      </c>
      <c r="BL39" s="1158">
        <f>SUM(BL40:BL43)</f>
        <v>0</v>
      </c>
      <c r="BM39" s="1158">
        <f>SUM(BM40:BM43)</f>
        <v>0</v>
      </c>
      <c r="BN39" s="1158">
        <f>SUM(BN40:BN43)</f>
        <v>0</v>
      </c>
      <c r="BO39" s="1158">
        <f>SUM(BO40:BO43)</f>
        <v>0</v>
      </c>
      <c r="BP39" s="1995"/>
      <c r="BQ39" s="1158">
        <f t="shared" si="41"/>
        <v>0</v>
      </c>
      <c r="BR39" s="1158">
        <f>SUM(BR40:BR43)</f>
        <v>0</v>
      </c>
      <c r="BS39" s="1158">
        <f>SUM(BS40:BS43)</f>
        <v>0</v>
      </c>
      <c r="BT39" s="1158">
        <f>SUM(BT40:BT43)</f>
        <v>0</v>
      </c>
      <c r="BU39" s="1995"/>
      <c r="BV39" s="1158">
        <f t="shared" si="42"/>
        <v>0</v>
      </c>
      <c r="BW39" s="1158">
        <f t="shared" ref="BW39:CK39" si="49">SUM(BW40:BW43)</f>
        <v>0</v>
      </c>
      <c r="BX39" s="1158">
        <f t="shared" si="49"/>
        <v>0</v>
      </c>
      <c r="BY39" s="1158">
        <f t="shared" si="49"/>
        <v>0</v>
      </c>
      <c r="BZ39" s="1158">
        <f t="shared" si="49"/>
        <v>0</v>
      </c>
      <c r="CA39" s="1158">
        <f t="shared" si="49"/>
        <v>0</v>
      </c>
      <c r="CB39" s="1158">
        <f t="shared" si="49"/>
        <v>0</v>
      </c>
      <c r="CC39" s="1158">
        <f t="shared" si="49"/>
        <v>0</v>
      </c>
      <c r="CD39" s="1158">
        <f t="shared" si="49"/>
        <v>0</v>
      </c>
      <c r="CE39" s="1158">
        <f t="shared" si="49"/>
        <v>0</v>
      </c>
      <c r="CF39" s="1158">
        <f t="shared" si="49"/>
        <v>0</v>
      </c>
      <c r="CG39" s="1158">
        <f t="shared" si="49"/>
        <v>0</v>
      </c>
      <c r="CH39" s="1158">
        <f t="shared" si="49"/>
        <v>0</v>
      </c>
      <c r="CI39" s="1158">
        <f t="shared" si="49"/>
        <v>0</v>
      </c>
      <c r="CJ39" s="1158">
        <f t="shared" si="49"/>
        <v>0</v>
      </c>
      <c r="CK39" s="1158">
        <f t="shared" si="49"/>
        <v>0</v>
      </c>
      <c r="CL39" s="1995"/>
      <c r="CM39" s="1158">
        <f t="shared" si="44"/>
        <v>0</v>
      </c>
      <c r="CN39" s="1158">
        <f>SUM(CN40:CN43)</f>
        <v>0</v>
      </c>
      <c r="CO39" s="1158">
        <f>SUM(CO40:CO43)</f>
        <v>0</v>
      </c>
      <c r="CP39" s="1158">
        <f>SUM(CP40:CP43)</f>
        <v>0</v>
      </c>
      <c r="CQ39" s="1995"/>
      <c r="CR39" s="1156"/>
      <c r="DD39" s="1077">
        <v>11</v>
      </c>
    </row>
    <row r="40" spans="6:108" ht="24" customHeight="1">
      <c r="F40" s="1152" t="s">
        <v>1576</v>
      </c>
      <c r="G40" s="1160" t="s">
        <v>1577</v>
      </c>
      <c r="H40" s="1158">
        <f t="shared" si="30"/>
        <v>0</v>
      </c>
      <c r="I40" s="1157"/>
      <c r="J40" s="1147"/>
      <c r="K40" s="1158">
        <f t="shared" si="31"/>
        <v>0</v>
      </c>
      <c r="L40" s="1157"/>
      <c r="M40" s="1157"/>
      <c r="N40" s="1157"/>
      <c r="O40" s="1157"/>
      <c r="P40" s="1157"/>
      <c r="Q40" s="1157"/>
      <c r="R40" s="1157"/>
      <c r="S40" s="1995"/>
      <c r="T40" s="1158">
        <f t="shared" si="33"/>
        <v>0</v>
      </c>
      <c r="U40" s="1157"/>
      <c r="V40" s="1157"/>
      <c r="W40" s="1157"/>
      <c r="X40" s="1157"/>
      <c r="Y40" s="1157"/>
      <c r="Z40" s="1157"/>
      <c r="AA40" s="1157"/>
      <c r="AB40" s="1157"/>
      <c r="AC40" s="1157"/>
      <c r="AD40" s="1157"/>
      <c r="AE40" s="1157"/>
      <c r="AF40" s="1157"/>
      <c r="AG40" s="1995"/>
      <c r="AH40" s="1158">
        <f t="shared" si="35"/>
        <v>0</v>
      </c>
      <c r="AI40" s="1157"/>
      <c r="AJ40" s="1157"/>
      <c r="AK40" s="1157"/>
      <c r="AL40" s="1157"/>
      <c r="AM40" s="1157"/>
      <c r="AN40" s="1157"/>
      <c r="AO40" s="1157"/>
      <c r="AP40" s="1157"/>
      <c r="AQ40" s="1157"/>
      <c r="AR40" s="1157"/>
      <c r="AS40" s="1995"/>
      <c r="AT40" s="1158">
        <f t="shared" si="37"/>
        <v>0</v>
      </c>
      <c r="AU40" s="1157"/>
      <c r="AV40" s="1157"/>
      <c r="AW40" s="1157"/>
      <c r="AX40" s="1157"/>
      <c r="AY40" s="1157"/>
      <c r="AZ40" s="1157"/>
      <c r="BA40" s="1157"/>
      <c r="BB40" s="1157"/>
      <c r="BC40" s="1157"/>
      <c r="BD40" s="1157"/>
      <c r="BE40" s="1995"/>
      <c r="BF40" s="1158">
        <f t="shared" si="39"/>
        <v>0</v>
      </c>
      <c r="BG40" s="1157"/>
      <c r="BH40" s="1157"/>
      <c r="BI40" s="1157"/>
      <c r="BJ40" s="1995"/>
      <c r="BK40" s="1158">
        <f t="shared" si="40"/>
        <v>0</v>
      </c>
      <c r="BL40" s="1157"/>
      <c r="BM40" s="1157"/>
      <c r="BN40" s="1157"/>
      <c r="BO40" s="1157"/>
      <c r="BP40" s="1995"/>
      <c r="BQ40" s="1158">
        <f t="shared" si="41"/>
        <v>0</v>
      </c>
      <c r="BR40" s="1157"/>
      <c r="BS40" s="1157"/>
      <c r="BT40" s="1157"/>
      <c r="BU40" s="1995"/>
      <c r="BV40" s="1158">
        <f t="shared" si="42"/>
        <v>0</v>
      </c>
      <c r="BW40" s="1157"/>
      <c r="BX40" s="1157"/>
      <c r="BY40" s="1157"/>
      <c r="BZ40" s="1157"/>
      <c r="CA40" s="1157"/>
      <c r="CB40" s="1157"/>
      <c r="CC40" s="1157"/>
      <c r="CD40" s="1157"/>
      <c r="CE40" s="1157"/>
      <c r="CF40" s="1157"/>
      <c r="CG40" s="1157"/>
      <c r="CH40" s="1157"/>
      <c r="CI40" s="1157"/>
      <c r="CJ40" s="1157"/>
      <c r="CK40" s="1157"/>
      <c r="CL40" s="1995"/>
      <c r="CM40" s="1158">
        <f t="shared" si="44"/>
        <v>0</v>
      </c>
      <c r="CN40" s="1157"/>
      <c r="CO40" s="1157"/>
      <c r="CP40" s="1157"/>
      <c r="CQ40" s="1995"/>
      <c r="CR40" s="1156"/>
      <c r="DD40" s="1077">
        <v>23</v>
      </c>
    </row>
    <row r="41" spans="6:108" ht="11.45" customHeight="1">
      <c r="F41" s="1152" t="s">
        <v>1578</v>
      </c>
      <c r="G41" s="1160" t="s">
        <v>1579</v>
      </c>
      <c r="H41" s="1158">
        <f t="shared" si="30"/>
        <v>0</v>
      </c>
      <c r="I41" s="1157"/>
      <c r="J41" s="1147"/>
      <c r="K41" s="1158">
        <f t="shared" si="31"/>
        <v>0</v>
      </c>
      <c r="L41" s="1157"/>
      <c r="M41" s="1157"/>
      <c r="N41" s="1157"/>
      <c r="O41" s="1157"/>
      <c r="P41" s="1157"/>
      <c r="Q41" s="1157"/>
      <c r="R41" s="1157"/>
      <c r="S41" s="1995"/>
      <c r="T41" s="1158">
        <f t="shared" si="33"/>
        <v>0</v>
      </c>
      <c r="U41" s="1157"/>
      <c r="V41" s="1157"/>
      <c r="W41" s="1157"/>
      <c r="X41" s="1157"/>
      <c r="Y41" s="1157"/>
      <c r="Z41" s="1157"/>
      <c r="AA41" s="1157"/>
      <c r="AB41" s="1157"/>
      <c r="AC41" s="1157"/>
      <c r="AD41" s="1157"/>
      <c r="AE41" s="1157"/>
      <c r="AF41" s="1157"/>
      <c r="AG41" s="1995"/>
      <c r="AH41" s="1158">
        <f t="shared" si="35"/>
        <v>0</v>
      </c>
      <c r="AI41" s="1157"/>
      <c r="AJ41" s="1157"/>
      <c r="AK41" s="1157"/>
      <c r="AL41" s="1157"/>
      <c r="AM41" s="1157"/>
      <c r="AN41" s="1157"/>
      <c r="AO41" s="1157"/>
      <c r="AP41" s="1157"/>
      <c r="AQ41" s="1157"/>
      <c r="AR41" s="1157"/>
      <c r="AS41" s="1995"/>
      <c r="AT41" s="1158">
        <f t="shared" si="37"/>
        <v>0</v>
      </c>
      <c r="AU41" s="1157"/>
      <c r="AV41" s="1157"/>
      <c r="AW41" s="1157"/>
      <c r="AX41" s="1157"/>
      <c r="AY41" s="1157"/>
      <c r="AZ41" s="1157"/>
      <c r="BA41" s="1157"/>
      <c r="BB41" s="1157"/>
      <c r="BC41" s="1157"/>
      <c r="BD41" s="1157"/>
      <c r="BE41" s="1995"/>
      <c r="BF41" s="1158">
        <f t="shared" si="39"/>
        <v>0</v>
      </c>
      <c r="BG41" s="1157"/>
      <c r="BH41" s="1157"/>
      <c r="BI41" s="1157"/>
      <c r="BJ41" s="1995"/>
      <c r="BK41" s="1158">
        <f t="shared" si="40"/>
        <v>0</v>
      </c>
      <c r="BL41" s="1157"/>
      <c r="BM41" s="1157"/>
      <c r="BN41" s="1157"/>
      <c r="BO41" s="1157"/>
      <c r="BP41" s="1995"/>
      <c r="BQ41" s="1158">
        <f t="shared" si="41"/>
        <v>0</v>
      </c>
      <c r="BR41" s="1157"/>
      <c r="BS41" s="1157"/>
      <c r="BT41" s="1157"/>
      <c r="BU41" s="1995"/>
      <c r="BV41" s="1158">
        <f t="shared" si="42"/>
        <v>0</v>
      </c>
      <c r="BW41" s="1157"/>
      <c r="BX41" s="1157"/>
      <c r="BY41" s="1157"/>
      <c r="BZ41" s="1157"/>
      <c r="CA41" s="1157"/>
      <c r="CB41" s="1157"/>
      <c r="CC41" s="1157"/>
      <c r="CD41" s="1157"/>
      <c r="CE41" s="1157"/>
      <c r="CF41" s="1157"/>
      <c r="CG41" s="1157"/>
      <c r="CH41" s="1157"/>
      <c r="CI41" s="1157"/>
      <c r="CJ41" s="1157"/>
      <c r="CK41" s="1157"/>
      <c r="CL41" s="1995"/>
      <c r="CM41" s="1158">
        <f t="shared" si="44"/>
        <v>0</v>
      </c>
      <c r="CN41" s="1157"/>
      <c r="CO41" s="1157"/>
      <c r="CP41" s="1157"/>
      <c r="CQ41" s="1995"/>
      <c r="CR41" s="1156"/>
      <c r="DD41" s="1077">
        <v>11</v>
      </c>
    </row>
    <row r="42" spans="6:108" ht="11.45" customHeight="1">
      <c r="F42" s="1152" t="s">
        <v>1580</v>
      </c>
      <c r="G42" s="1160" t="s">
        <v>1581</v>
      </c>
      <c r="H42" s="1158">
        <f t="shared" si="30"/>
        <v>0</v>
      </c>
      <c r="I42" s="1157"/>
      <c r="J42" s="1147"/>
      <c r="K42" s="1158">
        <f t="shared" si="31"/>
        <v>0</v>
      </c>
      <c r="L42" s="1157"/>
      <c r="M42" s="1157"/>
      <c r="N42" s="1157"/>
      <c r="O42" s="1157"/>
      <c r="P42" s="1157"/>
      <c r="Q42" s="1157"/>
      <c r="R42" s="1157"/>
      <c r="S42" s="1995"/>
      <c r="T42" s="1158">
        <f t="shared" si="33"/>
        <v>0</v>
      </c>
      <c r="U42" s="1157"/>
      <c r="V42" s="1157"/>
      <c r="W42" s="1157"/>
      <c r="X42" s="1157"/>
      <c r="Y42" s="1157"/>
      <c r="Z42" s="1157"/>
      <c r="AA42" s="1157"/>
      <c r="AB42" s="1157"/>
      <c r="AC42" s="1157"/>
      <c r="AD42" s="1157"/>
      <c r="AE42" s="1157"/>
      <c r="AF42" s="1157"/>
      <c r="AG42" s="1995"/>
      <c r="AH42" s="1158">
        <f t="shared" si="35"/>
        <v>0</v>
      </c>
      <c r="AI42" s="1157"/>
      <c r="AJ42" s="1157"/>
      <c r="AK42" s="1157"/>
      <c r="AL42" s="1157"/>
      <c r="AM42" s="1157"/>
      <c r="AN42" s="1157"/>
      <c r="AO42" s="1157"/>
      <c r="AP42" s="1157"/>
      <c r="AQ42" s="1157"/>
      <c r="AR42" s="1157"/>
      <c r="AS42" s="1995"/>
      <c r="AT42" s="1158">
        <f t="shared" si="37"/>
        <v>0</v>
      </c>
      <c r="AU42" s="1157"/>
      <c r="AV42" s="1157"/>
      <c r="AW42" s="1157"/>
      <c r="AX42" s="1157"/>
      <c r="AY42" s="1157"/>
      <c r="AZ42" s="1157"/>
      <c r="BA42" s="1157"/>
      <c r="BB42" s="1157"/>
      <c r="BC42" s="1157"/>
      <c r="BD42" s="1157"/>
      <c r="BE42" s="1995"/>
      <c r="BF42" s="1158">
        <f t="shared" si="39"/>
        <v>0</v>
      </c>
      <c r="BG42" s="1157"/>
      <c r="BH42" s="1157"/>
      <c r="BI42" s="1157"/>
      <c r="BJ42" s="1995"/>
      <c r="BK42" s="1158">
        <f t="shared" si="40"/>
        <v>0</v>
      </c>
      <c r="BL42" s="1157"/>
      <c r="BM42" s="1157"/>
      <c r="BN42" s="1157"/>
      <c r="BO42" s="1157"/>
      <c r="BP42" s="1995"/>
      <c r="BQ42" s="1158">
        <f t="shared" si="41"/>
        <v>0</v>
      </c>
      <c r="BR42" s="1157"/>
      <c r="BS42" s="1157"/>
      <c r="BT42" s="1157"/>
      <c r="BU42" s="1995"/>
      <c r="BV42" s="1158">
        <f t="shared" si="42"/>
        <v>0</v>
      </c>
      <c r="BW42" s="1157"/>
      <c r="BX42" s="1157"/>
      <c r="BY42" s="1157"/>
      <c r="BZ42" s="1157"/>
      <c r="CA42" s="1157"/>
      <c r="CB42" s="1157"/>
      <c r="CC42" s="1157"/>
      <c r="CD42" s="1157"/>
      <c r="CE42" s="1157"/>
      <c r="CF42" s="1157"/>
      <c r="CG42" s="1157"/>
      <c r="CH42" s="1157"/>
      <c r="CI42" s="1157"/>
      <c r="CJ42" s="1157"/>
      <c r="CK42" s="1157"/>
      <c r="CL42" s="1995"/>
      <c r="CM42" s="1158">
        <f t="shared" si="44"/>
        <v>0</v>
      </c>
      <c r="CN42" s="1157"/>
      <c r="CO42" s="1157"/>
      <c r="CP42" s="1157"/>
      <c r="CQ42" s="1995"/>
      <c r="CR42" s="1156"/>
      <c r="DD42" s="1077">
        <v>11</v>
      </c>
    </row>
    <row r="43" spans="6:108" ht="35.65" customHeight="1">
      <c r="F43" s="1152" t="s">
        <v>1582</v>
      </c>
      <c r="G43" s="1160" t="s">
        <v>1583</v>
      </c>
      <c r="H43" s="1158">
        <f t="shared" si="30"/>
        <v>0</v>
      </c>
      <c r="I43" s="1157"/>
      <c r="J43" s="1147"/>
      <c r="K43" s="1158">
        <f t="shared" si="31"/>
        <v>0</v>
      </c>
      <c r="L43" s="1157"/>
      <c r="M43" s="1157"/>
      <c r="N43" s="1157"/>
      <c r="O43" s="1157"/>
      <c r="P43" s="1157"/>
      <c r="Q43" s="1157"/>
      <c r="R43" s="1157"/>
      <c r="S43" s="1995"/>
      <c r="T43" s="1158">
        <f t="shared" si="33"/>
        <v>0</v>
      </c>
      <c r="U43" s="1157"/>
      <c r="V43" s="1157"/>
      <c r="W43" s="1157"/>
      <c r="X43" s="1157"/>
      <c r="Y43" s="1157"/>
      <c r="Z43" s="1157"/>
      <c r="AA43" s="1157"/>
      <c r="AB43" s="1157"/>
      <c r="AC43" s="1157"/>
      <c r="AD43" s="1157"/>
      <c r="AE43" s="1157"/>
      <c r="AF43" s="1157"/>
      <c r="AG43" s="1995"/>
      <c r="AH43" s="1158">
        <f t="shared" si="35"/>
        <v>0</v>
      </c>
      <c r="AI43" s="1157"/>
      <c r="AJ43" s="1157"/>
      <c r="AK43" s="1157"/>
      <c r="AL43" s="1157"/>
      <c r="AM43" s="1157"/>
      <c r="AN43" s="1157"/>
      <c r="AO43" s="1157"/>
      <c r="AP43" s="1157"/>
      <c r="AQ43" s="1157"/>
      <c r="AR43" s="1157"/>
      <c r="AS43" s="1995"/>
      <c r="AT43" s="1158">
        <f t="shared" si="37"/>
        <v>0</v>
      </c>
      <c r="AU43" s="1157"/>
      <c r="AV43" s="1157"/>
      <c r="AW43" s="1157"/>
      <c r="AX43" s="1157"/>
      <c r="AY43" s="1157"/>
      <c r="AZ43" s="1157"/>
      <c r="BA43" s="1157"/>
      <c r="BB43" s="1157"/>
      <c r="BC43" s="1157"/>
      <c r="BD43" s="1157"/>
      <c r="BE43" s="1995"/>
      <c r="BF43" s="1158">
        <f t="shared" si="39"/>
        <v>0</v>
      </c>
      <c r="BG43" s="1157"/>
      <c r="BH43" s="1157"/>
      <c r="BI43" s="1157"/>
      <c r="BJ43" s="1995"/>
      <c r="BK43" s="1158">
        <f t="shared" si="40"/>
        <v>0</v>
      </c>
      <c r="BL43" s="1157"/>
      <c r="BM43" s="1157"/>
      <c r="BN43" s="1157"/>
      <c r="BO43" s="1157"/>
      <c r="BP43" s="1995"/>
      <c r="BQ43" s="1158">
        <f t="shared" si="41"/>
        <v>0</v>
      </c>
      <c r="BR43" s="1157"/>
      <c r="BS43" s="1157"/>
      <c r="BT43" s="1157"/>
      <c r="BU43" s="1995"/>
      <c r="BV43" s="1158">
        <f t="shared" si="42"/>
        <v>0</v>
      </c>
      <c r="BW43" s="1157"/>
      <c r="BX43" s="1157"/>
      <c r="BY43" s="1157"/>
      <c r="BZ43" s="1157"/>
      <c r="CA43" s="1157"/>
      <c r="CB43" s="1157"/>
      <c r="CC43" s="1157"/>
      <c r="CD43" s="1157"/>
      <c r="CE43" s="1157"/>
      <c r="CF43" s="1157"/>
      <c r="CG43" s="1157"/>
      <c r="CH43" s="1157"/>
      <c r="CI43" s="1157"/>
      <c r="CJ43" s="1157"/>
      <c r="CK43" s="1157"/>
      <c r="CL43" s="1995"/>
      <c r="CM43" s="1158">
        <f t="shared" si="44"/>
        <v>0</v>
      </c>
      <c r="CN43" s="1157"/>
      <c r="CO43" s="1157"/>
      <c r="CP43" s="1157"/>
      <c r="CQ43" s="1995"/>
      <c r="CR43" s="1156"/>
      <c r="DD43" s="1077">
        <v>34</v>
      </c>
    </row>
    <row r="44" spans="6:108" ht="11.45" customHeight="1">
      <c r="F44" s="1152" t="s">
        <v>1542</v>
      </c>
      <c r="G44" s="1159" t="s">
        <v>1568</v>
      </c>
      <c r="H44" s="1158">
        <f t="shared" si="30"/>
        <v>0</v>
      </c>
      <c r="I44" s="1158">
        <f>SUM(I45:I46)</f>
        <v>0</v>
      </c>
      <c r="J44" s="1147"/>
      <c r="K44" s="1158">
        <f t="shared" si="31"/>
        <v>0</v>
      </c>
      <c r="L44" s="1158">
        <f t="shared" ref="L44:R44" si="50">SUM(L45:L46)</f>
        <v>0</v>
      </c>
      <c r="M44" s="1158">
        <f t="shared" si="50"/>
        <v>0</v>
      </c>
      <c r="N44" s="1158">
        <f t="shared" si="50"/>
        <v>0</v>
      </c>
      <c r="O44" s="1158">
        <f t="shared" si="50"/>
        <v>0</v>
      </c>
      <c r="P44" s="1158">
        <f t="shared" si="50"/>
        <v>0</v>
      </c>
      <c r="Q44" s="1158">
        <f t="shared" si="50"/>
        <v>0</v>
      </c>
      <c r="R44" s="1158">
        <f t="shared" si="50"/>
        <v>0</v>
      </c>
      <c r="S44" s="1995"/>
      <c r="T44" s="1158">
        <f t="shared" si="33"/>
        <v>0</v>
      </c>
      <c r="U44" s="1158">
        <f t="shared" ref="U44:AF44" si="51">SUM(U45:U46)</f>
        <v>0</v>
      </c>
      <c r="V44" s="1158">
        <f t="shared" si="51"/>
        <v>0</v>
      </c>
      <c r="W44" s="1158">
        <f t="shared" si="51"/>
        <v>0</v>
      </c>
      <c r="X44" s="1158">
        <f t="shared" si="51"/>
        <v>0</v>
      </c>
      <c r="Y44" s="1158">
        <f t="shared" si="51"/>
        <v>0</v>
      </c>
      <c r="Z44" s="1158">
        <f t="shared" si="51"/>
        <v>0</v>
      </c>
      <c r="AA44" s="1158">
        <f t="shared" si="51"/>
        <v>0</v>
      </c>
      <c r="AB44" s="1158">
        <f t="shared" si="51"/>
        <v>0</v>
      </c>
      <c r="AC44" s="1158">
        <f t="shared" si="51"/>
        <v>0</v>
      </c>
      <c r="AD44" s="1158">
        <f t="shared" si="51"/>
        <v>0</v>
      </c>
      <c r="AE44" s="1158">
        <f t="shared" si="51"/>
        <v>0</v>
      </c>
      <c r="AF44" s="1158">
        <f t="shared" si="51"/>
        <v>0</v>
      </c>
      <c r="AG44" s="1995"/>
      <c r="AH44" s="1158">
        <f t="shared" si="35"/>
        <v>0</v>
      </c>
      <c r="AI44" s="1158">
        <f t="shared" ref="AI44:AR44" si="52">SUM(AI45:AI46)</f>
        <v>0</v>
      </c>
      <c r="AJ44" s="1158">
        <f t="shared" si="52"/>
        <v>0</v>
      </c>
      <c r="AK44" s="1158">
        <f t="shared" si="52"/>
        <v>0</v>
      </c>
      <c r="AL44" s="1158">
        <f t="shared" si="52"/>
        <v>0</v>
      </c>
      <c r="AM44" s="1158">
        <f t="shared" si="52"/>
        <v>0</v>
      </c>
      <c r="AN44" s="1158">
        <f t="shared" si="52"/>
        <v>0</v>
      </c>
      <c r="AO44" s="1158">
        <f t="shared" si="52"/>
        <v>0</v>
      </c>
      <c r="AP44" s="1158">
        <f t="shared" si="52"/>
        <v>0</v>
      </c>
      <c r="AQ44" s="1158">
        <f t="shared" si="52"/>
        <v>0</v>
      </c>
      <c r="AR44" s="1158">
        <f t="shared" si="52"/>
        <v>0</v>
      </c>
      <c r="AS44" s="1995"/>
      <c r="AT44" s="1158">
        <f t="shared" si="37"/>
        <v>0</v>
      </c>
      <c r="AU44" s="1158">
        <f t="shared" ref="AU44:BD44" si="53">SUM(AU45:AU46)</f>
        <v>0</v>
      </c>
      <c r="AV44" s="1158">
        <f t="shared" si="53"/>
        <v>0</v>
      </c>
      <c r="AW44" s="1158">
        <f t="shared" si="53"/>
        <v>0</v>
      </c>
      <c r="AX44" s="1158">
        <f t="shared" si="53"/>
        <v>0</v>
      </c>
      <c r="AY44" s="1158">
        <f t="shared" si="53"/>
        <v>0</v>
      </c>
      <c r="AZ44" s="1158">
        <f t="shared" si="53"/>
        <v>0</v>
      </c>
      <c r="BA44" s="1158">
        <f t="shared" si="53"/>
        <v>0</v>
      </c>
      <c r="BB44" s="1158">
        <f t="shared" si="53"/>
        <v>0</v>
      </c>
      <c r="BC44" s="1158">
        <f t="shared" si="53"/>
        <v>0</v>
      </c>
      <c r="BD44" s="1158">
        <f t="shared" si="53"/>
        <v>0</v>
      </c>
      <c r="BE44" s="1995"/>
      <c r="BF44" s="1158">
        <f t="shared" si="39"/>
        <v>0</v>
      </c>
      <c r="BG44" s="1158">
        <f>SUM(BG45:BG46)</f>
        <v>0</v>
      </c>
      <c r="BH44" s="1158">
        <f>SUM(BH45:BH46)</f>
        <v>0</v>
      </c>
      <c r="BI44" s="1158">
        <f>SUM(BI45:BI46)</f>
        <v>0</v>
      </c>
      <c r="BJ44" s="1995"/>
      <c r="BK44" s="1158">
        <f t="shared" si="40"/>
        <v>0</v>
      </c>
      <c r="BL44" s="1158">
        <f>SUM(BL45:BL46)</f>
        <v>0</v>
      </c>
      <c r="BM44" s="1158">
        <f>SUM(BM45:BM46)</f>
        <v>0</v>
      </c>
      <c r="BN44" s="1158">
        <f>SUM(BN45:BN46)</f>
        <v>0</v>
      </c>
      <c r="BO44" s="1158">
        <f>SUM(BO45:BO46)</f>
        <v>0</v>
      </c>
      <c r="BP44" s="1995"/>
      <c r="BQ44" s="1158">
        <f t="shared" si="41"/>
        <v>0</v>
      </c>
      <c r="BR44" s="1158">
        <f>SUM(BR45:BR46)</f>
        <v>0</v>
      </c>
      <c r="BS44" s="1158">
        <f>SUM(BS45:BS46)</f>
        <v>0</v>
      </c>
      <c r="BT44" s="1158">
        <f>SUM(BT45:BT46)</f>
        <v>0</v>
      </c>
      <c r="BU44" s="1995"/>
      <c r="BV44" s="1158">
        <f t="shared" si="42"/>
        <v>0</v>
      </c>
      <c r="BW44" s="1158">
        <f t="shared" ref="BW44:CK44" si="54">SUM(BW45:BW46)</f>
        <v>0</v>
      </c>
      <c r="BX44" s="1158">
        <f t="shared" si="54"/>
        <v>0</v>
      </c>
      <c r="BY44" s="1158">
        <f t="shared" si="54"/>
        <v>0</v>
      </c>
      <c r="BZ44" s="1158">
        <f t="shared" si="54"/>
        <v>0</v>
      </c>
      <c r="CA44" s="1158">
        <f t="shared" si="54"/>
        <v>0</v>
      </c>
      <c r="CB44" s="1158">
        <f t="shared" si="54"/>
        <v>0</v>
      </c>
      <c r="CC44" s="1158">
        <f t="shared" si="54"/>
        <v>0</v>
      </c>
      <c r="CD44" s="1158">
        <f t="shared" si="54"/>
        <v>0</v>
      </c>
      <c r="CE44" s="1158">
        <f t="shared" si="54"/>
        <v>0</v>
      </c>
      <c r="CF44" s="1158">
        <f t="shared" si="54"/>
        <v>0</v>
      </c>
      <c r="CG44" s="1158">
        <f t="shared" si="54"/>
        <v>0</v>
      </c>
      <c r="CH44" s="1158">
        <f t="shared" si="54"/>
        <v>0</v>
      </c>
      <c r="CI44" s="1158">
        <f t="shared" si="54"/>
        <v>0</v>
      </c>
      <c r="CJ44" s="1158">
        <f t="shared" si="54"/>
        <v>0</v>
      </c>
      <c r="CK44" s="1158">
        <f t="shared" si="54"/>
        <v>0</v>
      </c>
      <c r="CL44" s="1995"/>
      <c r="CM44" s="1158">
        <f t="shared" si="44"/>
        <v>0</v>
      </c>
      <c r="CN44" s="1158">
        <f>SUM(CN45:CN46)</f>
        <v>0</v>
      </c>
      <c r="CO44" s="1158">
        <f>SUM(CO45:CO46)</f>
        <v>0</v>
      </c>
      <c r="CP44" s="1158">
        <f>SUM(CP45:CP46)</f>
        <v>0</v>
      </c>
      <c r="CQ44" s="1995"/>
      <c r="CR44" s="1156"/>
      <c r="DD44" s="1077">
        <v>11</v>
      </c>
    </row>
    <row r="45" spans="6:108" ht="48.2" customHeight="1">
      <c r="F45" s="1152" t="s">
        <v>1584</v>
      </c>
      <c r="G45" s="1160" t="s">
        <v>1569</v>
      </c>
      <c r="H45" s="1158">
        <f t="shared" si="30"/>
        <v>0</v>
      </c>
      <c r="I45" s="1157"/>
      <c r="J45" s="1147"/>
      <c r="K45" s="1158">
        <f t="shared" si="31"/>
        <v>0</v>
      </c>
      <c r="L45" s="1157"/>
      <c r="M45" s="1157"/>
      <c r="N45" s="1157"/>
      <c r="O45" s="1157"/>
      <c r="P45" s="1157"/>
      <c r="Q45" s="1157"/>
      <c r="R45" s="1157"/>
      <c r="S45" s="1995"/>
      <c r="T45" s="1158">
        <f t="shared" si="33"/>
        <v>0</v>
      </c>
      <c r="U45" s="1157"/>
      <c r="V45" s="1157"/>
      <c r="W45" s="1157"/>
      <c r="X45" s="1157"/>
      <c r="Y45" s="1157"/>
      <c r="Z45" s="1157"/>
      <c r="AA45" s="1157"/>
      <c r="AB45" s="1157"/>
      <c r="AC45" s="1157"/>
      <c r="AD45" s="1157"/>
      <c r="AE45" s="1157"/>
      <c r="AF45" s="1157"/>
      <c r="AG45" s="1995"/>
      <c r="AH45" s="1158">
        <f t="shared" si="35"/>
        <v>0</v>
      </c>
      <c r="AI45" s="1157"/>
      <c r="AJ45" s="1157"/>
      <c r="AK45" s="1157"/>
      <c r="AL45" s="1157"/>
      <c r="AM45" s="1157"/>
      <c r="AN45" s="1157"/>
      <c r="AO45" s="1157"/>
      <c r="AP45" s="1157"/>
      <c r="AQ45" s="1157"/>
      <c r="AR45" s="1157"/>
      <c r="AS45" s="1995"/>
      <c r="AT45" s="1158">
        <f t="shared" si="37"/>
        <v>0</v>
      </c>
      <c r="AU45" s="1157"/>
      <c r="AV45" s="1157"/>
      <c r="AW45" s="1157"/>
      <c r="AX45" s="1157"/>
      <c r="AY45" s="1157"/>
      <c r="AZ45" s="1157"/>
      <c r="BA45" s="1157"/>
      <c r="BB45" s="1157"/>
      <c r="BC45" s="1157"/>
      <c r="BD45" s="1157"/>
      <c r="BE45" s="1995"/>
      <c r="BF45" s="1158">
        <f t="shared" si="39"/>
        <v>0</v>
      </c>
      <c r="BG45" s="1157"/>
      <c r="BH45" s="1157"/>
      <c r="BI45" s="1157"/>
      <c r="BJ45" s="1995"/>
      <c r="BK45" s="1158">
        <f t="shared" si="40"/>
        <v>0</v>
      </c>
      <c r="BL45" s="1157"/>
      <c r="BM45" s="1157"/>
      <c r="BN45" s="1157"/>
      <c r="BO45" s="1157"/>
      <c r="BP45" s="1995"/>
      <c r="BQ45" s="1158">
        <f t="shared" si="41"/>
        <v>0</v>
      </c>
      <c r="BR45" s="1157"/>
      <c r="BS45" s="1157"/>
      <c r="BT45" s="1157"/>
      <c r="BU45" s="1995"/>
      <c r="BV45" s="1158">
        <f t="shared" si="42"/>
        <v>0</v>
      </c>
      <c r="BW45" s="1157"/>
      <c r="BX45" s="1157"/>
      <c r="BY45" s="1157"/>
      <c r="BZ45" s="1157"/>
      <c r="CA45" s="1157"/>
      <c r="CB45" s="1157"/>
      <c r="CC45" s="1157"/>
      <c r="CD45" s="1157"/>
      <c r="CE45" s="1157"/>
      <c r="CF45" s="1157"/>
      <c r="CG45" s="1157"/>
      <c r="CH45" s="1157"/>
      <c r="CI45" s="1157"/>
      <c r="CJ45" s="1157"/>
      <c r="CK45" s="1157"/>
      <c r="CL45" s="1995"/>
      <c r="CM45" s="1158">
        <f t="shared" si="44"/>
        <v>0</v>
      </c>
      <c r="CN45" s="1157"/>
      <c r="CO45" s="1157"/>
      <c r="CP45" s="1157"/>
      <c r="CQ45" s="1995"/>
      <c r="CR45" s="1156"/>
      <c r="DD45" s="1077">
        <v>46</v>
      </c>
    </row>
    <row r="46" spans="6:108" ht="11.45" customHeight="1">
      <c r="F46" s="1152" t="s">
        <v>1585</v>
      </c>
      <c r="G46" s="1160" t="s">
        <v>1570</v>
      </c>
      <c r="H46" s="1158">
        <f t="shared" si="30"/>
        <v>0</v>
      </c>
      <c r="I46" s="1157"/>
      <c r="J46" s="1147"/>
      <c r="K46" s="1158">
        <f t="shared" si="31"/>
        <v>0</v>
      </c>
      <c r="L46" s="1157"/>
      <c r="M46" s="1157"/>
      <c r="N46" s="1157"/>
      <c r="O46" s="1157"/>
      <c r="P46" s="1157"/>
      <c r="Q46" s="1157"/>
      <c r="R46" s="1157"/>
      <c r="S46" s="1995"/>
      <c r="T46" s="1158">
        <f t="shared" si="33"/>
        <v>0</v>
      </c>
      <c r="U46" s="1157"/>
      <c r="V46" s="1157"/>
      <c r="W46" s="1157"/>
      <c r="X46" s="1157"/>
      <c r="Y46" s="1157"/>
      <c r="Z46" s="1157"/>
      <c r="AA46" s="1157"/>
      <c r="AB46" s="1157"/>
      <c r="AC46" s="1157"/>
      <c r="AD46" s="1157"/>
      <c r="AE46" s="1157"/>
      <c r="AF46" s="1157"/>
      <c r="AG46" s="1995"/>
      <c r="AH46" s="1158">
        <f t="shared" si="35"/>
        <v>0</v>
      </c>
      <c r="AI46" s="1157"/>
      <c r="AJ46" s="1157"/>
      <c r="AK46" s="1157"/>
      <c r="AL46" s="1157"/>
      <c r="AM46" s="1157"/>
      <c r="AN46" s="1157"/>
      <c r="AO46" s="1157"/>
      <c r="AP46" s="1157"/>
      <c r="AQ46" s="1157"/>
      <c r="AR46" s="1157"/>
      <c r="AS46" s="1995"/>
      <c r="AT46" s="1158">
        <f t="shared" si="37"/>
        <v>0</v>
      </c>
      <c r="AU46" s="1157"/>
      <c r="AV46" s="1157"/>
      <c r="AW46" s="1157"/>
      <c r="AX46" s="1157"/>
      <c r="AY46" s="1157"/>
      <c r="AZ46" s="1157"/>
      <c r="BA46" s="1157"/>
      <c r="BB46" s="1157"/>
      <c r="BC46" s="1157"/>
      <c r="BD46" s="1157"/>
      <c r="BE46" s="1995"/>
      <c r="BF46" s="1158">
        <f t="shared" si="39"/>
        <v>0</v>
      </c>
      <c r="BG46" s="1157"/>
      <c r="BH46" s="1157"/>
      <c r="BI46" s="1157"/>
      <c r="BJ46" s="1995"/>
      <c r="BK46" s="1158">
        <f t="shared" si="40"/>
        <v>0</v>
      </c>
      <c r="BL46" s="1157"/>
      <c r="BM46" s="1157"/>
      <c r="BN46" s="1157"/>
      <c r="BO46" s="1157"/>
      <c r="BP46" s="1995"/>
      <c r="BQ46" s="1158">
        <f t="shared" si="41"/>
        <v>0</v>
      </c>
      <c r="BR46" s="1157"/>
      <c r="BS46" s="1157"/>
      <c r="BT46" s="1157"/>
      <c r="BU46" s="1995"/>
      <c r="BV46" s="1158">
        <f t="shared" si="42"/>
        <v>0</v>
      </c>
      <c r="BW46" s="1157"/>
      <c r="BX46" s="1157"/>
      <c r="BY46" s="1157"/>
      <c r="BZ46" s="1157"/>
      <c r="CA46" s="1157"/>
      <c r="CB46" s="1157"/>
      <c r="CC46" s="1157"/>
      <c r="CD46" s="1157"/>
      <c r="CE46" s="1157"/>
      <c r="CF46" s="1157"/>
      <c r="CG46" s="1157"/>
      <c r="CH46" s="1157"/>
      <c r="CI46" s="1157"/>
      <c r="CJ46" s="1157"/>
      <c r="CK46" s="1157"/>
      <c r="CL46" s="1995"/>
      <c r="CM46" s="1158">
        <f t="shared" si="44"/>
        <v>0</v>
      </c>
      <c r="CN46" s="1157"/>
      <c r="CO46" s="1157"/>
      <c r="CP46" s="1157"/>
      <c r="CQ46" s="1995"/>
      <c r="CR46" s="1156"/>
      <c r="DD46" s="1077">
        <v>11</v>
      </c>
    </row>
    <row r="47" spans="6:108" ht="11.45" customHeight="1">
      <c r="F47" s="1152" t="s">
        <v>1544</v>
      </c>
      <c r="G47" s="1159" t="s">
        <v>1586</v>
      </c>
      <c r="H47" s="1158">
        <f t="shared" si="30"/>
        <v>0</v>
      </c>
      <c r="I47" s="1157"/>
      <c r="J47" s="1147"/>
      <c r="K47" s="1158">
        <f t="shared" si="31"/>
        <v>0</v>
      </c>
      <c r="L47" s="1157"/>
      <c r="M47" s="1157"/>
      <c r="N47" s="1157"/>
      <c r="O47" s="1157"/>
      <c r="P47" s="1157"/>
      <c r="Q47" s="1157"/>
      <c r="R47" s="1157"/>
      <c r="S47" s="1995"/>
      <c r="T47" s="1158">
        <f t="shared" si="33"/>
        <v>0</v>
      </c>
      <c r="U47" s="1157"/>
      <c r="V47" s="1157"/>
      <c r="W47" s="1157"/>
      <c r="X47" s="1157"/>
      <c r="Y47" s="1157"/>
      <c r="Z47" s="1157"/>
      <c r="AA47" s="1157"/>
      <c r="AB47" s="1157"/>
      <c r="AC47" s="1157"/>
      <c r="AD47" s="1157"/>
      <c r="AE47" s="1157"/>
      <c r="AF47" s="1157"/>
      <c r="AG47" s="1995"/>
      <c r="AH47" s="1158">
        <f t="shared" si="35"/>
        <v>0</v>
      </c>
      <c r="AI47" s="1157"/>
      <c r="AJ47" s="1157"/>
      <c r="AK47" s="1157"/>
      <c r="AL47" s="1157"/>
      <c r="AM47" s="1157"/>
      <c r="AN47" s="1157"/>
      <c r="AO47" s="1157"/>
      <c r="AP47" s="1157"/>
      <c r="AQ47" s="1157"/>
      <c r="AR47" s="1157"/>
      <c r="AS47" s="1995"/>
      <c r="AT47" s="1158">
        <f t="shared" si="37"/>
        <v>0</v>
      </c>
      <c r="AU47" s="1157"/>
      <c r="AV47" s="1157"/>
      <c r="AW47" s="1157"/>
      <c r="AX47" s="1157"/>
      <c r="AY47" s="1157"/>
      <c r="AZ47" s="1157"/>
      <c r="BA47" s="1157"/>
      <c r="BB47" s="1157"/>
      <c r="BC47" s="1157"/>
      <c r="BD47" s="1157"/>
      <c r="BE47" s="1995"/>
      <c r="BF47" s="1158">
        <f t="shared" si="39"/>
        <v>0</v>
      </c>
      <c r="BG47" s="1157"/>
      <c r="BH47" s="1157"/>
      <c r="BI47" s="1157"/>
      <c r="BJ47" s="1995"/>
      <c r="BK47" s="1158">
        <f t="shared" si="40"/>
        <v>0</v>
      </c>
      <c r="BL47" s="1157"/>
      <c r="BM47" s="1157"/>
      <c r="BN47" s="1157"/>
      <c r="BO47" s="1157"/>
      <c r="BP47" s="1995"/>
      <c r="BQ47" s="1158">
        <f t="shared" si="41"/>
        <v>0</v>
      </c>
      <c r="BR47" s="1157"/>
      <c r="BS47" s="1157"/>
      <c r="BT47" s="1157"/>
      <c r="BU47" s="1995"/>
      <c r="BV47" s="1158">
        <f t="shared" si="42"/>
        <v>0</v>
      </c>
      <c r="BW47" s="1157"/>
      <c r="BX47" s="1157"/>
      <c r="BY47" s="1157"/>
      <c r="BZ47" s="1157"/>
      <c r="CA47" s="1157"/>
      <c r="CB47" s="1157"/>
      <c r="CC47" s="1157"/>
      <c r="CD47" s="1157"/>
      <c r="CE47" s="1157"/>
      <c r="CF47" s="1157"/>
      <c r="CG47" s="1157"/>
      <c r="CH47" s="1157"/>
      <c r="CI47" s="1157"/>
      <c r="CJ47" s="1157"/>
      <c r="CK47" s="1157"/>
      <c r="CL47" s="1995"/>
      <c r="CM47" s="1158">
        <f t="shared" si="44"/>
        <v>0</v>
      </c>
      <c r="CN47" s="1157"/>
      <c r="CO47" s="1157"/>
      <c r="CP47" s="1157"/>
      <c r="CQ47" s="1995"/>
      <c r="CR47" s="1156"/>
      <c r="DD47" s="1077">
        <v>11</v>
      </c>
    </row>
    <row r="48" spans="6:108" ht="24" customHeight="1">
      <c r="F48" s="1152" t="s">
        <v>89</v>
      </c>
      <c r="G48" s="624" t="s">
        <v>1587</v>
      </c>
      <c r="H48" s="1158">
        <f t="shared" si="30"/>
        <v>0</v>
      </c>
      <c r="I48" s="1158">
        <f>SUM(I49,I54,I57)</f>
        <v>0</v>
      </c>
      <c r="J48" s="1147"/>
      <c r="K48" s="1158">
        <f t="shared" si="31"/>
        <v>0</v>
      </c>
      <c r="L48" s="1158">
        <f t="shared" ref="L48:R48" si="55">SUM(L49,L54,L57)</f>
        <v>0</v>
      </c>
      <c r="M48" s="1158">
        <f t="shared" si="55"/>
        <v>0</v>
      </c>
      <c r="N48" s="1158">
        <f t="shared" si="55"/>
        <v>0</v>
      </c>
      <c r="O48" s="1158">
        <f t="shared" si="55"/>
        <v>0</v>
      </c>
      <c r="P48" s="1158">
        <f t="shared" si="55"/>
        <v>0</v>
      </c>
      <c r="Q48" s="1158">
        <f t="shared" si="55"/>
        <v>0</v>
      </c>
      <c r="R48" s="1158">
        <f t="shared" si="55"/>
        <v>0</v>
      </c>
      <c r="S48" s="1995"/>
      <c r="T48" s="1158">
        <f t="shared" si="33"/>
        <v>0</v>
      </c>
      <c r="U48" s="1158">
        <f t="shared" ref="U48:AF48" si="56">SUM(U49,U54,U57)</f>
        <v>0</v>
      </c>
      <c r="V48" s="1158">
        <f t="shared" si="56"/>
        <v>0</v>
      </c>
      <c r="W48" s="1158">
        <f t="shared" si="56"/>
        <v>0</v>
      </c>
      <c r="X48" s="1158">
        <f t="shared" si="56"/>
        <v>0</v>
      </c>
      <c r="Y48" s="1158">
        <f t="shared" si="56"/>
        <v>0</v>
      </c>
      <c r="Z48" s="1158">
        <f t="shared" si="56"/>
        <v>0</v>
      </c>
      <c r="AA48" s="1158">
        <f t="shared" si="56"/>
        <v>0</v>
      </c>
      <c r="AB48" s="1158">
        <f t="shared" si="56"/>
        <v>0</v>
      </c>
      <c r="AC48" s="1158">
        <f t="shared" si="56"/>
        <v>0</v>
      </c>
      <c r="AD48" s="1158">
        <f t="shared" si="56"/>
        <v>0</v>
      </c>
      <c r="AE48" s="1158">
        <f t="shared" si="56"/>
        <v>0</v>
      </c>
      <c r="AF48" s="1158">
        <f t="shared" si="56"/>
        <v>0</v>
      </c>
      <c r="AG48" s="1995"/>
      <c r="AH48" s="1158">
        <f t="shared" si="35"/>
        <v>0</v>
      </c>
      <c r="AI48" s="1158">
        <f t="shared" ref="AI48:AR48" si="57">SUM(AI49,AI54,AI57)</f>
        <v>0</v>
      </c>
      <c r="AJ48" s="1158">
        <f t="shared" si="57"/>
        <v>0</v>
      </c>
      <c r="AK48" s="1158">
        <f t="shared" si="57"/>
        <v>0</v>
      </c>
      <c r="AL48" s="1158">
        <f t="shared" si="57"/>
        <v>0</v>
      </c>
      <c r="AM48" s="1158">
        <f t="shared" si="57"/>
        <v>0</v>
      </c>
      <c r="AN48" s="1158">
        <f t="shared" si="57"/>
        <v>0</v>
      </c>
      <c r="AO48" s="1158">
        <f t="shared" si="57"/>
        <v>0</v>
      </c>
      <c r="AP48" s="1158">
        <f t="shared" si="57"/>
        <v>0</v>
      </c>
      <c r="AQ48" s="1158">
        <f t="shared" si="57"/>
        <v>0</v>
      </c>
      <c r="AR48" s="1158">
        <f t="shared" si="57"/>
        <v>0</v>
      </c>
      <c r="AS48" s="1995"/>
      <c r="AT48" s="1158">
        <f t="shared" si="37"/>
        <v>0</v>
      </c>
      <c r="AU48" s="1158">
        <f t="shared" ref="AU48:BD48" si="58">SUM(AU49,AU54,AU57)</f>
        <v>0</v>
      </c>
      <c r="AV48" s="1158">
        <f t="shared" si="58"/>
        <v>0</v>
      </c>
      <c r="AW48" s="1158">
        <f t="shared" si="58"/>
        <v>0</v>
      </c>
      <c r="AX48" s="1158">
        <f t="shared" si="58"/>
        <v>0</v>
      </c>
      <c r="AY48" s="1158">
        <f t="shared" si="58"/>
        <v>0</v>
      </c>
      <c r="AZ48" s="1158">
        <f t="shared" si="58"/>
        <v>0</v>
      </c>
      <c r="BA48" s="1158">
        <f t="shared" si="58"/>
        <v>0</v>
      </c>
      <c r="BB48" s="1158">
        <f t="shared" si="58"/>
        <v>0</v>
      </c>
      <c r="BC48" s="1158">
        <f t="shared" si="58"/>
        <v>0</v>
      </c>
      <c r="BD48" s="1158">
        <f t="shared" si="58"/>
        <v>0</v>
      </c>
      <c r="BE48" s="1995"/>
      <c r="BF48" s="1158">
        <f t="shared" si="39"/>
        <v>0</v>
      </c>
      <c r="BG48" s="1158">
        <f>SUM(BG49,BG54,BG57)</f>
        <v>0</v>
      </c>
      <c r="BH48" s="1158">
        <f>SUM(BH49,BH54,BH57)</f>
        <v>0</v>
      </c>
      <c r="BI48" s="1158">
        <f>SUM(BI49,BI54,BI57)</f>
        <v>0</v>
      </c>
      <c r="BJ48" s="1995"/>
      <c r="BK48" s="1158">
        <f t="shared" si="40"/>
        <v>0</v>
      </c>
      <c r="BL48" s="1158">
        <f>SUM(BL49,BL54,BL57)</f>
        <v>0</v>
      </c>
      <c r="BM48" s="1158">
        <f>SUM(BM49,BM54,BM57)</f>
        <v>0</v>
      </c>
      <c r="BN48" s="1158">
        <f>SUM(BN49,BN54,BN57)</f>
        <v>0</v>
      </c>
      <c r="BO48" s="1158">
        <f>SUM(BO49,BO54,BO57)</f>
        <v>0</v>
      </c>
      <c r="BP48" s="1995"/>
      <c r="BQ48" s="1158">
        <f t="shared" si="41"/>
        <v>0</v>
      </c>
      <c r="BR48" s="1158">
        <f>SUM(BR49,BR54,BR57)</f>
        <v>0</v>
      </c>
      <c r="BS48" s="1158">
        <f>SUM(BS49,BS54,BS57)</f>
        <v>0</v>
      </c>
      <c r="BT48" s="1158">
        <f>SUM(BT49,BT54,BT57)</f>
        <v>0</v>
      </c>
      <c r="BU48" s="1995"/>
      <c r="BV48" s="1158">
        <f t="shared" si="42"/>
        <v>0</v>
      </c>
      <c r="BW48" s="1158">
        <f t="shared" ref="BW48:CK48" si="59">SUM(BW49,BW54,BW57)</f>
        <v>0</v>
      </c>
      <c r="BX48" s="1158">
        <f t="shared" si="59"/>
        <v>0</v>
      </c>
      <c r="BY48" s="1158">
        <f t="shared" si="59"/>
        <v>0</v>
      </c>
      <c r="BZ48" s="1158">
        <f t="shared" si="59"/>
        <v>0</v>
      </c>
      <c r="CA48" s="1158">
        <f t="shared" si="59"/>
        <v>0</v>
      </c>
      <c r="CB48" s="1158">
        <f t="shared" si="59"/>
        <v>0</v>
      </c>
      <c r="CC48" s="1158">
        <f t="shared" si="59"/>
        <v>0</v>
      </c>
      <c r="CD48" s="1158">
        <f t="shared" si="59"/>
        <v>0</v>
      </c>
      <c r="CE48" s="1158">
        <f t="shared" si="59"/>
        <v>0</v>
      </c>
      <c r="CF48" s="1158">
        <f t="shared" si="59"/>
        <v>0</v>
      </c>
      <c r="CG48" s="1158">
        <f t="shared" si="59"/>
        <v>0</v>
      </c>
      <c r="CH48" s="1158">
        <f t="shared" si="59"/>
        <v>0</v>
      </c>
      <c r="CI48" s="1158">
        <f t="shared" si="59"/>
        <v>0</v>
      </c>
      <c r="CJ48" s="1158">
        <f t="shared" si="59"/>
        <v>0</v>
      </c>
      <c r="CK48" s="1158">
        <f t="shared" si="59"/>
        <v>0</v>
      </c>
      <c r="CL48" s="1995"/>
      <c r="CM48" s="1158">
        <f t="shared" si="44"/>
        <v>0</v>
      </c>
      <c r="CN48" s="1158">
        <f>SUM(CN49,CN54,CN57)</f>
        <v>0</v>
      </c>
      <c r="CO48" s="1158">
        <f>SUM(CO49,CO54,CO57)</f>
        <v>0</v>
      </c>
      <c r="CP48" s="1158">
        <f>SUM(CP49,CP54,CP57)</f>
        <v>0</v>
      </c>
      <c r="CQ48" s="1995"/>
      <c r="CR48" s="1156"/>
      <c r="DD48" s="1077">
        <v>23</v>
      </c>
    </row>
    <row r="49" spans="1:108" ht="11.45" customHeight="1">
      <c r="F49" s="1152" t="s">
        <v>1029</v>
      </c>
      <c r="G49" s="1159" t="s">
        <v>1539</v>
      </c>
      <c r="H49" s="1158">
        <f t="shared" si="30"/>
        <v>0</v>
      </c>
      <c r="I49" s="1158">
        <f>SUM(I50:I53)</f>
        <v>0</v>
      </c>
      <c r="J49" s="1147"/>
      <c r="K49" s="1158">
        <f t="shared" si="31"/>
        <v>0</v>
      </c>
      <c r="L49" s="1158">
        <f t="shared" ref="L49:R49" si="60">SUM(L50:L53)</f>
        <v>0</v>
      </c>
      <c r="M49" s="1158">
        <f t="shared" si="60"/>
        <v>0</v>
      </c>
      <c r="N49" s="1158">
        <f t="shared" si="60"/>
        <v>0</v>
      </c>
      <c r="O49" s="1158">
        <f t="shared" si="60"/>
        <v>0</v>
      </c>
      <c r="P49" s="1158">
        <f t="shared" si="60"/>
        <v>0</v>
      </c>
      <c r="Q49" s="1158">
        <f t="shared" si="60"/>
        <v>0</v>
      </c>
      <c r="R49" s="1158">
        <f t="shared" si="60"/>
        <v>0</v>
      </c>
      <c r="S49" s="1995"/>
      <c r="T49" s="1158">
        <f t="shared" si="33"/>
        <v>0</v>
      </c>
      <c r="U49" s="1158">
        <f t="shared" ref="U49:AF49" si="61">SUM(U50:U53)</f>
        <v>0</v>
      </c>
      <c r="V49" s="1158">
        <f t="shared" si="61"/>
        <v>0</v>
      </c>
      <c r="W49" s="1158">
        <f t="shared" si="61"/>
        <v>0</v>
      </c>
      <c r="X49" s="1158">
        <f t="shared" si="61"/>
        <v>0</v>
      </c>
      <c r="Y49" s="1158">
        <f t="shared" si="61"/>
        <v>0</v>
      </c>
      <c r="Z49" s="1158">
        <f t="shared" si="61"/>
        <v>0</v>
      </c>
      <c r="AA49" s="1158">
        <f t="shared" si="61"/>
        <v>0</v>
      </c>
      <c r="AB49" s="1158">
        <f t="shared" si="61"/>
        <v>0</v>
      </c>
      <c r="AC49" s="1158">
        <f t="shared" si="61"/>
        <v>0</v>
      </c>
      <c r="AD49" s="1158">
        <f t="shared" si="61"/>
        <v>0</v>
      </c>
      <c r="AE49" s="1158">
        <f t="shared" si="61"/>
        <v>0</v>
      </c>
      <c r="AF49" s="1158">
        <f t="shared" si="61"/>
        <v>0</v>
      </c>
      <c r="AG49" s="1995"/>
      <c r="AH49" s="1158">
        <f t="shared" si="35"/>
        <v>0</v>
      </c>
      <c r="AI49" s="1158">
        <f t="shared" ref="AI49:AR49" si="62">SUM(AI50:AI53)</f>
        <v>0</v>
      </c>
      <c r="AJ49" s="1158">
        <f t="shared" si="62"/>
        <v>0</v>
      </c>
      <c r="AK49" s="1158">
        <f t="shared" si="62"/>
        <v>0</v>
      </c>
      <c r="AL49" s="1158">
        <f t="shared" si="62"/>
        <v>0</v>
      </c>
      <c r="AM49" s="1158">
        <f t="shared" si="62"/>
        <v>0</v>
      </c>
      <c r="AN49" s="1158">
        <f t="shared" si="62"/>
        <v>0</v>
      </c>
      <c r="AO49" s="1158">
        <f t="shared" si="62"/>
        <v>0</v>
      </c>
      <c r="AP49" s="1158">
        <f t="shared" si="62"/>
        <v>0</v>
      </c>
      <c r="AQ49" s="1158">
        <f t="shared" si="62"/>
        <v>0</v>
      </c>
      <c r="AR49" s="1158">
        <f t="shared" si="62"/>
        <v>0</v>
      </c>
      <c r="AS49" s="1995"/>
      <c r="AT49" s="1158">
        <f t="shared" si="37"/>
        <v>0</v>
      </c>
      <c r="AU49" s="1158">
        <f t="shared" ref="AU49:BD49" si="63">SUM(AU50:AU53)</f>
        <v>0</v>
      </c>
      <c r="AV49" s="1158">
        <f t="shared" si="63"/>
        <v>0</v>
      </c>
      <c r="AW49" s="1158">
        <f t="shared" si="63"/>
        <v>0</v>
      </c>
      <c r="AX49" s="1158">
        <f t="shared" si="63"/>
        <v>0</v>
      </c>
      <c r="AY49" s="1158">
        <f t="shared" si="63"/>
        <v>0</v>
      </c>
      <c r="AZ49" s="1158">
        <f t="shared" si="63"/>
        <v>0</v>
      </c>
      <c r="BA49" s="1158">
        <f t="shared" si="63"/>
        <v>0</v>
      </c>
      <c r="BB49" s="1158">
        <f t="shared" si="63"/>
        <v>0</v>
      </c>
      <c r="BC49" s="1158">
        <f t="shared" si="63"/>
        <v>0</v>
      </c>
      <c r="BD49" s="1158">
        <f t="shared" si="63"/>
        <v>0</v>
      </c>
      <c r="BE49" s="1995"/>
      <c r="BF49" s="1158">
        <f t="shared" si="39"/>
        <v>0</v>
      </c>
      <c r="BG49" s="1158">
        <f>SUM(BG50:BG53)</f>
        <v>0</v>
      </c>
      <c r="BH49" s="1158">
        <f>SUM(BH50:BH53)</f>
        <v>0</v>
      </c>
      <c r="BI49" s="1158">
        <f>SUM(BI50:BI53)</f>
        <v>0</v>
      </c>
      <c r="BJ49" s="1995"/>
      <c r="BK49" s="1158">
        <f t="shared" si="40"/>
        <v>0</v>
      </c>
      <c r="BL49" s="1158">
        <f>SUM(BL50:BL53)</f>
        <v>0</v>
      </c>
      <c r="BM49" s="1158">
        <f>SUM(BM50:BM53)</f>
        <v>0</v>
      </c>
      <c r="BN49" s="1158">
        <f>SUM(BN50:BN53)</f>
        <v>0</v>
      </c>
      <c r="BO49" s="1158">
        <f>SUM(BO50:BO53)</f>
        <v>0</v>
      </c>
      <c r="BP49" s="1995"/>
      <c r="BQ49" s="1158">
        <f t="shared" si="41"/>
        <v>0</v>
      </c>
      <c r="BR49" s="1158">
        <f>SUM(BR50:BR53)</f>
        <v>0</v>
      </c>
      <c r="BS49" s="1158">
        <f>SUM(BS50:BS53)</f>
        <v>0</v>
      </c>
      <c r="BT49" s="1158">
        <f>SUM(BT50:BT53)</f>
        <v>0</v>
      </c>
      <c r="BU49" s="1995"/>
      <c r="BV49" s="1158">
        <f t="shared" si="42"/>
        <v>0</v>
      </c>
      <c r="BW49" s="1158">
        <f t="shared" ref="BW49:CK49" si="64">SUM(BW50:BW53)</f>
        <v>0</v>
      </c>
      <c r="BX49" s="1158">
        <f t="shared" si="64"/>
        <v>0</v>
      </c>
      <c r="BY49" s="1158">
        <f t="shared" si="64"/>
        <v>0</v>
      </c>
      <c r="BZ49" s="1158">
        <f t="shared" si="64"/>
        <v>0</v>
      </c>
      <c r="CA49" s="1158">
        <f t="shared" si="64"/>
        <v>0</v>
      </c>
      <c r="CB49" s="1158">
        <f t="shared" si="64"/>
        <v>0</v>
      </c>
      <c r="CC49" s="1158">
        <f t="shared" si="64"/>
        <v>0</v>
      </c>
      <c r="CD49" s="1158">
        <f t="shared" si="64"/>
        <v>0</v>
      </c>
      <c r="CE49" s="1158">
        <f t="shared" si="64"/>
        <v>0</v>
      </c>
      <c r="CF49" s="1158">
        <f t="shared" si="64"/>
        <v>0</v>
      </c>
      <c r="CG49" s="1158">
        <f t="shared" si="64"/>
        <v>0</v>
      </c>
      <c r="CH49" s="1158">
        <f t="shared" si="64"/>
        <v>0</v>
      </c>
      <c r="CI49" s="1158">
        <f t="shared" si="64"/>
        <v>0</v>
      </c>
      <c r="CJ49" s="1158">
        <f t="shared" si="64"/>
        <v>0</v>
      </c>
      <c r="CK49" s="1158">
        <f t="shared" si="64"/>
        <v>0</v>
      </c>
      <c r="CL49" s="1995"/>
      <c r="CM49" s="1158">
        <f t="shared" si="44"/>
        <v>0</v>
      </c>
      <c r="CN49" s="1158">
        <f>SUM(CN50:CN53)</f>
        <v>0</v>
      </c>
      <c r="CO49" s="1158">
        <f>SUM(CO50:CO53)</f>
        <v>0</v>
      </c>
      <c r="CP49" s="1158">
        <f>SUM(CP50:CP53)</f>
        <v>0</v>
      </c>
      <c r="CQ49" s="1995"/>
      <c r="CR49" s="1156"/>
      <c r="DD49" s="1077">
        <v>11</v>
      </c>
    </row>
    <row r="50" spans="1:108" ht="24" customHeight="1">
      <c r="F50" s="1152" t="s">
        <v>1032</v>
      </c>
      <c r="G50" s="1160" t="s">
        <v>1577</v>
      </c>
      <c r="H50" s="1158">
        <f t="shared" si="30"/>
        <v>0</v>
      </c>
      <c r="I50" s="1157"/>
      <c r="J50" s="1147"/>
      <c r="K50" s="1158">
        <f t="shared" si="31"/>
        <v>0</v>
      </c>
      <c r="L50" s="1157"/>
      <c r="M50" s="1157"/>
      <c r="N50" s="1157"/>
      <c r="O50" s="1157"/>
      <c r="P50" s="1157"/>
      <c r="Q50" s="1157"/>
      <c r="R50" s="1157"/>
      <c r="S50" s="1995"/>
      <c r="T50" s="1158">
        <f t="shared" si="33"/>
        <v>0</v>
      </c>
      <c r="U50" s="1157"/>
      <c r="V50" s="1157"/>
      <c r="W50" s="1157"/>
      <c r="X50" s="1157"/>
      <c r="Y50" s="1157"/>
      <c r="Z50" s="1157"/>
      <c r="AA50" s="1157"/>
      <c r="AB50" s="1157"/>
      <c r="AC50" s="1157"/>
      <c r="AD50" s="1157"/>
      <c r="AE50" s="1157"/>
      <c r="AF50" s="1157"/>
      <c r="AG50" s="1995"/>
      <c r="AH50" s="1158">
        <f t="shared" si="35"/>
        <v>0</v>
      </c>
      <c r="AI50" s="1157"/>
      <c r="AJ50" s="1157"/>
      <c r="AK50" s="1157"/>
      <c r="AL50" s="1157"/>
      <c r="AM50" s="1157"/>
      <c r="AN50" s="1157"/>
      <c r="AO50" s="1157"/>
      <c r="AP50" s="1157"/>
      <c r="AQ50" s="1157"/>
      <c r="AR50" s="1157"/>
      <c r="AS50" s="1995"/>
      <c r="AT50" s="1158">
        <f t="shared" si="37"/>
        <v>0</v>
      </c>
      <c r="AU50" s="1157"/>
      <c r="AV50" s="1157"/>
      <c r="AW50" s="1157"/>
      <c r="AX50" s="1157"/>
      <c r="AY50" s="1157"/>
      <c r="AZ50" s="1157"/>
      <c r="BA50" s="1157"/>
      <c r="BB50" s="1157"/>
      <c r="BC50" s="1157"/>
      <c r="BD50" s="1157"/>
      <c r="BE50" s="1995"/>
      <c r="BF50" s="1158">
        <f t="shared" si="39"/>
        <v>0</v>
      </c>
      <c r="BG50" s="1157"/>
      <c r="BH50" s="1157"/>
      <c r="BI50" s="1157"/>
      <c r="BJ50" s="1995"/>
      <c r="BK50" s="1158">
        <f t="shared" si="40"/>
        <v>0</v>
      </c>
      <c r="BL50" s="1157"/>
      <c r="BM50" s="1157"/>
      <c r="BN50" s="1157"/>
      <c r="BO50" s="1157"/>
      <c r="BP50" s="1995"/>
      <c r="BQ50" s="1158">
        <f t="shared" si="41"/>
        <v>0</v>
      </c>
      <c r="BR50" s="1157"/>
      <c r="BS50" s="1157"/>
      <c r="BT50" s="1157"/>
      <c r="BU50" s="1995"/>
      <c r="BV50" s="1158">
        <f t="shared" si="42"/>
        <v>0</v>
      </c>
      <c r="BW50" s="1157"/>
      <c r="BX50" s="1157"/>
      <c r="BY50" s="1157"/>
      <c r="BZ50" s="1157"/>
      <c r="CA50" s="1157"/>
      <c r="CB50" s="1157"/>
      <c r="CC50" s="1157"/>
      <c r="CD50" s="1157"/>
      <c r="CE50" s="1157"/>
      <c r="CF50" s="1157"/>
      <c r="CG50" s="1157"/>
      <c r="CH50" s="1157"/>
      <c r="CI50" s="1157"/>
      <c r="CJ50" s="1157"/>
      <c r="CK50" s="1157"/>
      <c r="CL50" s="1995"/>
      <c r="CM50" s="1158">
        <f t="shared" si="44"/>
        <v>0</v>
      </c>
      <c r="CN50" s="1157"/>
      <c r="CO50" s="1157"/>
      <c r="CP50" s="1157"/>
      <c r="CQ50" s="1995"/>
      <c r="CR50" s="1156"/>
      <c r="DD50" s="1077">
        <v>23</v>
      </c>
    </row>
    <row r="51" spans="1:108" ht="11.45" customHeight="1">
      <c r="F51" s="1152" t="s">
        <v>1035</v>
      </c>
      <c r="G51" s="1160" t="s">
        <v>1579</v>
      </c>
      <c r="H51" s="1158">
        <f t="shared" si="30"/>
        <v>0</v>
      </c>
      <c r="I51" s="1157"/>
      <c r="J51" s="1147"/>
      <c r="K51" s="1158">
        <f t="shared" si="31"/>
        <v>0</v>
      </c>
      <c r="L51" s="1157"/>
      <c r="M51" s="1157"/>
      <c r="N51" s="1157"/>
      <c r="O51" s="1157"/>
      <c r="P51" s="1157"/>
      <c r="Q51" s="1157"/>
      <c r="R51" s="1157"/>
      <c r="S51" s="1995"/>
      <c r="T51" s="1158">
        <f t="shared" si="33"/>
        <v>0</v>
      </c>
      <c r="U51" s="1157"/>
      <c r="V51" s="1157"/>
      <c r="W51" s="1157"/>
      <c r="X51" s="1157"/>
      <c r="Y51" s="1157"/>
      <c r="Z51" s="1157"/>
      <c r="AA51" s="1157"/>
      <c r="AB51" s="1157"/>
      <c r="AC51" s="1157"/>
      <c r="AD51" s="1157"/>
      <c r="AE51" s="1157"/>
      <c r="AF51" s="1157"/>
      <c r="AG51" s="1995"/>
      <c r="AH51" s="1158">
        <f t="shared" si="35"/>
        <v>0</v>
      </c>
      <c r="AI51" s="1157"/>
      <c r="AJ51" s="1157"/>
      <c r="AK51" s="1157"/>
      <c r="AL51" s="1157"/>
      <c r="AM51" s="1157"/>
      <c r="AN51" s="1157"/>
      <c r="AO51" s="1157"/>
      <c r="AP51" s="1157"/>
      <c r="AQ51" s="1157"/>
      <c r="AR51" s="1157"/>
      <c r="AS51" s="1995"/>
      <c r="AT51" s="1158">
        <f t="shared" si="37"/>
        <v>0</v>
      </c>
      <c r="AU51" s="1157"/>
      <c r="AV51" s="1157"/>
      <c r="AW51" s="1157"/>
      <c r="AX51" s="1157"/>
      <c r="AY51" s="1157"/>
      <c r="AZ51" s="1157"/>
      <c r="BA51" s="1157"/>
      <c r="BB51" s="1157"/>
      <c r="BC51" s="1157"/>
      <c r="BD51" s="1157"/>
      <c r="BE51" s="1995"/>
      <c r="BF51" s="1158">
        <f t="shared" si="39"/>
        <v>0</v>
      </c>
      <c r="BG51" s="1157"/>
      <c r="BH51" s="1157"/>
      <c r="BI51" s="1157"/>
      <c r="BJ51" s="1995"/>
      <c r="BK51" s="1158">
        <f t="shared" si="40"/>
        <v>0</v>
      </c>
      <c r="BL51" s="1157"/>
      <c r="BM51" s="1157"/>
      <c r="BN51" s="1157"/>
      <c r="BO51" s="1157"/>
      <c r="BP51" s="1995"/>
      <c r="BQ51" s="1158">
        <f t="shared" si="41"/>
        <v>0</v>
      </c>
      <c r="BR51" s="1157"/>
      <c r="BS51" s="1157"/>
      <c r="BT51" s="1157"/>
      <c r="BU51" s="1995"/>
      <c r="BV51" s="1158">
        <f t="shared" si="42"/>
        <v>0</v>
      </c>
      <c r="BW51" s="1157"/>
      <c r="BX51" s="1157"/>
      <c r="BY51" s="1157"/>
      <c r="BZ51" s="1157"/>
      <c r="CA51" s="1157"/>
      <c r="CB51" s="1157"/>
      <c r="CC51" s="1157"/>
      <c r="CD51" s="1157"/>
      <c r="CE51" s="1157"/>
      <c r="CF51" s="1157"/>
      <c r="CG51" s="1157"/>
      <c r="CH51" s="1157"/>
      <c r="CI51" s="1157"/>
      <c r="CJ51" s="1157"/>
      <c r="CK51" s="1157"/>
      <c r="CL51" s="1995"/>
      <c r="CM51" s="1158">
        <f t="shared" si="44"/>
        <v>0</v>
      </c>
      <c r="CN51" s="1157"/>
      <c r="CO51" s="1157"/>
      <c r="CP51" s="1157"/>
      <c r="CQ51" s="1995"/>
      <c r="CR51" s="1156"/>
      <c r="DD51" s="1077">
        <v>11</v>
      </c>
    </row>
    <row r="52" spans="1:108" ht="11.45" customHeight="1">
      <c r="F52" s="1152" t="s">
        <v>1588</v>
      </c>
      <c r="G52" s="1160" t="s">
        <v>1581</v>
      </c>
      <c r="H52" s="1158">
        <f t="shared" si="30"/>
        <v>0</v>
      </c>
      <c r="I52" s="1157"/>
      <c r="J52" s="1147"/>
      <c r="K52" s="1158">
        <f t="shared" si="31"/>
        <v>0</v>
      </c>
      <c r="L52" s="1157"/>
      <c r="M52" s="1157"/>
      <c r="N52" s="1157"/>
      <c r="O52" s="1157"/>
      <c r="P52" s="1157"/>
      <c r="Q52" s="1157"/>
      <c r="R52" s="1157"/>
      <c r="S52" s="1995"/>
      <c r="T52" s="1158">
        <f t="shared" si="33"/>
        <v>0</v>
      </c>
      <c r="U52" s="1157"/>
      <c r="V52" s="1157"/>
      <c r="W52" s="1157"/>
      <c r="X52" s="1157"/>
      <c r="Y52" s="1157"/>
      <c r="Z52" s="1157"/>
      <c r="AA52" s="1157"/>
      <c r="AB52" s="1157"/>
      <c r="AC52" s="1157"/>
      <c r="AD52" s="1157"/>
      <c r="AE52" s="1157"/>
      <c r="AF52" s="1157"/>
      <c r="AG52" s="1995"/>
      <c r="AH52" s="1158">
        <f t="shared" si="35"/>
        <v>0</v>
      </c>
      <c r="AI52" s="1157"/>
      <c r="AJ52" s="1157"/>
      <c r="AK52" s="1157"/>
      <c r="AL52" s="1157"/>
      <c r="AM52" s="1157"/>
      <c r="AN52" s="1157"/>
      <c r="AO52" s="1157"/>
      <c r="AP52" s="1157"/>
      <c r="AQ52" s="1157"/>
      <c r="AR52" s="1157"/>
      <c r="AS52" s="1995"/>
      <c r="AT52" s="1158">
        <f t="shared" si="37"/>
        <v>0</v>
      </c>
      <c r="AU52" s="1157"/>
      <c r="AV52" s="1157"/>
      <c r="AW52" s="1157"/>
      <c r="AX52" s="1157"/>
      <c r="AY52" s="1157"/>
      <c r="AZ52" s="1157"/>
      <c r="BA52" s="1157"/>
      <c r="BB52" s="1157"/>
      <c r="BC52" s="1157"/>
      <c r="BD52" s="1157"/>
      <c r="BE52" s="1995"/>
      <c r="BF52" s="1158">
        <f t="shared" si="39"/>
        <v>0</v>
      </c>
      <c r="BG52" s="1157"/>
      <c r="BH52" s="1157"/>
      <c r="BI52" s="1157"/>
      <c r="BJ52" s="1995"/>
      <c r="BK52" s="1158">
        <f t="shared" si="40"/>
        <v>0</v>
      </c>
      <c r="BL52" s="1157"/>
      <c r="BM52" s="1157"/>
      <c r="BN52" s="1157"/>
      <c r="BO52" s="1157"/>
      <c r="BP52" s="1995"/>
      <c r="BQ52" s="1158">
        <f t="shared" si="41"/>
        <v>0</v>
      </c>
      <c r="BR52" s="1157"/>
      <c r="BS52" s="1157"/>
      <c r="BT52" s="1157"/>
      <c r="BU52" s="1995"/>
      <c r="BV52" s="1158">
        <f t="shared" si="42"/>
        <v>0</v>
      </c>
      <c r="BW52" s="1157"/>
      <c r="BX52" s="1157"/>
      <c r="BY52" s="1157"/>
      <c r="BZ52" s="1157"/>
      <c r="CA52" s="1157"/>
      <c r="CB52" s="1157"/>
      <c r="CC52" s="1157"/>
      <c r="CD52" s="1157"/>
      <c r="CE52" s="1157"/>
      <c r="CF52" s="1157"/>
      <c r="CG52" s="1157"/>
      <c r="CH52" s="1157"/>
      <c r="CI52" s="1157"/>
      <c r="CJ52" s="1157"/>
      <c r="CK52" s="1157"/>
      <c r="CL52" s="1995"/>
      <c r="CM52" s="1158">
        <f t="shared" si="44"/>
        <v>0</v>
      </c>
      <c r="CN52" s="1157"/>
      <c r="CO52" s="1157"/>
      <c r="CP52" s="1157"/>
      <c r="CQ52" s="1995"/>
      <c r="CR52" s="1156"/>
      <c r="DD52" s="1077">
        <v>11</v>
      </c>
    </row>
    <row r="53" spans="1:108" ht="35.65" customHeight="1">
      <c r="F53" s="1152" t="s">
        <v>1589</v>
      </c>
      <c r="G53" s="1160" t="s">
        <v>1583</v>
      </c>
      <c r="H53" s="1158">
        <f t="shared" si="30"/>
        <v>0</v>
      </c>
      <c r="I53" s="1157"/>
      <c r="J53" s="1147"/>
      <c r="K53" s="1158">
        <f t="shared" si="31"/>
        <v>0</v>
      </c>
      <c r="L53" s="1157"/>
      <c r="M53" s="1157"/>
      <c r="N53" s="1157"/>
      <c r="O53" s="1157"/>
      <c r="P53" s="1157"/>
      <c r="Q53" s="1157"/>
      <c r="R53" s="1157"/>
      <c r="S53" s="1995"/>
      <c r="T53" s="1158">
        <f t="shared" si="33"/>
        <v>0</v>
      </c>
      <c r="U53" s="1157"/>
      <c r="V53" s="1157"/>
      <c r="W53" s="1157"/>
      <c r="X53" s="1157"/>
      <c r="Y53" s="1157"/>
      <c r="Z53" s="1157"/>
      <c r="AA53" s="1157"/>
      <c r="AB53" s="1157"/>
      <c r="AC53" s="1157"/>
      <c r="AD53" s="1157"/>
      <c r="AE53" s="1157"/>
      <c r="AF53" s="1157"/>
      <c r="AG53" s="1995"/>
      <c r="AH53" s="1158">
        <f t="shared" si="35"/>
        <v>0</v>
      </c>
      <c r="AI53" s="1157"/>
      <c r="AJ53" s="1157"/>
      <c r="AK53" s="1157"/>
      <c r="AL53" s="1157"/>
      <c r="AM53" s="1157"/>
      <c r="AN53" s="1157"/>
      <c r="AO53" s="1157"/>
      <c r="AP53" s="1157"/>
      <c r="AQ53" s="1157"/>
      <c r="AR53" s="1157"/>
      <c r="AS53" s="1995"/>
      <c r="AT53" s="1158">
        <f t="shared" si="37"/>
        <v>0</v>
      </c>
      <c r="AU53" s="1157"/>
      <c r="AV53" s="1157"/>
      <c r="AW53" s="1157"/>
      <c r="AX53" s="1157"/>
      <c r="AY53" s="1157"/>
      <c r="AZ53" s="1157"/>
      <c r="BA53" s="1157"/>
      <c r="BB53" s="1157"/>
      <c r="BC53" s="1157"/>
      <c r="BD53" s="1157"/>
      <c r="BE53" s="1995"/>
      <c r="BF53" s="1158">
        <f t="shared" si="39"/>
        <v>0</v>
      </c>
      <c r="BG53" s="1157"/>
      <c r="BH53" s="1157"/>
      <c r="BI53" s="1157"/>
      <c r="BJ53" s="1995"/>
      <c r="BK53" s="1158">
        <f t="shared" si="40"/>
        <v>0</v>
      </c>
      <c r="BL53" s="1157"/>
      <c r="BM53" s="1157"/>
      <c r="BN53" s="1157"/>
      <c r="BO53" s="1157"/>
      <c r="BP53" s="1995"/>
      <c r="BQ53" s="1158">
        <f t="shared" si="41"/>
        <v>0</v>
      </c>
      <c r="BR53" s="1157"/>
      <c r="BS53" s="1157"/>
      <c r="BT53" s="1157"/>
      <c r="BU53" s="1995"/>
      <c r="BV53" s="1158">
        <f t="shared" si="42"/>
        <v>0</v>
      </c>
      <c r="BW53" s="1157"/>
      <c r="BX53" s="1157"/>
      <c r="BY53" s="1157"/>
      <c r="BZ53" s="1157"/>
      <c r="CA53" s="1157"/>
      <c r="CB53" s="1157"/>
      <c r="CC53" s="1157"/>
      <c r="CD53" s="1157"/>
      <c r="CE53" s="1157"/>
      <c r="CF53" s="1157"/>
      <c r="CG53" s="1157"/>
      <c r="CH53" s="1157"/>
      <c r="CI53" s="1157"/>
      <c r="CJ53" s="1157"/>
      <c r="CK53" s="1157"/>
      <c r="CL53" s="1995"/>
      <c r="CM53" s="1158">
        <f t="shared" si="44"/>
        <v>0</v>
      </c>
      <c r="CN53" s="1157"/>
      <c r="CO53" s="1157"/>
      <c r="CP53" s="1157"/>
      <c r="CQ53" s="1995"/>
      <c r="CR53" s="1156"/>
      <c r="DD53" s="1077">
        <v>34</v>
      </c>
    </row>
    <row r="54" spans="1:108" ht="11.45" customHeight="1">
      <c r="F54" s="1152" t="s">
        <v>352</v>
      </c>
      <c r="G54" s="1159" t="s">
        <v>1568</v>
      </c>
      <c r="H54" s="1158">
        <f t="shared" si="30"/>
        <v>0</v>
      </c>
      <c r="I54" s="1158">
        <f>SUM(I55:I56)</f>
        <v>0</v>
      </c>
      <c r="J54" s="1147"/>
      <c r="K54" s="1158">
        <f t="shared" si="31"/>
        <v>0</v>
      </c>
      <c r="L54" s="1158">
        <f t="shared" ref="L54:R54" si="65">SUM(L55:L56)</f>
        <v>0</v>
      </c>
      <c r="M54" s="1158">
        <f t="shared" si="65"/>
        <v>0</v>
      </c>
      <c r="N54" s="1158">
        <f t="shared" si="65"/>
        <v>0</v>
      </c>
      <c r="O54" s="1158">
        <f t="shared" si="65"/>
        <v>0</v>
      </c>
      <c r="P54" s="1158">
        <f t="shared" si="65"/>
        <v>0</v>
      </c>
      <c r="Q54" s="1158">
        <f t="shared" si="65"/>
        <v>0</v>
      </c>
      <c r="R54" s="1158">
        <f t="shared" si="65"/>
        <v>0</v>
      </c>
      <c r="S54" s="1995"/>
      <c r="T54" s="1158">
        <f t="shared" si="33"/>
        <v>0</v>
      </c>
      <c r="U54" s="1158">
        <f t="shared" ref="U54:AF54" si="66">SUM(U55:U56)</f>
        <v>0</v>
      </c>
      <c r="V54" s="1158">
        <f t="shared" si="66"/>
        <v>0</v>
      </c>
      <c r="W54" s="1158">
        <f t="shared" si="66"/>
        <v>0</v>
      </c>
      <c r="X54" s="1158">
        <f t="shared" si="66"/>
        <v>0</v>
      </c>
      <c r="Y54" s="1158">
        <f t="shared" si="66"/>
        <v>0</v>
      </c>
      <c r="Z54" s="1158">
        <f t="shared" si="66"/>
        <v>0</v>
      </c>
      <c r="AA54" s="1158">
        <f t="shared" si="66"/>
        <v>0</v>
      </c>
      <c r="AB54" s="1158">
        <f t="shared" si="66"/>
        <v>0</v>
      </c>
      <c r="AC54" s="1158">
        <f t="shared" si="66"/>
        <v>0</v>
      </c>
      <c r="AD54" s="1158">
        <f t="shared" si="66"/>
        <v>0</v>
      </c>
      <c r="AE54" s="1158">
        <f t="shared" si="66"/>
        <v>0</v>
      </c>
      <c r="AF54" s="1158">
        <f t="shared" si="66"/>
        <v>0</v>
      </c>
      <c r="AG54" s="1995"/>
      <c r="AH54" s="1158">
        <f t="shared" si="35"/>
        <v>0</v>
      </c>
      <c r="AI54" s="1158">
        <f t="shared" ref="AI54:AR54" si="67">SUM(AI55:AI56)</f>
        <v>0</v>
      </c>
      <c r="AJ54" s="1158">
        <f t="shared" si="67"/>
        <v>0</v>
      </c>
      <c r="AK54" s="1158">
        <f t="shared" si="67"/>
        <v>0</v>
      </c>
      <c r="AL54" s="1158">
        <f t="shared" si="67"/>
        <v>0</v>
      </c>
      <c r="AM54" s="1158">
        <f t="shared" si="67"/>
        <v>0</v>
      </c>
      <c r="AN54" s="1158">
        <f t="shared" si="67"/>
        <v>0</v>
      </c>
      <c r="AO54" s="1158">
        <f t="shared" si="67"/>
        <v>0</v>
      </c>
      <c r="AP54" s="1158">
        <f t="shared" si="67"/>
        <v>0</v>
      </c>
      <c r="AQ54" s="1158">
        <f t="shared" si="67"/>
        <v>0</v>
      </c>
      <c r="AR54" s="1158">
        <f t="shared" si="67"/>
        <v>0</v>
      </c>
      <c r="AS54" s="1995"/>
      <c r="AT54" s="1158">
        <f t="shared" si="37"/>
        <v>0</v>
      </c>
      <c r="AU54" s="1158">
        <f t="shared" ref="AU54:BD54" si="68">SUM(AU55:AU56)</f>
        <v>0</v>
      </c>
      <c r="AV54" s="1158">
        <f t="shared" si="68"/>
        <v>0</v>
      </c>
      <c r="AW54" s="1158">
        <f t="shared" si="68"/>
        <v>0</v>
      </c>
      <c r="AX54" s="1158">
        <f t="shared" si="68"/>
        <v>0</v>
      </c>
      <c r="AY54" s="1158">
        <f t="shared" si="68"/>
        <v>0</v>
      </c>
      <c r="AZ54" s="1158">
        <f t="shared" si="68"/>
        <v>0</v>
      </c>
      <c r="BA54" s="1158">
        <f t="shared" si="68"/>
        <v>0</v>
      </c>
      <c r="BB54" s="1158">
        <f t="shared" si="68"/>
        <v>0</v>
      </c>
      <c r="BC54" s="1158">
        <f t="shared" si="68"/>
        <v>0</v>
      </c>
      <c r="BD54" s="1158">
        <f t="shared" si="68"/>
        <v>0</v>
      </c>
      <c r="BE54" s="1995"/>
      <c r="BF54" s="1158">
        <f t="shared" si="39"/>
        <v>0</v>
      </c>
      <c r="BG54" s="1158">
        <f>SUM(BG55:BG56)</f>
        <v>0</v>
      </c>
      <c r="BH54" s="1158">
        <f>SUM(BH55:BH56)</f>
        <v>0</v>
      </c>
      <c r="BI54" s="1158">
        <f>SUM(BI55:BI56)</f>
        <v>0</v>
      </c>
      <c r="BJ54" s="1995"/>
      <c r="BK54" s="1158">
        <f t="shared" si="40"/>
        <v>0</v>
      </c>
      <c r="BL54" s="1158">
        <f>SUM(BL55:BL56)</f>
        <v>0</v>
      </c>
      <c r="BM54" s="1158">
        <f>SUM(BM55:BM56)</f>
        <v>0</v>
      </c>
      <c r="BN54" s="1158">
        <f>SUM(BN55:BN56)</f>
        <v>0</v>
      </c>
      <c r="BO54" s="1158">
        <f>SUM(BO55:BO56)</f>
        <v>0</v>
      </c>
      <c r="BP54" s="1995"/>
      <c r="BQ54" s="1158">
        <f t="shared" si="41"/>
        <v>0</v>
      </c>
      <c r="BR54" s="1158">
        <f>SUM(BR55:BR56)</f>
        <v>0</v>
      </c>
      <c r="BS54" s="1158">
        <f>SUM(BS55:BS56)</f>
        <v>0</v>
      </c>
      <c r="BT54" s="1158">
        <f>SUM(BT55:BT56)</f>
        <v>0</v>
      </c>
      <c r="BU54" s="1995"/>
      <c r="BV54" s="1158">
        <f t="shared" si="42"/>
        <v>0</v>
      </c>
      <c r="BW54" s="1158">
        <f t="shared" ref="BW54:CK54" si="69">SUM(BW55:BW56)</f>
        <v>0</v>
      </c>
      <c r="BX54" s="1158">
        <f t="shared" si="69"/>
        <v>0</v>
      </c>
      <c r="BY54" s="1158">
        <f t="shared" si="69"/>
        <v>0</v>
      </c>
      <c r="BZ54" s="1158">
        <f t="shared" si="69"/>
        <v>0</v>
      </c>
      <c r="CA54" s="1158">
        <f t="shared" si="69"/>
        <v>0</v>
      </c>
      <c r="CB54" s="1158">
        <f t="shared" si="69"/>
        <v>0</v>
      </c>
      <c r="CC54" s="1158">
        <f t="shared" si="69"/>
        <v>0</v>
      </c>
      <c r="CD54" s="1158">
        <f t="shared" si="69"/>
        <v>0</v>
      </c>
      <c r="CE54" s="1158">
        <f t="shared" si="69"/>
        <v>0</v>
      </c>
      <c r="CF54" s="1158">
        <f t="shared" si="69"/>
        <v>0</v>
      </c>
      <c r="CG54" s="1158">
        <f t="shared" si="69"/>
        <v>0</v>
      </c>
      <c r="CH54" s="1158">
        <f t="shared" si="69"/>
        <v>0</v>
      </c>
      <c r="CI54" s="1158">
        <f t="shared" si="69"/>
        <v>0</v>
      </c>
      <c r="CJ54" s="1158">
        <f t="shared" si="69"/>
        <v>0</v>
      </c>
      <c r="CK54" s="1158">
        <f t="shared" si="69"/>
        <v>0</v>
      </c>
      <c r="CL54" s="1995"/>
      <c r="CM54" s="1158">
        <f t="shared" si="44"/>
        <v>0</v>
      </c>
      <c r="CN54" s="1158">
        <f>SUM(CN55:CN56)</f>
        <v>0</v>
      </c>
      <c r="CO54" s="1158">
        <f>SUM(CO55:CO56)</f>
        <v>0</v>
      </c>
      <c r="CP54" s="1158">
        <f>SUM(CP55:CP56)</f>
        <v>0</v>
      </c>
      <c r="CQ54" s="1995"/>
      <c r="CR54" s="1156"/>
      <c r="DD54" s="1077">
        <v>11</v>
      </c>
    </row>
    <row r="55" spans="1:108" ht="48.2" customHeight="1">
      <c r="F55" s="1152" t="s">
        <v>1039</v>
      </c>
      <c r="G55" s="1160" t="s">
        <v>1569</v>
      </c>
      <c r="H55" s="1158">
        <f t="shared" si="30"/>
        <v>0</v>
      </c>
      <c r="I55" s="1157"/>
      <c r="J55" s="1147"/>
      <c r="K55" s="1158">
        <f t="shared" si="31"/>
        <v>0</v>
      </c>
      <c r="L55" s="1157"/>
      <c r="M55" s="1157"/>
      <c r="N55" s="1157"/>
      <c r="O55" s="1157"/>
      <c r="P55" s="1157"/>
      <c r="Q55" s="1157"/>
      <c r="R55" s="1157"/>
      <c r="S55" s="1995"/>
      <c r="T55" s="1158">
        <f t="shared" si="33"/>
        <v>0</v>
      </c>
      <c r="U55" s="1157"/>
      <c r="V55" s="1157"/>
      <c r="W55" s="1157"/>
      <c r="X55" s="1157"/>
      <c r="Y55" s="1157"/>
      <c r="Z55" s="1157"/>
      <c r="AA55" s="1157"/>
      <c r="AB55" s="1157"/>
      <c r="AC55" s="1157"/>
      <c r="AD55" s="1157"/>
      <c r="AE55" s="1157"/>
      <c r="AF55" s="1157"/>
      <c r="AG55" s="1995"/>
      <c r="AH55" s="1158">
        <f t="shared" si="35"/>
        <v>0</v>
      </c>
      <c r="AI55" s="1157"/>
      <c r="AJ55" s="1157"/>
      <c r="AK55" s="1157"/>
      <c r="AL55" s="1157"/>
      <c r="AM55" s="1157"/>
      <c r="AN55" s="1157"/>
      <c r="AO55" s="1157"/>
      <c r="AP55" s="1157"/>
      <c r="AQ55" s="1157"/>
      <c r="AR55" s="1157"/>
      <c r="AS55" s="1995"/>
      <c r="AT55" s="1158">
        <f t="shared" si="37"/>
        <v>0</v>
      </c>
      <c r="AU55" s="1157"/>
      <c r="AV55" s="1157"/>
      <c r="AW55" s="1157"/>
      <c r="AX55" s="1157"/>
      <c r="AY55" s="1157"/>
      <c r="AZ55" s="1157"/>
      <c r="BA55" s="1157"/>
      <c r="BB55" s="1157"/>
      <c r="BC55" s="1157"/>
      <c r="BD55" s="1157"/>
      <c r="BE55" s="1995"/>
      <c r="BF55" s="1158">
        <f t="shared" si="39"/>
        <v>0</v>
      </c>
      <c r="BG55" s="1157"/>
      <c r="BH55" s="1157"/>
      <c r="BI55" s="1157"/>
      <c r="BJ55" s="1995"/>
      <c r="BK55" s="1158">
        <f t="shared" si="40"/>
        <v>0</v>
      </c>
      <c r="BL55" s="1157"/>
      <c r="BM55" s="1157"/>
      <c r="BN55" s="1157"/>
      <c r="BO55" s="1157"/>
      <c r="BP55" s="1995"/>
      <c r="BQ55" s="1158">
        <f t="shared" si="41"/>
        <v>0</v>
      </c>
      <c r="BR55" s="1157"/>
      <c r="BS55" s="1157"/>
      <c r="BT55" s="1157"/>
      <c r="BU55" s="1995"/>
      <c r="BV55" s="1158">
        <f t="shared" si="42"/>
        <v>0</v>
      </c>
      <c r="BW55" s="1157"/>
      <c r="BX55" s="1157"/>
      <c r="BY55" s="1157"/>
      <c r="BZ55" s="1157"/>
      <c r="CA55" s="1157"/>
      <c r="CB55" s="1157"/>
      <c r="CC55" s="1157"/>
      <c r="CD55" s="1157"/>
      <c r="CE55" s="1157"/>
      <c r="CF55" s="1157"/>
      <c r="CG55" s="1157"/>
      <c r="CH55" s="1157"/>
      <c r="CI55" s="1157"/>
      <c r="CJ55" s="1157"/>
      <c r="CK55" s="1157"/>
      <c r="CL55" s="1995"/>
      <c r="CM55" s="1158">
        <f t="shared" si="44"/>
        <v>0</v>
      </c>
      <c r="CN55" s="1157"/>
      <c r="CO55" s="1157"/>
      <c r="CP55" s="1157"/>
      <c r="CQ55" s="1995"/>
      <c r="CR55" s="1156"/>
      <c r="DD55" s="1077">
        <v>46</v>
      </c>
    </row>
    <row r="56" spans="1:108" ht="11.45" customHeight="1">
      <c r="F56" s="1152" t="s">
        <v>1041</v>
      </c>
      <c r="G56" s="1160" t="s">
        <v>1570</v>
      </c>
      <c r="H56" s="1158">
        <f t="shared" si="30"/>
        <v>0</v>
      </c>
      <c r="I56" s="1157"/>
      <c r="J56" s="1147"/>
      <c r="K56" s="1158">
        <f t="shared" si="31"/>
        <v>0</v>
      </c>
      <c r="L56" s="1157"/>
      <c r="M56" s="1157"/>
      <c r="N56" s="1157"/>
      <c r="O56" s="1157"/>
      <c r="P56" s="1157"/>
      <c r="Q56" s="1157"/>
      <c r="R56" s="1157"/>
      <c r="S56" s="1995"/>
      <c r="T56" s="1158">
        <f t="shared" si="33"/>
        <v>0</v>
      </c>
      <c r="U56" s="1157"/>
      <c r="V56" s="1157"/>
      <c r="W56" s="1157"/>
      <c r="X56" s="1157"/>
      <c r="Y56" s="1157"/>
      <c r="Z56" s="1157"/>
      <c r="AA56" s="1157"/>
      <c r="AB56" s="1157"/>
      <c r="AC56" s="1157"/>
      <c r="AD56" s="1157"/>
      <c r="AE56" s="1157"/>
      <c r="AF56" s="1157"/>
      <c r="AG56" s="1995"/>
      <c r="AH56" s="1158">
        <f t="shared" si="35"/>
        <v>0</v>
      </c>
      <c r="AI56" s="1157"/>
      <c r="AJ56" s="1157"/>
      <c r="AK56" s="1157"/>
      <c r="AL56" s="1157"/>
      <c r="AM56" s="1157"/>
      <c r="AN56" s="1157"/>
      <c r="AO56" s="1157"/>
      <c r="AP56" s="1157"/>
      <c r="AQ56" s="1157"/>
      <c r="AR56" s="1157"/>
      <c r="AS56" s="1995"/>
      <c r="AT56" s="1158">
        <f t="shared" si="37"/>
        <v>0</v>
      </c>
      <c r="AU56" s="1157"/>
      <c r="AV56" s="1157"/>
      <c r="AW56" s="1157"/>
      <c r="AX56" s="1157"/>
      <c r="AY56" s="1157"/>
      <c r="AZ56" s="1157"/>
      <c r="BA56" s="1157"/>
      <c r="BB56" s="1157"/>
      <c r="BC56" s="1157"/>
      <c r="BD56" s="1157"/>
      <c r="BE56" s="1995"/>
      <c r="BF56" s="1158">
        <f t="shared" si="39"/>
        <v>0</v>
      </c>
      <c r="BG56" s="1157"/>
      <c r="BH56" s="1157"/>
      <c r="BI56" s="1157"/>
      <c r="BJ56" s="1995"/>
      <c r="BK56" s="1158">
        <f t="shared" si="40"/>
        <v>0</v>
      </c>
      <c r="BL56" s="1157"/>
      <c r="BM56" s="1157"/>
      <c r="BN56" s="1157"/>
      <c r="BO56" s="1157"/>
      <c r="BP56" s="1995"/>
      <c r="BQ56" s="1158">
        <f t="shared" si="41"/>
        <v>0</v>
      </c>
      <c r="BR56" s="1157"/>
      <c r="BS56" s="1157"/>
      <c r="BT56" s="1157"/>
      <c r="BU56" s="1995"/>
      <c r="BV56" s="1158">
        <f t="shared" si="42"/>
        <v>0</v>
      </c>
      <c r="BW56" s="1157"/>
      <c r="BX56" s="1157"/>
      <c r="BY56" s="1157"/>
      <c r="BZ56" s="1157"/>
      <c r="CA56" s="1157"/>
      <c r="CB56" s="1157"/>
      <c r="CC56" s="1157"/>
      <c r="CD56" s="1157"/>
      <c r="CE56" s="1157"/>
      <c r="CF56" s="1157"/>
      <c r="CG56" s="1157"/>
      <c r="CH56" s="1157"/>
      <c r="CI56" s="1157"/>
      <c r="CJ56" s="1157"/>
      <c r="CK56" s="1157"/>
      <c r="CL56" s="1995"/>
      <c r="CM56" s="1158">
        <f t="shared" si="44"/>
        <v>0</v>
      </c>
      <c r="CN56" s="1157"/>
      <c r="CO56" s="1157"/>
      <c r="CP56" s="1157"/>
      <c r="CQ56" s="1995"/>
      <c r="CR56" s="1156"/>
      <c r="DD56" s="1077">
        <v>11</v>
      </c>
    </row>
    <row r="57" spans="1:108" ht="11.45" customHeight="1">
      <c r="F57" s="1152" t="s">
        <v>355</v>
      </c>
      <c r="G57" s="1159" t="s">
        <v>1586</v>
      </c>
      <c r="H57" s="1158">
        <f t="shared" si="30"/>
        <v>0</v>
      </c>
      <c r="I57" s="1157"/>
      <c r="J57" s="1147"/>
      <c r="K57" s="1158">
        <f t="shared" si="31"/>
        <v>0</v>
      </c>
      <c r="L57" s="1157"/>
      <c r="M57" s="1157"/>
      <c r="N57" s="1157"/>
      <c r="O57" s="1157"/>
      <c r="P57" s="1157"/>
      <c r="Q57" s="1157"/>
      <c r="R57" s="1157"/>
      <c r="S57" s="1995"/>
      <c r="T57" s="1158">
        <f t="shared" si="33"/>
        <v>0</v>
      </c>
      <c r="U57" s="1157"/>
      <c r="V57" s="1157"/>
      <c r="W57" s="1157"/>
      <c r="X57" s="1157"/>
      <c r="Y57" s="1157"/>
      <c r="Z57" s="1157"/>
      <c r="AA57" s="1157"/>
      <c r="AB57" s="1157"/>
      <c r="AC57" s="1157"/>
      <c r="AD57" s="1157"/>
      <c r="AE57" s="1157"/>
      <c r="AF57" s="1157"/>
      <c r="AG57" s="1995"/>
      <c r="AH57" s="1158">
        <f t="shared" si="35"/>
        <v>0</v>
      </c>
      <c r="AI57" s="1157"/>
      <c r="AJ57" s="1157"/>
      <c r="AK57" s="1157"/>
      <c r="AL57" s="1157"/>
      <c r="AM57" s="1157"/>
      <c r="AN57" s="1157"/>
      <c r="AO57" s="1157"/>
      <c r="AP57" s="1157"/>
      <c r="AQ57" s="1157"/>
      <c r="AR57" s="1157"/>
      <c r="AS57" s="1995"/>
      <c r="AT57" s="1158">
        <f t="shared" si="37"/>
        <v>0</v>
      </c>
      <c r="AU57" s="1157"/>
      <c r="AV57" s="1157"/>
      <c r="AW57" s="1157"/>
      <c r="AX57" s="1157"/>
      <c r="AY57" s="1157"/>
      <c r="AZ57" s="1157"/>
      <c r="BA57" s="1157"/>
      <c r="BB57" s="1157"/>
      <c r="BC57" s="1157"/>
      <c r="BD57" s="1157"/>
      <c r="BE57" s="1995"/>
      <c r="BF57" s="1158">
        <f t="shared" si="39"/>
        <v>0</v>
      </c>
      <c r="BG57" s="1157"/>
      <c r="BH57" s="1157"/>
      <c r="BI57" s="1157"/>
      <c r="BJ57" s="1995"/>
      <c r="BK57" s="1158">
        <f t="shared" si="40"/>
        <v>0</v>
      </c>
      <c r="BL57" s="1157"/>
      <c r="BM57" s="1157"/>
      <c r="BN57" s="1157"/>
      <c r="BO57" s="1157"/>
      <c r="BP57" s="1995"/>
      <c r="BQ57" s="1158">
        <f t="shared" si="41"/>
        <v>0</v>
      </c>
      <c r="BR57" s="1157"/>
      <c r="BS57" s="1157"/>
      <c r="BT57" s="1157"/>
      <c r="BU57" s="1995"/>
      <c r="BV57" s="1158">
        <f t="shared" si="42"/>
        <v>0</v>
      </c>
      <c r="BW57" s="1157"/>
      <c r="BX57" s="1157"/>
      <c r="BY57" s="1157"/>
      <c r="BZ57" s="1157"/>
      <c r="CA57" s="1157"/>
      <c r="CB57" s="1157"/>
      <c r="CC57" s="1157"/>
      <c r="CD57" s="1157"/>
      <c r="CE57" s="1157"/>
      <c r="CF57" s="1157"/>
      <c r="CG57" s="1157"/>
      <c r="CH57" s="1157"/>
      <c r="CI57" s="1157"/>
      <c r="CJ57" s="1157"/>
      <c r="CK57" s="1157"/>
      <c r="CL57" s="1995"/>
      <c r="CM57" s="1158">
        <f t="shared" si="44"/>
        <v>0</v>
      </c>
      <c r="CN57" s="1157"/>
      <c r="CO57" s="1157"/>
      <c r="CP57" s="1157"/>
      <c r="CQ57" s="1995"/>
      <c r="CR57" s="1156"/>
      <c r="DD57" s="1077">
        <v>11</v>
      </c>
    </row>
    <row r="58" spans="1:108" ht="11.45" customHeight="1">
      <c r="F58" s="1152"/>
      <c r="G58" s="1161" t="s">
        <v>1572</v>
      </c>
      <c r="H58" s="1158">
        <f t="shared" si="30"/>
        <v>0</v>
      </c>
      <c r="I58" s="1158">
        <f>SUM(I38,I48)</f>
        <v>0</v>
      </c>
      <c r="J58" s="1147"/>
      <c r="K58" s="1158">
        <f t="shared" si="31"/>
        <v>0</v>
      </c>
      <c r="L58" s="1158">
        <f t="shared" ref="L58:R58" si="70">SUM(L38,L48)</f>
        <v>0</v>
      </c>
      <c r="M58" s="1158">
        <f t="shared" si="70"/>
        <v>0</v>
      </c>
      <c r="N58" s="1158">
        <f t="shared" si="70"/>
        <v>0</v>
      </c>
      <c r="O58" s="1158">
        <f t="shared" si="70"/>
        <v>0</v>
      </c>
      <c r="P58" s="1158">
        <f t="shared" si="70"/>
        <v>0</v>
      </c>
      <c r="Q58" s="1158">
        <f t="shared" si="70"/>
        <v>0</v>
      </c>
      <c r="R58" s="1158">
        <f t="shared" si="70"/>
        <v>0</v>
      </c>
      <c r="S58" s="1995"/>
      <c r="T58" s="1158">
        <f t="shared" si="33"/>
        <v>0</v>
      </c>
      <c r="U58" s="1158">
        <f t="shared" ref="U58:AF58" si="71">SUM(U38,U48)</f>
        <v>0</v>
      </c>
      <c r="V58" s="1158">
        <f t="shared" si="71"/>
        <v>0</v>
      </c>
      <c r="W58" s="1158">
        <f t="shared" si="71"/>
        <v>0</v>
      </c>
      <c r="X58" s="1158">
        <f t="shared" si="71"/>
        <v>0</v>
      </c>
      <c r="Y58" s="1158">
        <f t="shared" si="71"/>
        <v>0</v>
      </c>
      <c r="Z58" s="1158">
        <f t="shared" si="71"/>
        <v>0</v>
      </c>
      <c r="AA58" s="1158">
        <f t="shared" si="71"/>
        <v>0</v>
      </c>
      <c r="AB58" s="1158">
        <f t="shared" si="71"/>
        <v>0</v>
      </c>
      <c r="AC58" s="1158">
        <f t="shared" si="71"/>
        <v>0</v>
      </c>
      <c r="AD58" s="1158">
        <f t="shared" si="71"/>
        <v>0</v>
      </c>
      <c r="AE58" s="1158">
        <f t="shared" si="71"/>
        <v>0</v>
      </c>
      <c r="AF58" s="1158">
        <f t="shared" si="71"/>
        <v>0</v>
      </c>
      <c r="AG58" s="1995"/>
      <c r="AH58" s="1158">
        <f t="shared" si="35"/>
        <v>0</v>
      </c>
      <c r="AI58" s="1158">
        <f t="shared" ref="AI58:AR58" si="72">SUM(AI38,AI48)</f>
        <v>0</v>
      </c>
      <c r="AJ58" s="1158">
        <f t="shared" si="72"/>
        <v>0</v>
      </c>
      <c r="AK58" s="1158">
        <f t="shared" si="72"/>
        <v>0</v>
      </c>
      <c r="AL58" s="1158">
        <f t="shared" si="72"/>
        <v>0</v>
      </c>
      <c r="AM58" s="1158">
        <f t="shared" si="72"/>
        <v>0</v>
      </c>
      <c r="AN58" s="1158">
        <f t="shared" si="72"/>
        <v>0</v>
      </c>
      <c r="AO58" s="1158">
        <f t="shared" si="72"/>
        <v>0</v>
      </c>
      <c r="AP58" s="1158">
        <f t="shared" si="72"/>
        <v>0</v>
      </c>
      <c r="AQ58" s="1158">
        <f t="shared" si="72"/>
        <v>0</v>
      </c>
      <c r="AR58" s="1158">
        <f t="shared" si="72"/>
        <v>0</v>
      </c>
      <c r="AS58" s="1995"/>
      <c r="AT58" s="1158">
        <f t="shared" si="37"/>
        <v>0</v>
      </c>
      <c r="AU58" s="1158">
        <f t="shared" ref="AU58:BD58" si="73">SUM(AU38,AU48)</f>
        <v>0</v>
      </c>
      <c r="AV58" s="1158">
        <f t="shared" si="73"/>
        <v>0</v>
      </c>
      <c r="AW58" s="1158">
        <f t="shared" si="73"/>
        <v>0</v>
      </c>
      <c r="AX58" s="1158">
        <f t="shared" si="73"/>
        <v>0</v>
      </c>
      <c r="AY58" s="1158">
        <f t="shared" si="73"/>
        <v>0</v>
      </c>
      <c r="AZ58" s="1158">
        <f t="shared" si="73"/>
        <v>0</v>
      </c>
      <c r="BA58" s="1158">
        <f t="shared" si="73"/>
        <v>0</v>
      </c>
      <c r="BB58" s="1158">
        <f t="shared" si="73"/>
        <v>0</v>
      </c>
      <c r="BC58" s="1158">
        <f t="shared" si="73"/>
        <v>0</v>
      </c>
      <c r="BD58" s="1158">
        <f t="shared" si="73"/>
        <v>0</v>
      </c>
      <c r="BE58" s="1995"/>
      <c r="BF58" s="1158">
        <f t="shared" si="39"/>
        <v>0</v>
      </c>
      <c r="BG58" s="1158">
        <f>SUM(BG38,BG48)</f>
        <v>0</v>
      </c>
      <c r="BH58" s="1158">
        <f>SUM(BH38,BH48)</f>
        <v>0</v>
      </c>
      <c r="BI58" s="1158">
        <f>SUM(BI38,BI48)</f>
        <v>0</v>
      </c>
      <c r="BJ58" s="1995"/>
      <c r="BK58" s="1158">
        <f t="shared" si="40"/>
        <v>0</v>
      </c>
      <c r="BL58" s="1158">
        <f>SUM(BL38,BL48)</f>
        <v>0</v>
      </c>
      <c r="BM58" s="1158">
        <f>SUM(BM38,BM48)</f>
        <v>0</v>
      </c>
      <c r="BN58" s="1158">
        <f>SUM(BN38,BN48)</f>
        <v>0</v>
      </c>
      <c r="BO58" s="1158">
        <f>SUM(BO38,BO48)</f>
        <v>0</v>
      </c>
      <c r="BP58" s="1995"/>
      <c r="BQ58" s="1158">
        <f t="shared" si="41"/>
        <v>0</v>
      </c>
      <c r="BR58" s="1158">
        <f>SUM(BR38,BR48)</f>
        <v>0</v>
      </c>
      <c r="BS58" s="1158">
        <f>SUM(BS38,BS48)</f>
        <v>0</v>
      </c>
      <c r="BT58" s="1158">
        <f>SUM(BT38,BT48)</f>
        <v>0</v>
      </c>
      <c r="BU58" s="1995"/>
      <c r="BV58" s="1158">
        <f t="shared" si="42"/>
        <v>0</v>
      </c>
      <c r="BW58" s="1158">
        <f t="shared" ref="BW58:CK58" si="74">SUM(BW38,BW48)</f>
        <v>0</v>
      </c>
      <c r="BX58" s="1158">
        <f t="shared" si="74"/>
        <v>0</v>
      </c>
      <c r="BY58" s="1158">
        <f t="shared" si="74"/>
        <v>0</v>
      </c>
      <c r="BZ58" s="1158">
        <f t="shared" si="74"/>
        <v>0</v>
      </c>
      <c r="CA58" s="1158">
        <f t="shared" si="74"/>
        <v>0</v>
      </c>
      <c r="CB58" s="1158">
        <f t="shared" si="74"/>
        <v>0</v>
      </c>
      <c r="CC58" s="1158">
        <f t="shared" si="74"/>
        <v>0</v>
      </c>
      <c r="CD58" s="1158">
        <f t="shared" si="74"/>
        <v>0</v>
      </c>
      <c r="CE58" s="1158">
        <f t="shared" si="74"/>
        <v>0</v>
      </c>
      <c r="CF58" s="1158">
        <f t="shared" si="74"/>
        <v>0</v>
      </c>
      <c r="CG58" s="1158">
        <f t="shared" si="74"/>
        <v>0</v>
      </c>
      <c r="CH58" s="1158">
        <f t="shared" si="74"/>
        <v>0</v>
      </c>
      <c r="CI58" s="1158">
        <f t="shared" si="74"/>
        <v>0</v>
      </c>
      <c r="CJ58" s="1158">
        <f t="shared" si="74"/>
        <v>0</v>
      </c>
      <c r="CK58" s="1158">
        <f t="shared" si="74"/>
        <v>0</v>
      </c>
      <c r="CL58" s="1995"/>
      <c r="CM58" s="1158">
        <f t="shared" si="44"/>
        <v>0</v>
      </c>
      <c r="CN58" s="1158">
        <f>SUM(CN38,CN48)</f>
        <v>0</v>
      </c>
      <c r="CO58" s="1158">
        <f>SUM(CO38,CO48)</f>
        <v>0</v>
      </c>
      <c r="CP58" s="1158">
        <f>SUM(CP38,CP48)</f>
        <v>0</v>
      </c>
      <c r="CQ58" s="1995"/>
      <c r="CR58" s="1156"/>
      <c r="DD58" s="1077">
        <v>11</v>
      </c>
    </row>
    <row r="59" spans="1:108" ht="10.5" hidden="1" customHeight="1">
      <c r="A59" s="1088" t="s">
        <v>70</v>
      </c>
      <c r="B59" s="1088">
        <v>0</v>
      </c>
      <c r="C59" s="1088">
        <v>0</v>
      </c>
      <c r="D59" s="1082">
        <v>0</v>
      </c>
      <c r="E59" s="443">
        <v>3</v>
      </c>
      <c r="F59" s="1077">
        <v>6</v>
      </c>
      <c r="G59" s="1077">
        <v>60</v>
      </c>
      <c r="H59" s="1077">
        <v>0</v>
      </c>
      <c r="I59" s="1077">
        <v>0</v>
      </c>
      <c r="J59" s="1077">
        <v>0</v>
      </c>
      <c r="K59" s="1557">
        <v>0</v>
      </c>
      <c r="L59" s="1557">
        <v>0</v>
      </c>
      <c r="M59" s="1557">
        <v>0</v>
      </c>
      <c r="N59" s="1557">
        <v>0</v>
      </c>
      <c r="O59" s="1557">
        <v>0</v>
      </c>
      <c r="P59" s="1557">
        <v>0</v>
      </c>
      <c r="Q59" s="1557">
        <v>0</v>
      </c>
      <c r="R59" s="1557">
        <v>0</v>
      </c>
      <c r="S59" s="1557">
        <v>0</v>
      </c>
      <c r="T59" s="1557">
        <v>0</v>
      </c>
      <c r="U59" s="1557">
        <v>0</v>
      </c>
      <c r="V59" s="1557">
        <v>0</v>
      </c>
      <c r="W59" s="1557">
        <v>0</v>
      </c>
      <c r="X59" s="1557">
        <v>0</v>
      </c>
      <c r="Y59" s="1557">
        <v>0</v>
      </c>
      <c r="Z59" s="1557">
        <v>0</v>
      </c>
      <c r="AA59" s="1557">
        <v>0</v>
      </c>
      <c r="AB59" s="1557">
        <v>0</v>
      </c>
      <c r="AC59" s="1557">
        <v>0</v>
      </c>
      <c r="AD59" s="1557">
        <v>0</v>
      </c>
      <c r="AE59" s="1557">
        <v>0</v>
      </c>
      <c r="AF59" s="1557">
        <v>0</v>
      </c>
      <c r="AG59" s="1557">
        <v>0</v>
      </c>
      <c r="AH59" s="1557">
        <v>0</v>
      </c>
      <c r="AI59" s="1557">
        <v>0</v>
      </c>
      <c r="AJ59" s="1557">
        <v>0</v>
      </c>
      <c r="AK59" s="1557">
        <v>0</v>
      </c>
      <c r="AL59" s="1557">
        <v>0</v>
      </c>
      <c r="AM59" s="1557">
        <v>0</v>
      </c>
      <c r="AN59" s="1557">
        <v>0</v>
      </c>
      <c r="AO59" s="1557">
        <v>0</v>
      </c>
      <c r="AP59" s="1557">
        <v>0</v>
      </c>
      <c r="AQ59" s="1557">
        <v>0</v>
      </c>
      <c r="AR59" s="1557">
        <v>0</v>
      </c>
      <c r="AS59" s="1557">
        <v>0</v>
      </c>
      <c r="AT59" s="1557">
        <v>0</v>
      </c>
      <c r="AU59" s="1557">
        <v>0</v>
      </c>
      <c r="AV59" s="1557">
        <v>0</v>
      </c>
      <c r="AW59" s="1557">
        <v>0</v>
      </c>
      <c r="AX59" s="1557">
        <v>0</v>
      </c>
      <c r="AY59" s="1557">
        <v>0</v>
      </c>
      <c r="AZ59" s="1557">
        <v>0</v>
      </c>
      <c r="BA59" s="1557">
        <v>0</v>
      </c>
      <c r="BB59" s="1557">
        <v>0</v>
      </c>
      <c r="BC59" s="1557">
        <v>0</v>
      </c>
      <c r="BD59" s="1557">
        <v>0</v>
      </c>
      <c r="BE59" s="1557">
        <v>0</v>
      </c>
      <c r="BF59" s="1557">
        <v>0</v>
      </c>
      <c r="BG59" s="1557">
        <v>0</v>
      </c>
      <c r="BH59" s="1557">
        <v>0</v>
      </c>
      <c r="BI59" s="1557">
        <v>0</v>
      </c>
      <c r="BJ59" s="1557">
        <v>0</v>
      </c>
      <c r="BK59" s="1557">
        <v>0</v>
      </c>
      <c r="BL59" s="1557">
        <v>0</v>
      </c>
      <c r="BM59" s="1557">
        <v>0</v>
      </c>
      <c r="BN59" s="1557">
        <v>0</v>
      </c>
      <c r="BO59" s="1557">
        <v>0</v>
      </c>
      <c r="BP59" s="1557">
        <v>0</v>
      </c>
      <c r="BQ59" s="1557">
        <v>0</v>
      </c>
      <c r="BR59" s="1557">
        <v>0</v>
      </c>
      <c r="BS59" s="1557">
        <v>0</v>
      </c>
      <c r="BT59" s="1557">
        <v>0</v>
      </c>
      <c r="BU59" s="1557">
        <v>0</v>
      </c>
      <c r="BV59" s="1557">
        <v>0</v>
      </c>
      <c r="BW59" s="1557">
        <v>0</v>
      </c>
      <c r="BX59" s="1557">
        <v>0</v>
      </c>
      <c r="BY59" s="1557">
        <v>0</v>
      </c>
      <c r="BZ59" s="1557">
        <v>0</v>
      </c>
      <c r="CA59" s="1557">
        <v>0</v>
      </c>
      <c r="CB59" s="1557">
        <v>0</v>
      </c>
      <c r="CC59" s="1557">
        <v>0</v>
      </c>
      <c r="CD59" s="1557">
        <v>0</v>
      </c>
      <c r="CE59" s="1557">
        <v>0</v>
      </c>
      <c r="CF59" s="1557">
        <v>0</v>
      </c>
      <c r="CG59" s="1557">
        <v>0</v>
      </c>
      <c r="CH59" s="1557">
        <v>0</v>
      </c>
      <c r="CI59" s="1557">
        <v>0</v>
      </c>
      <c r="CJ59" s="1557">
        <v>0</v>
      </c>
      <c r="CK59" s="1557">
        <v>0</v>
      </c>
      <c r="CL59" s="1557">
        <v>0</v>
      </c>
      <c r="CM59" s="1557">
        <v>0</v>
      </c>
      <c r="CN59" s="1557">
        <v>0</v>
      </c>
      <c r="CO59" s="1557">
        <v>0</v>
      </c>
      <c r="CP59" s="1557">
        <v>0</v>
      </c>
      <c r="CQ59" s="1557">
        <v>0</v>
      </c>
      <c r="CR59" s="1077">
        <v>1</v>
      </c>
      <c r="CS59" s="1077">
        <v>8</v>
      </c>
      <c r="CT59" s="1077">
        <v>8</v>
      </c>
      <c r="CU59" s="1077">
        <v>8</v>
      </c>
      <c r="CV59" s="1077">
        <v>8</v>
      </c>
      <c r="CW59" s="1077">
        <v>8</v>
      </c>
      <c r="CX59" s="1077">
        <v>8</v>
      </c>
      <c r="CY59" s="1077">
        <v>8</v>
      </c>
      <c r="CZ59" s="1077">
        <v>8</v>
      </c>
      <c r="DA59" s="1077">
        <v>8</v>
      </c>
      <c r="DB59" s="1077">
        <v>8</v>
      </c>
      <c r="DC59" s="1077">
        <v>8</v>
      </c>
      <c r="DD59" s="1077">
        <v>10</v>
      </c>
    </row>
  </sheetData>
  <sheetProtection formatColumns="0" formatRows="0" insertRows="0" deleteColumns="0" deleteRows="0" sort="0" autoFilter="0"/>
  <mergeCells count="27">
    <mergeCell ref="F5:J5"/>
    <mergeCell ref="F6:J6"/>
    <mergeCell ref="F9:J9"/>
    <mergeCell ref="G14:J14"/>
    <mergeCell ref="G37:J37"/>
    <mergeCell ref="F10:F12"/>
    <mergeCell ref="H10:J10"/>
    <mergeCell ref="H11:J11"/>
    <mergeCell ref="G10:G12"/>
    <mergeCell ref="K10:S10"/>
    <mergeCell ref="K11:S11"/>
    <mergeCell ref="T10:AG10"/>
    <mergeCell ref="T11:AG11"/>
    <mergeCell ref="AH10:AS10"/>
    <mergeCell ref="AH11:AS11"/>
    <mergeCell ref="AT10:BE10"/>
    <mergeCell ref="AT11:BE11"/>
    <mergeCell ref="BF10:BJ10"/>
    <mergeCell ref="BF11:BJ11"/>
    <mergeCell ref="BK10:BP10"/>
    <mergeCell ref="BK11:BP11"/>
    <mergeCell ref="BQ10:BU10"/>
    <mergeCell ref="BQ11:BU11"/>
    <mergeCell ref="BV10:CL10"/>
    <mergeCell ref="BV11:CL11"/>
    <mergeCell ref="CM10:CQ10"/>
    <mergeCell ref="CM11:CQ11"/>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AF16 U17:AF17 U18:AF18 U19:AF19 U20:AF20 U21:AF21 U22:AF22 U23:AF23 U24:AF24 U25:AF25 U26:AF26 U27:AF27 U29:AF29 U30:AF30 U31:AF31 U33:AF33 U34:AF34 U35:AF35 U40:AF40 U41:AF41 U42:AF42 U43:AF43 U45:AF45 U46:AF46 U47:AF47 U50:AF50 U51:AF51 U52:AF52 U53:AF53 U55:AF55 U56:AF56 U57:AF57 AI16:AR16 AI17:AR17 AI18:AR18 AI19:AR19 AI20:AR20 AI21:AR21 AI22:AR22 AI23:AR23 AI24:AR24 AI25:AR25 AI26:AR26 AI27:AR27 AI29:AR29 AI30:AR30 AI31:AR31 AI33:AR33 AI34:AR34 AI35:AR35 AI40:AR40 AI41:AR41 AI42:AR42 AI43:AR43 AI45:AR45 AI46:AR46 AI47:AR47 AI50:AR50 AI51:AR51 AI52:AR52 AI53:AR53 AI55:AR55 AI56:AR56 AI57:AR57 AU16:BD16 AU17:BD17 AU18:BD18 AU19:BD19 AU20:BD20 AU21:BD21 AU22:BD22 AU23:BD23 AU24:BD24 AU25:BD25 AU26:BD26 AU27:BD27 AU29:BD29 AU30:BD30 AU31:BD31 AU33:BD33 AU34:BD34 AU35:BD35 AU40:BD40 AU41:BD41 AU42:BD42 AU43:BD43 AU45:BD45 AU46:BD46 AU47:BD47 AU50:BD50 AU51:BD51 AU52:BD52 AU53:BD53 AU55:BD55 AU56:BD56 AU57:BD57 BG16:BI16 BG17:BI17 BG18:BI18 BG19:BI19 BG20:BI20 BG21:BI21 BG22:BI22 BG23:BI23 BG24:BI24 BG25:BI25 BG26:BI26 BG27:BI27 BG29:BI29 BG30:BI30 BG31:BI31 BG33:BI33 BG34:BI34 BG35:BI35 BG40:BI40 BG41:BI41 BG42:BI42 BG43:BI43 BG45:BI45 BG46:BI46 BG47:BI47 BG50:BI50 BG51:BI51 BG52:BI52 BG53:BI53 BG55:BI55 BG56:BI56 BG57:BI57 BL16:BO16 BL17:BO17 BL18:BO18 BL19:BO19 BL20:BO20 BL21:BO21 BL22:BO22 BL23:BO23 BL24:BO24 BL25:BO25 BL26:BO26 BL27:BO27 BL29:BO29 BL30:BO30 BL31:BO31 BL33:BO33 BL34:BO34 BL35:BO35 BL40:BO40 BL41:BO41 BL42:BO42 BL43:BO43 BL45:BO45 BL46:BO46 BL47:BO47 BL50:BO50 BL51:BO51 BL52:BO52 BL53:BO53 BL55:BO55 BL56:BO56 BL57:BO57 BR16:BT16 BR17:BT17 BR18:BT18 BR19:BT19 BR20:BT20 BR21:BT21 BR22:BT22 BR23:BT23 BR24:BT24 BR25:BT25 BR26:BT26 BR27:BT27 BR29:BT29 BR30:BT30 BR31:BT31 BR33:BT33 BR34:BT34 BR35:BT35 BR40:BT40 BR41:BT41 BR42:BT42 BR43:BT43 BR45:BT45 BR46:BT46 BR47:BT47 BR50:BT50 BR51:BT51 BR52:BT52 BR53:BT53 BR55:BT55 BR56:BT56 BR57:BT57 BW16:CK16 BW17:CK17 BW18:CK18 BW19:CK19 BW20:CK20 BW21:CK21 BW22:CK22 BW23:CK23 BW24:CK24 BW25:CK25 BW26:CK26 BW27:CK27 BW29:CK29 BW30:CK30 BW31:CK31 BW33:CK33 BW34:CK34 BW35:CK35 BW40:CK40 BW41:CK41 BW42:CK42 BW43:CK43 BW45:CK45 BW46:CK46 BW47:CK47 BW50:CK50 BW51:CK51 BW52:CK52 BW53:CK53 BW55:CK55 BW56:CK56 BW57:CK57 CN16:CP16 CN17:CP17 CN18:CP18 CN19:CP19 CN20:CP20 CN21:CP21 CN22:CP22 CN23:CP23 CN24:CP24 CN25:CP25 CN26:CP26 CN27:CP27 CN29:CP29 CN30:CP30 CN31:CP31 CN33:CP33 CN34:CP34 CN35:CP35 CN40:CP40 CN41:CP41 CN42:CP42 CN43:CP43 CN45:CP45 CN46:CP46 CN47:CP47 CN50:CP50 CN51:CP51 CN52:CP52 CN53:CP53 CN55:CP55 CN56:CP56 CN57:C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58"/>
  <sheetViews>
    <sheetView showGridLines="0" zoomScale="105" workbookViewId="0">
      <pane xSplit="14" ySplit="17" topLeftCell="O42" activePane="bottomRight" state="frozen"/>
      <selection pane="topRight" activeCell="O1" sqref="O1"/>
      <selection pane="bottomLeft" activeCell="A18" sqref="A18"/>
      <selection pane="bottomRight" activeCell="AC1" sqref="AC1:AC1048576"/>
    </sheetView>
  </sheetViews>
  <sheetFormatPr defaultColWidth="9.140625" defaultRowHeight="12" customHeight="1"/>
  <cols>
    <col min="1" max="1" width="4.7109375" style="989" hidden="1" customWidth="1"/>
    <col min="2" max="2" width="4.7109375" style="863" hidden="1" customWidth="1"/>
    <col min="3" max="4" width="4.7109375" style="989" hidden="1" customWidth="1"/>
    <col min="5" max="5" width="3" style="989" customWidth="1"/>
    <col min="6" max="6" width="6" style="989" customWidth="1"/>
    <col min="7" max="7" width="18" style="989" customWidth="1"/>
    <col min="8" max="8" width="27" style="989" customWidth="1"/>
    <col min="9" max="9" width="88.7109375" style="989" customWidth="1"/>
    <col min="10" max="14" width="0.85546875" style="989" hidden="1" customWidth="1"/>
    <col min="15" max="25" width="10" style="989" customWidth="1"/>
    <col min="26" max="26" width="9.140625" style="989" bestFit="1" customWidth="1"/>
    <col min="27" max="27" width="7.7109375" style="989" customWidth="1"/>
    <col min="28" max="28" width="9.28515625" style="989" customWidth="1"/>
    <col min="29" max="71" width="0.85546875" style="989" customWidth="1"/>
    <col min="72" max="79" width="21.7109375" style="989" hidden="1" customWidth="1"/>
    <col min="80" max="81" width="29.140625" style="989" hidden="1" customWidth="1"/>
    <col min="82" max="89" width="21.7109375" style="989" hidden="1" customWidth="1"/>
    <col min="90" max="102" width="0.7109375" style="989" hidden="1" customWidth="1"/>
    <col min="103" max="114" width="21.7109375" style="989" hidden="1" customWidth="1"/>
    <col min="115" max="178" width="0.7109375" style="989" hidden="1" customWidth="1"/>
    <col min="179" max="179" width="0.140625" style="989" customWidth="1"/>
    <col min="180" max="184" width="8" style="989" customWidth="1"/>
    <col min="185" max="185" width="9.140625" style="989" hidden="1"/>
  </cols>
  <sheetData>
    <row r="1" spans="2:185" s="852" customFormat="1" ht="12" hidden="1" customHeight="1">
      <c r="B1" s="850"/>
      <c r="C1" s="851"/>
      <c r="D1" s="851"/>
      <c r="GC1" s="849" t="s">
        <v>1</v>
      </c>
    </row>
    <row r="2" spans="2:185" s="852"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GC2" s="849">
        <v>0</v>
      </c>
    </row>
    <row r="3" spans="2:185" s="852"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c r="GC3" s="849">
        <v>0</v>
      </c>
    </row>
    <row r="4" spans="2:185" ht="10.5" customHeight="1">
      <c r="B4" s="854"/>
      <c r="C4" s="855"/>
      <c r="D4" s="855"/>
      <c r="E4" s="855"/>
      <c r="F4" s="855"/>
      <c r="G4" s="855"/>
      <c r="H4" s="856"/>
      <c r="I4" s="856"/>
      <c r="J4" s="856"/>
      <c r="K4" s="856"/>
      <c r="L4" s="856"/>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857"/>
      <c r="BB4" s="857"/>
      <c r="BC4" s="857"/>
      <c r="BD4" s="857"/>
      <c r="BE4" s="857"/>
      <c r="BF4" s="857"/>
      <c r="BG4" s="857"/>
      <c r="BH4" s="857"/>
      <c r="BI4" s="857"/>
      <c r="BJ4" s="857"/>
      <c r="BK4" s="857"/>
      <c r="BL4" s="857"/>
      <c r="BM4" s="857"/>
      <c r="BN4" s="857"/>
      <c r="BO4" s="857"/>
      <c r="BP4" s="857"/>
      <c r="BQ4" s="857"/>
      <c r="BR4" s="857"/>
      <c r="BS4" s="857"/>
      <c r="BT4" s="857"/>
      <c r="BU4" s="857"/>
      <c r="BV4" s="857"/>
      <c r="BW4" s="857"/>
      <c r="BX4" s="857"/>
      <c r="BY4" s="857"/>
      <c r="BZ4" s="857"/>
      <c r="CA4" s="857"/>
      <c r="CB4" s="857"/>
      <c r="CC4" s="857"/>
      <c r="CD4" s="857"/>
      <c r="CE4" s="857"/>
      <c r="CF4" s="85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c r="FK4" s="857"/>
      <c r="FL4" s="857"/>
      <c r="FM4" s="857"/>
      <c r="FN4" s="857"/>
      <c r="FO4" s="857"/>
      <c r="FP4" s="857"/>
      <c r="FQ4" s="857"/>
      <c r="FR4" s="857"/>
      <c r="FS4" s="857"/>
      <c r="FT4" s="857"/>
      <c r="FU4" s="857"/>
      <c r="FV4" s="857"/>
      <c r="FW4" s="857"/>
      <c r="GC4" s="853">
        <v>10</v>
      </c>
    </row>
    <row r="5" spans="2:185" s="1762" customFormat="1" ht="27.4" customHeight="1">
      <c r="B5" s="1761"/>
      <c r="E5" s="1763"/>
      <c r="F5" s="392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660"/>
      <c r="H5" s="3660"/>
      <c r="I5" s="3660"/>
      <c r="J5" s="3660"/>
      <c r="K5" s="3660"/>
      <c r="L5" s="3660"/>
      <c r="M5" s="3660"/>
      <c r="N5" s="3660"/>
      <c r="O5" s="3660"/>
      <c r="P5" s="3660"/>
      <c r="Q5" s="3660"/>
      <c r="R5" s="3660"/>
      <c r="S5" s="3660"/>
      <c r="T5" s="3660"/>
      <c r="U5" s="3660"/>
      <c r="V5" s="3660"/>
      <c r="W5" s="3660"/>
      <c r="X5" s="3660"/>
      <c r="Y5" s="3660"/>
      <c r="Z5" s="3660"/>
      <c r="AA5" s="3660"/>
      <c r="AB5" s="3660"/>
      <c r="AC5" s="3660"/>
      <c r="AD5" s="3660"/>
      <c r="AE5" s="3660"/>
      <c r="AF5" s="3660"/>
      <c r="AG5" s="3660"/>
      <c r="AH5" s="3660"/>
      <c r="AI5" s="3660"/>
      <c r="AJ5" s="3660"/>
      <c r="AK5" s="3660"/>
      <c r="AL5" s="3660"/>
      <c r="AM5" s="3660"/>
      <c r="AN5" s="3660"/>
      <c r="AO5" s="3660"/>
      <c r="AP5" s="3660"/>
      <c r="AQ5" s="3660"/>
      <c r="AR5" s="3660"/>
      <c r="AS5" s="3660"/>
      <c r="AT5" s="3660"/>
      <c r="AU5" s="3660"/>
      <c r="AV5" s="3660"/>
      <c r="AW5" s="3660"/>
      <c r="AX5" s="3660"/>
      <c r="AY5" s="3660"/>
      <c r="AZ5" s="3660"/>
      <c r="BA5" s="3660"/>
      <c r="BB5" s="3660"/>
      <c r="BC5" s="3660"/>
      <c r="BD5" s="3660"/>
      <c r="BE5" s="3660"/>
      <c r="BF5" s="3660"/>
      <c r="BG5" s="3660"/>
      <c r="BH5" s="3660"/>
      <c r="BI5" s="3660"/>
      <c r="BJ5" s="3660"/>
      <c r="BK5" s="3660"/>
      <c r="BL5" s="3660"/>
      <c r="BM5" s="3660"/>
      <c r="BN5" s="3660"/>
      <c r="BO5" s="3660"/>
      <c r="BP5" s="3660"/>
      <c r="BQ5" s="3660"/>
      <c r="BR5" s="3660"/>
      <c r="BS5" s="3660"/>
      <c r="GC5" s="1762">
        <v>26</v>
      </c>
    </row>
    <row r="6" spans="2:185" s="1986" customFormat="1" ht="18.75" customHeight="1">
      <c r="B6" s="870"/>
      <c r="E6" s="872"/>
      <c r="F6" s="3702" t="str">
        <f>IF(org=0,"Не определено",org)</f>
        <v>ООО "Смоленскрегионтеплоэнерго"</v>
      </c>
      <c r="G6" s="3703"/>
      <c r="H6" s="3703"/>
      <c r="I6" s="3703"/>
      <c r="J6" s="3703"/>
      <c r="K6" s="3703"/>
      <c r="L6" s="3703"/>
      <c r="M6" s="3703"/>
      <c r="N6" s="3703"/>
      <c r="O6" s="3703"/>
      <c r="P6" s="3703"/>
      <c r="Q6" s="3703"/>
      <c r="R6" s="3703"/>
      <c r="S6" s="3703"/>
      <c r="T6" s="3703"/>
      <c r="U6" s="3703"/>
      <c r="V6" s="3703"/>
      <c r="W6" s="3703"/>
      <c r="X6" s="3703"/>
      <c r="Y6" s="3703"/>
      <c r="Z6" s="3703"/>
      <c r="AA6" s="3703"/>
      <c r="AB6" s="3703"/>
      <c r="AC6" s="3703"/>
      <c r="AD6" s="3703"/>
      <c r="AE6" s="3703"/>
      <c r="AF6" s="3703"/>
      <c r="AG6" s="3703"/>
      <c r="AH6" s="3703"/>
      <c r="AI6" s="3703"/>
      <c r="AJ6" s="3703"/>
      <c r="AK6" s="3703"/>
      <c r="AL6" s="3703"/>
      <c r="AM6" s="3703"/>
      <c r="AN6" s="3703"/>
      <c r="AO6" s="3703"/>
      <c r="AP6" s="3703"/>
      <c r="AQ6" s="3703"/>
      <c r="AR6" s="3703"/>
      <c r="AS6" s="3703"/>
      <c r="AT6" s="3703"/>
      <c r="AU6" s="3703"/>
      <c r="AV6" s="3703"/>
      <c r="AW6" s="3703"/>
      <c r="AX6" s="3703"/>
      <c r="AY6" s="3703"/>
      <c r="AZ6" s="3703"/>
      <c r="BA6" s="3703"/>
      <c r="BB6" s="3703"/>
      <c r="BC6" s="3703"/>
      <c r="BD6" s="3703"/>
      <c r="BE6" s="3703"/>
      <c r="BF6" s="3703"/>
      <c r="BG6" s="3703"/>
      <c r="BH6" s="3703"/>
      <c r="BI6" s="3703"/>
      <c r="BJ6" s="3703"/>
      <c r="BK6" s="3703"/>
      <c r="BL6" s="3703"/>
      <c r="BM6" s="3703"/>
      <c r="BN6" s="3703"/>
      <c r="BO6" s="3703"/>
      <c r="BP6" s="3703"/>
      <c r="BQ6" s="3703"/>
      <c r="BR6" s="3703"/>
      <c r="BS6" s="3703"/>
      <c r="GC6" s="871">
        <v>18</v>
      </c>
    </row>
    <row r="7" spans="2:185" s="860" customFormat="1" ht="10.5" customHeight="1">
      <c r="B7" s="859"/>
      <c r="G7" s="862"/>
      <c r="H7" s="856"/>
      <c r="I7" s="856"/>
      <c r="J7" s="856"/>
      <c r="K7" s="856"/>
      <c r="L7" s="856"/>
      <c r="GC7" s="858">
        <v>10</v>
      </c>
    </row>
    <row r="8" spans="2:185" s="860" customFormat="1" ht="11.25" hidden="1" customHeight="1">
      <c r="B8" s="861"/>
      <c r="F8" s="982"/>
      <c r="G8" s="695"/>
      <c r="H8" s="294"/>
      <c r="I8" s="294"/>
      <c r="J8" s="294"/>
      <c r="K8" s="294"/>
      <c r="L8" s="294"/>
      <c r="M8" s="982"/>
      <c r="N8" s="982"/>
      <c r="O8" s="3936" t="s">
        <v>1590</v>
      </c>
      <c r="P8" s="3937"/>
      <c r="Q8" s="3937"/>
      <c r="R8" s="3937"/>
      <c r="S8" s="3937"/>
      <c r="T8" s="3937"/>
      <c r="U8" s="3937"/>
      <c r="V8" s="3937"/>
      <c r="W8" s="3937"/>
      <c r="X8" s="3937"/>
      <c r="Y8" s="3937"/>
      <c r="Z8" s="3937"/>
      <c r="AA8" s="3937"/>
      <c r="AB8" s="3937"/>
      <c r="AC8" s="3937"/>
      <c r="AD8" s="3937"/>
      <c r="AE8" s="3937"/>
      <c r="AF8" s="3937"/>
      <c r="AG8" s="3937"/>
      <c r="AH8" s="3937"/>
      <c r="AI8" s="3937"/>
      <c r="AJ8" s="3937"/>
      <c r="AK8" s="3937"/>
      <c r="AL8" s="3937"/>
      <c r="AM8" s="3937"/>
      <c r="AN8" s="3937"/>
      <c r="AO8" s="3937"/>
      <c r="AP8" s="3937"/>
      <c r="AQ8" s="3937"/>
      <c r="AR8" s="3937"/>
      <c r="AS8" s="3937"/>
      <c r="AT8" s="3937"/>
      <c r="AU8" s="3937"/>
      <c r="AV8" s="3937"/>
      <c r="AW8" s="3937"/>
      <c r="AX8" s="3937"/>
      <c r="AY8" s="3937"/>
      <c r="AZ8" s="3937"/>
      <c r="BA8" s="3937"/>
      <c r="BB8" s="3937"/>
      <c r="BC8" s="3937"/>
      <c r="BD8" s="3937"/>
      <c r="BE8" s="3937"/>
      <c r="BF8" s="3937"/>
      <c r="BG8" s="3937"/>
      <c r="BH8" s="3937"/>
      <c r="BI8" s="3937"/>
      <c r="BJ8" s="3937"/>
      <c r="BK8" s="3937"/>
      <c r="BL8" s="3937"/>
      <c r="BM8" s="3937"/>
      <c r="BN8" s="3937"/>
      <c r="BO8" s="3937"/>
      <c r="BP8" s="3937"/>
      <c r="BQ8" s="3937"/>
      <c r="BR8" s="3937"/>
      <c r="BS8" s="3938"/>
      <c r="BT8" s="3925"/>
      <c r="BU8" s="3926"/>
      <c r="BV8" s="3926"/>
      <c r="BW8" s="3926"/>
      <c r="BX8" s="3926"/>
      <c r="BY8" s="3926"/>
      <c r="BZ8" s="3926"/>
      <c r="CA8" s="3926"/>
      <c r="CB8" s="3926"/>
      <c r="CC8" s="3926"/>
      <c r="CD8" s="3926"/>
      <c r="CE8" s="3926"/>
      <c r="CF8" s="3926"/>
      <c r="CG8" s="3926"/>
      <c r="CH8" s="3926"/>
      <c r="CI8" s="3926"/>
      <c r="CJ8" s="3926"/>
      <c r="CK8" s="3926"/>
      <c r="CL8" s="3926"/>
      <c r="CM8" s="3926"/>
      <c r="CN8" s="3926"/>
      <c r="CO8" s="3926"/>
      <c r="CP8" s="3926"/>
      <c r="CQ8" s="3926"/>
      <c r="CR8" s="3926"/>
      <c r="CS8" s="3926"/>
      <c r="CT8" s="3926"/>
      <c r="CU8" s="3926"/>
      <c r="CV8" s="3926"/>
      <c r="CW8" s="3926"/>
      <c r="CX8" s="3927"/>
      <c r="CY8" s="3928"/>
      <c r="CZ8" s="3929"/>
      <c r="DA8" s="3929"/>
      <c r="DB8" s="3929"/>
      <c r="DC8" s="3929"/>
      <c r="DD8" s="3929"/>
      <c r="DE8" s="3929"/>
      <c r="DF8" s="3929"/>
      <c r="DG8" s="3929"/>
      <c r="DH8" s="3929"/>
      <c r="DI8" s="3929"/>
      <c r="DJ8" s="3929"/>
      <c r="DK8" s="3929"/>
      <c r="DL8" s="3929"/>
      <c r="DM8" s="3929"/>
      <c r="DN8" s="3929"/>
      <c r="DO8" s="3929"/>
      <c r="DP8" s="3929"/>
      <c r="DQ8" s="3929"/>
      <c r="DR8" s="3929"/>
      <c r="DS8" s="3929"/>
      <c r="DT8" s="3929"/>
      <c r="DU8" s="3929"/>
      <c r="DV8" s="3929"/>
      <c r="DW8" s="3929"/>
      <c r="DX8" s="3930"/>
      <c r="DY8" s="3931" t="s">
        <v>1591</v>
      </c>
      <c r="DZ8" s="3932"/>
      <c r="EA8" s="3932"/>
      <c r="EB8" s="3932"/>
      <c r="EC8" s="3932"/>
      <c r="ED8" s="3932"/>
      <c r="EE8" s="3932"/>
      <c r="EF8" s="3932"/>
      <c r="EG8" s="3932"/>
      <c r="EH8" s="3932"/>
      <c r="EI8" s="3932"/>
      <c r="EJ8" s="3932"/>
      <c r="EK8" s="3932"/>
      <c r="EL8" s="3932"/>
      <c r="EM8" s="3932"/>
      <c r="EN8" s="3932"/>
      <c r="EO8" s="3932"/>
      <c r="EP8" s="3932"/>
      <c r="EQ8" s="3932"/>
      <c r="ER8" s="3932"/>
      <c r="ES8" s="3932"/>
      <c r="ET8" s="3932"/>
      <c r="EU8" s="3932"/>
      <c r="EV8" s="3932"/>
      <c r="EW8" s="3932"/>
      <c r="EX8" s="3932"/>
      <c r="EY8" s="3932"/>
      <c r="EZ8" s="3932"/>
      <c r="FA8" s="3932"/>
      <c r="FB8" s="3932"/>
      <c r="FC8" s="3932"/>
      <c r="FD8" s="3932"/>
      <c r="FE8" s="3932"/>
      <c r="FF8" s="3932"/>
      <c r="FG8" s="3932"/>
      <c r="FH8" s="3932"/>
      <c r="FI8" s="3932"/>
      <c r="FJ8" s="3932"/>
      <c r="FK8" s="3932"/>
      <c r="FL8" s="3932"/>
      <c r="FM8" s="3932"/>
      <c r="FN8" s="3932"/>
      <c r="FO8" s="3932"/>
      <c r="FP8" s="3932"/>
      <c r="FQ8" s="3932"/>
      <c r="FR8" s="3932"/>
      <c r="FS8" s="3932"/>
      <c r="FT8" s="3932"/>
      <c r="FU8" s="3932"/>
      <c r="FV8" s="3932"/>
      <c r="FW8" s="3933"/>
      <c r="FX8" s="982"/>
      <c r="GC8" s="860">
        <v>0</v>
      </c>
    </row>
    <row r="9" spans="2:185" s="860" customFormat="1" ht="11.25" hidden="1" customHeight="1">
      <c r="B9" s="861"/>
      <c r="F9" s="982"/>
      <c r="G9" s="695"/>
      <c r="H9" s="294"/>
      <c r="I9" s="294"/>
      <c r="J9" s="294"/>
      <c r="K9" s="294"/>
      <c r="L9" s="294"/>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c r="CN9" s="982"/>
      <c r="CO9" s="982"/>
      <c r="CP9" s="982"/>
      <c r="CQ9" s="982"/>
      <c r="CR9" s="982"/>
      <c r="CS9" s="982"/>
      <c r="CT9" s="982"/>
      <c r="CU9" s="982"/>
      <c r="CV9" s="982"/>
      <c r="CW9" s="982"/>
      <c r="CX9" s="982"/>
      <c r="CY9" s="982"/>
      <c r="CZ9" s="982"/>
      <c r="DA9" s="982"/>
      <c r="DB9" s="982"/>
      <c r="DC9" s="982"/>
      <c r="DD9" s="982"/>
      <c r="DE9" s="982"/>
      <c r="DF9" s="982"/>
      <c r="DG9" s="982"/>
      <c r="DH9" s="982"/>
      <c r="DI9" s="982"/>
      <c r="DJ9" s="982"/>
      <c r="DK9" s="982"/>
      <c r="DL9" s="982"/>
      <c r="DM9" s="982"/>
      <c r="DN9" s="982"/>
      <c r="DO9" s="982"/>
      <c r="DP9" s="982"/>
      <c r="DQ9" s="982"/>
      <c r="DR9" s="982"/>
      <c r="DS9" s="982"/>
      <c r="DT9" s="982"/>
      <c r="DU9" s="982"/>
      <c r="DV9" s="982"/>
      <c r="DW9" s="982"/>
      <c r="DX9" s="982"/>
      <c r="DY9" s="982"/>
      <c r="DZ9" s="982"/>
      <c r="EA9" s="982"/>
      <c r="EB9" s="982"/>
      <c r="EC9" s="982"/>
      <c r="ED9" s="982"/>
      <c r="EE9" s="982"/>
      <c r="EF9" s="982"/>
      <c r="EG9" s="982"/>
      <c r="EH9" s="982"/>
      <c r="EI9" s="982"/>
      <c r="EJ9" s="982"/>
      <c r="EK9" s="982"/>
      <c r="EL9" s="982"/>
      <c r="EM9" s="982"/>
      <c r="EN9" s="982"/>
      <c r="EO9" s="982"/>
      <c r="EP9" s="982"/>
      <c r="EQ9" s="982"/>
      <c r="ER9" s="982"/>
      <c r="ES9" s="982"/>
      <c r="ET9" s="982"/>
      <c r="EU9" s="982"/>
      <c r="EV9" s="982"/>
      <c r="EW9" s="982"/>
      <c r="EX9" s="982"/>
      <c r="EY9" s="982"/>
      <c r="EZ9" s="982"/>
      <c r="FA9" s="982"/>
      <c r="FB9" s="982"/>
      <c r="FC9" s="982"/>
      <c r="FD9" s="982"/>
      <c r="FE9" s="982"/>
      <c r="FF9" s="982"/>
      <c r="FG9" s="982"/>
      <c r="FH9" s="982"/>
      <c r="FI9" s="982"/>
      <c r="FJ9" s="982"/>
      <c r="FK9" s="982"/>
      <c r="FL9" s="982"/>
      <c r="FM9" s="982"/>
      <c r="FN9" s="982"/>
      <c r="FO9" s="982"/>
      <c r="FP9" s="982"/>
      <c r="FQ9" s="982"/>
      <c r="FR9" s="982"/>
      <c r="FS9" s="982"/>
      <c r="FT9" s="982"/>
      <c r="FU9" s="982"/>
      <c r="FV9" s="982"/>
      <c r="FW9" s="3934"/>
      <c r="FX9" s="982"/>
      <c r="GC9" s="860">
        <v>0</v>
      </c>
    </row>
    <row r="10" spans="2:185" s="860" customFormat="1" ht="11.45" customHeight="1">
      <c r="B10" s="861"/>
      <c r="F10" s="3870" t="s">
        <v>345</v>
      </c>
      <c r="G10" s="3919"/>
      <c r="H10" s="3919"/>
      <c r="I10" s="3919"/>
      <c r="J10" s="3919"/>
      <c r="K10" s="3919"/>
      <c r="L10" s="3919"/>
      <c r="M10" s="3919"/>
      <c r="N10" s="3919"/>
      <c r="O10" s="3919"/>
      <c r="P10" s="3919"/>
      <c r="Q10" s="3919"/>
      <c r="R10" s="3919"/>
      <c r="S10" s="3919"/>
      <c r="T10" s="3919"/>
      <c r="U10" s="3919"/>
      <c r="V10" s="3919"/>
      <c r="W10" s="3919"/>
      <c r="X10" s="3919"/>
      <c r="Y10" s="3919"/>
      <c r="Z10" s="3919"/>
      <c r="AA10" s="3919"/>
      <c r="AB10" s="3919"/>
      <c r="AC10" s="3919"/>
      <c r="AD10" s="3919"/>
      <c r="AE10" s="3919"/>
      <c r="AF10" s="3919"/>
      <c r="AG10" s="3919"/>
      <c r="AH10" s="3919"/>
      <c r="AI10" s="3919"/>
      <c r="AJ10" s="3919"/>
      <c r="AK10" s="3919"/>
      <c r="AL10" s="3919"/>
      <c r="AM10" s="3919"/>
      <c r="AN10" s="3919"/>
      <c r="AO10" s="3919"/>
      <c r="AP10" s="3919"/>
      <c r="AQ10" s="3919"/>
      <c r="AR10" s="3919"/>
      <c r="AS10" s="3919"/>
      <c r="AT10" s="3919"/>
      <c r="AU10" s="3919"/>
      <c r="AV10" s="3919"/>
      <c r="AW10" s="3919"/>
      <c r="AX10" s="3919"/>
      <c r="AY10" s="3919"/>
      <c r="AZ10" s="3919"/>
      <c r="BA10" s="3919"/>
      <c r="BB10" s="3919"/>
      <c r="BC10" s="3919"/>
      <c r="BD10" s="3919"/>
      <c r="BE10" s="3919"/>
      <c r="BF10" s="3919"/>
      <c r="BG10" s="3919"/>
      <c r="BH10" s="3919"/>
      <c r="BI10" s="3919"/>
      <c r="BJ10" s="3919"/>
      <c r="BK10" s="3919"/>
      <c r="BL10" s="3919"/>
      <c r="BM10" s="3919"/>
      <c r="BN10" s="3919"/>
      <c r="BO10" s="3919"/>
      <c r="BP10" s="3919"/>
      <c r="BQ10" s="3919"/>
      <c r="BR10" s="3919"/>
      <c r="BS10" s="3919"/>
      <c r="BT10" s="3919"/>
      <c r="BU10" s="3919"/>
      <c r="BV10" s="3919"/>
      <c r="BW10" s="3919"/>
      <c r="BX10" s="3919"/>
      <c r="BY10" s="3919"/>
      <c r="BZ10" s="3919"/>
      <c r="CA10" s="3919"/>
      <c r="CB10" s="3919"/>
      <c r="CC10" s="3919"/>
      <c r="CD10" s="3919"/>
      <c r="CE10" s="3919"/>
      <c r="CF10" s="3919"/>
      <c r="CG10" s="3919"/>
      <c r="CH10" s="3919"/>
      <c r="CI10" s="3919"/>
      <c r="CJ10" s="3919"/>
      <c r="CK10" s="3919"/>
      <c r="CL10" s="3919"/>
      <c r="CM10" s="3919"/>
      <c r="CN10" s="3919"/>
      <c r="CO10" s="3919"/>
      <c r="CP10" s="3919"/>
      <c r="CQ10" s="3919"/>
      <c r="CR10" s="3919"/>
      <c r="CS10" s="3919"/>
      <c r="CT10" s="3919"/>
      <c r="CU10" s="3919"/>
      <c r="CV10" s="3919"/>
      <c r="CW10" s="3919"/>
      <c r="CX10" s="3919"/>
      <c r="CY10" s="3919"/>
      <c r="CZ10" s="3919"/>
      <c r="DA10" s="3919"/>
      <c r="DB10" s="3919"/>
      <c r="DC10" s="3919"/>
      <c r="DD10" s="3919"/>
      <c r="DE10" s="3919"/>
      <c r="DF10" s="3919"/>
      <c r="DG10" s="3919"/>
      <c r="DH10" s="3919"/>
      <c r="DI10" s="3919"/>
      <c r="DJ10" s="3919"/>
      <c r="DK10" s="3919"/>
      <c r="DL10" s="3919"/>
      <c r="DM10" s="3919"/>
      <c r="DN10" s="3919"/>
      <c r="DO10" s="3919"/>
      <c r="DP10" s="3919"/>
      <c r="DQ10" s="3919"/>
      <c r="DR10" s="3919"/>
      <c r="DS10" s="3919"/>
      <c r="DT10" s="3919"/>
      <c r="DU10" s="3919"/>
      <c r="DV10" s="3919"/>
      <c r="DW10" s="3919"/>
      <c r="DX10" s="3919"/>
      <c r="DY10" s="3919"/>
      <c r="DZ10" s="3919"/>
      <c r="EA10" s="3919"/>
      <c r="EB10" s="3919"/>
      <c r="EC10" s="3919"/>
      <c r="ED10" s="3919"/>
      <c r="EE10" s="3919"/>
      <c r="EF10" s="3919"/>
      <c r="EG10" s="3919"/>
      <c r="EH10" s="3919"/>
      <c r="EI10" s="3919"/>
      <c r="EJ10" s="3919"/>
      <c r="EK10" s="3919"/>
      <c r="EL10" s="3919"/>
      <c r="EM10" s="3919"/>
      <c r="EN10" s="3919"/>
      <c r="EO10" s="3919"/>
      <c r="EP10" s="3919"/>
      <c r="EQ10" s="3919"/>
      <c r="ER10" s="3919"/>
      <c r="ES10" s="3919"/>
      <c r="ET10" s="3919"/>
      <c r="EU10" s="3919"/>
      <c r="EV10" s="3919"/>
      <c r="EW10" s="3919"/>
      <c r="EX10" s="3919"/>
      <c r="EY10" s="3919"/>
      <c r="EZ10" s="3919"/>
      <c r="FA10" s="3919"/>
      <c r="FB10" s="3919"/>
      <c r="FC10" s="3919"/>
      <c r="FD10" s="3919"/>
      <c r="FE10" s="3919"/>
      <c r="FF10" s="3919"/>
      <c r="FG10" s="3919"/>
      <c r="FH10" s="3919"/>
      <c r="FI10" s="3919"/>
      <c r="FJ10" s="3919"/>
      <c r="FK10" s="3919"/>
      <c r="FL10" s="3919"/>
      <c r="FM10" s="3919"/>
      <c r="FN10" s="3919"/>
      <c r="FO10" s="3919"/>
      <c r="FP10" s="3919"/>
      <c r="FQ10" s="3919"/>
      <c r="FR10" s="3919"/>
      <c r="FS10" s="3919"/>
      <c r="FT10" s="3919"/>
      <c r="FU10" s="3919"/>
      <c r="FV10" s="3885"/>
      <c r="FW10" s="3934"/>
      <c r="FX10" s="982"/>
      <c r="GC10" s="860">
        <v>11</v>
      </c>
    </row>
    <row r="11" spans="2:185" ht="12.75" customHeight="1">
      <c r="E11" s="864"/>
      <c r="F11" s="3693" t="s">
        <v>76</v>
      </c>
      <c r="G11" s="3693" t="s">
        <v>1592</v>
      </c>
      <c r="H11" s="3693" t="s">
        <v>1593</v>
      </c>
      <c r="I11" s="3693" t="s">
        <v>1594</v>
      </c>
      <c r="J11" s="3924"/>
      <c r="K11" s="3924"/>
      <c r="L11" s="3924"/>
      <c r="M11" s="3924"/>
      <c r="N11" s="3924"/>
      <c r="O11" s="3697" t="s">
        <v>1595</v>
      </c>
      <c r="P11" s="3697"/>
      <c r="Q11" s="3697"/>
      <c r="R11" s="3697"/>
      <c r="S11" s="3697"/>
      <c r="T11" s="3697"/>
      <c r="U11" s="3697"/>
      <c r="V11" s="3697"/>
      <c r="W11" s="3697"/>
      <c r="X11" s="3697"/>
      <c r="Y11" s="3697"/>
      <c r="Z11" s="3697"/>
      <c r="AA11" s="3697"/>
      <c r="AB11" s="3697"/>
      <c r="AC11" s="3922"/>
      <c r="AD11" s="3922"/>
      <c r="AE11" s="3922"/>
      <c r="AF11" s="3922"/>
      <c r="AG11" s="3922"/>
      <c r="AH11" s="3922"/>
      <c r="AI11" s="3922"/>
      <c r="AJ11" s="3922"/>
      <c r="AK11" s="3922"/>
      <c r="AL11" s="3922"/>
      <c r="AM11" s="3922"/>
      <c r="AN11" s="3922"/>
      <c r="AO11" s="3922"/>
      <c r="AP11" s="3922"/>
      <c r="AQ11" s="3922"/>
      <c r="AR11" s="3922"/>
      <c r="AS11" s="3922"/>
      <c r="AT11" s="3922"/>
      <c r="AU11" s="3922"/>
      <c r="AV11" s="3922"/>
      <c r="AW11" s="3922"/>
      <c r="AX11" s="3922"/>
      <c r="AY11" s="3922"/>
      <c r="AZ11" s="3922"/>
      <c r="BA11" s="3922"/>
      <c r="BB11" s="3922"/>
      <c r="BC11" s="3922"/>
      <c r="BD11" s="3922"/>
      <c r="BE11" s="3922"/>
      <c r="BF11" s="3922"/>
      <c r="BG11" s="3922"/>
      <c r="BH11" s="3922"/>
      <c r="BI11" s="3922"/>
      <c r="BJ11" s="3922"/>
      <c r="BK11" s="3922"/>
      <c r="BL11" s="3922"/>
      <c r="BM11" s="3922"/>
      <c r="BN11" s="3922"/>
      <c r="BO11" s="3922"/>
      <c r="BP11" s="3922"/>
      <c r="BQ11" s="3922"/>
      <c r="BR11" s="3922"/>
      <c r="BS11" s="3939"/>
      <c r="BT11" s="3840" t="s">
        <v>1595</v>
      </c>
      <c r="BU11" s="3841"/>
      <c r="BV11" s="3841"/>
      <c r="BW11" s="3841"/>
      <c r="BX11" s="3841"/>
      <c r="BY11" s="3841"/>
      <c r="BZ11" s="3841"/>
      <c r="CA11" s="3841"/>
      <c r="CB11" s="3841"/>
      <c r="CC11" s="3841"/>
      <c r="CD11" s="3841"/>
      <c r="CE11" s="3841"/>
      <c r="CF11" s="3841"/>
      <c r="CG11" s="3841"/>
      <c r="CH11" s="3841"/>
      <c r="CI11" s="3841"/>
      <c r="CJ11" s="3841"/>
      <c r="CK11" s="3921"/>
      <c r="CL11" s="3923"/>
      <c r="CM11" s="3922"/>
      <c r="CN11" s="3922"/>
      <c r="CO11" s="3922"/>
      <c r="CP11" s="3922"/>
      <c r="CQ11" s="3922"/>
      <c r="CR11" s="3922"/>
      <c r="CS11" s="3922"/>
      <c r="CT11" s="3922"/>
      <c r="CU11" s="3922"/>
      <c r="CV11" s="3922"/>
      <c r="CW11" s="3922"/>
      <c r="CX11" s="3939"/>
      <c r="CY11" s="3840" t="s">
        <v>1595</v>
      </c>
      <c r="CZ11" s="3841"/>
      <c r="DA11" s="3841"/>
      <c r="DB11" s="3841"/>
      <c r="DC11" s="3841"/>
      <c r="DD11" s="3841"/>
      <c r="DE11" s="3841"/>
      <c r="DF11" s="3841"/>
      <c r="DG11" s="3841"/>
      <c r="DH11" s="3841"/>
      <c r="DI11" s="3841"/>
      <c r="DJ11" s="3921"/>
      <c r="DK11" s="3923"/>
      <c r="DL11" s="3922"/>
      <c r="DM11" s="3922"/>
      <c r="DN11" s="3922"/>
      <c r="DO11" s="3922"/>
      <c r="DP11" s="3922"/>
      <c r="DQ11" s="3922"/>
      <c r="DR11" s="3922"/>
      <c r="DS11" s="3922"/>
      <c r="DT11" s="3922"/>
      <c r="DU11" s="3922"/>
      <c r="DV11" s="3922"/>
      <c r="DW11" s="3922"/>
      <c r="DX11" s="3922"/>
      <c r="DY11" s="3922"/>
      <c r="DZ11" s="3922"/>
      <c r="EA11" s="3922"/>
      <c r="EB11" s="3922"/>
      <c r="EC11" s="3922"/>
      <c r="ED11" s="3922"/>
      <c r="EE11" s="3922"/>
      <c r="EF11" s="3922"/>
      <c r="EG11" s="3922"/>
      <c r="EH11" s="3922"/>
      <c r="EI11" s="3922"/>
      <c r="EJ11" s="3922"/>
      <c r="EK11" s="3922"/>
      <c r="EL11" s="3922"/>
      <c r="EM11" s="3922"/>
      <c r="EN11" s="3922"/>
      <c r="EO11" s="3922"/>
      <c r="EP11" s="3922"/>
      <c r="EQ11" s="3922"/>
      <c r="ER11" s="3922"/>
      <c r="ES11" s="3922"/>
      <c r="ET11" s="3922"/>
      <c r="EU11" s="3922"/>
      <c r="EV11" s="3922"/>
      <c r="EW11" s="3922"/>
      <c r="EX11" s="3922"/>
      <c r="EY11" s="3922"/>
      <c r="EZ11" s="3922"/>
      <c r="FA11" s="3922"/>
      <c r="FB11" s="3922"/>
      <c r="FC11" s="3922"/>
      <c r="FD11" s="3922"/>
      <c r="FE11" s="3922"/>
      <c r="FF11" s="3922"/>
      <c r="FG11" s="3922"/>
      <c r="FH11" s="3922"/>
      <c r="FI11" s="3922"/>
      <c r="FJ11" s="3922"/>
      <c r="FK11" s="3922"/>
      <c r="FL11" s="3922"/>
      <c r="FM11" s="3922"/>
      <c r="FN11" s="3922"/>
      <c r="FO11" s="3922"/>
      <c r="FP11" s="3922"/>
      <c r="FQ11" s="3922"/>
      <c r="FR11" s="3922"/>
      <c r="FS11" s="3922"/>
      <c r="FT11" s="3922"/>
      <c r="FU11" s="3922"/>
      <c r="FV11" s="3922"/>
      <c r="FW11" s="3934"/>
      <c r="FX11" s="694"/>
      <c r="GC11" s="853">
        <v>12</v>
      </c>
    </row>
    <row r="12" spans="2:185" ht="12.75" customHeight="1">
      <c r="D12" s="865"/>
      <c r="E12" s="864"/>
      <c r="F12" s="3693"/>
      <c r="G12" s="3693"/>
      <c r="H12" s="3693"/>
      <c r="I12" s="3693"/>
      <c r="J12" s="3924"/>
      <c r="K12" s="3924"/>
      <c r="L12" s="3924"/>
      <c r="M12" s="3924"/>
      <c r="N12" s="3924"/>
      <c r="O12" s="3697" t="s">
        <v>1596</v>
      </c>
      <c r="P12" s="3697"/>
      <c r="Q12" s="3697"/>
      <c r="R12" s="3697"/>
      <c r="S12" s="3697" t="s">
        <v>1597</v>
      </c>
      <c r="T12" s="3697"/>
      <c r="U12" s="3697"/>
      <c r="V12" s="3697"/>
      <c r="W12" s="3697"/>
      <c r="X12" s="3697"/>
      <c r="Y12" s="3697"/>
      <c r="Z12" s="3697"/>
      <c r="AA12" s="3697"/>
      <c r="AB12" s="3697"/>
      <c r="AC12" s="3922"/>
      <c r="AD12" s="3922"/>
      <c r="AE12" s="3922"/>
      <c r="AF12" s="3922"/>
      <c r="AG12" s="3922"/>
      <c r="AH12" s="3922"/>
      <c r="AI12" s="3922"/>
      <c r="AJ12" s="3922"/>
      <c r="AK12" s="3922"/>
      <c r="AL12" s="3922"/>
      <c r="AM12" s="3922"/>
      <c r="AN12" s="3922"/>
      <c r="AO12" s="3922"/>
      <c r="AP12" s="3922"/>
      <c r="AQ12" s="3922"/>
      <c r="AR12" s="3922"/>
      <c r="AS12" s="3922"/>
      <c r="AT12" s="3922"/>
      <c r="AU12" s="3922"/>
      <c r="AV12" s="3922"/>
      <c r="AW12" s="3922"/>
      <c r="AX12" s="3922"/>
      <c r="AY12" s="3922"/>
      <c r="AZ12" s="3922"/>
      <c r="BA12" s="3922"/>
      <c r="BB12" s="3922"/>
      <c r="BC12" s="3922"/>
      <c r="BD12" s="3922"/>
      <c r="BE12" s="3922"/>
      <c r="BF12" s="3922"/>
      <c r="BG12" s="3922"/>
      <c r="BH12" s="3922"/>
      <c r="BI12" s="3922"/>
      <c r="BJ12" s="3922"/>
      <c r="BK12" s="3922"/>
      <c r="BL12" s="3922"/>
      <c r="BM12" s="3922"/>
      <c r="BN12" s="3922"/>
      <c r="BO12" s="3922"/>
      <c r="BP12" s="3922"/>
      <c r="BQ12" s="3922"/>
      <c r="BR12" s="3922"/>
      <c r="BS12" s="3939"/>
      <c r="BT12" s="3840" t="s">
        <v>1598</v>
      </c>
      <c r="BU12" s="3841"/>
      <c r="BV12" s="3841"/>
      <c r="BW12" s="3921"/>
      <c r="BX12" s="3840" t="s">
        <v>1599</v>
      </c>
      <c r="BY12" s="3841"/>
      <c r="BZ12" s="3841"/>
      <c r="CA12" s="3921"/>
      <c r="CB12" s="3840" t="s">
        <v>1600</v>
      </c>
      <c r="CC12" s="3921"/>
      <c r="CD12" s="3840" t="s">
        <v>1601</v>
      </c>
      <c r="CE12" s="3841"/>
      <c r="CF12" s="3841"/>
      <c r="CG12" s="3841"/>
      <c r="CH12" s="3841"/>
      <c r="CI12" s="3841"/>
      <c r="CJ12" s="3841"/>
      <c r="CK12" s="3921"/>
      <c r="CL12" s="3923"/>
      <c r="CM12" s="3922"/>
      <c r="CN12" s="3922"/>
      <c r="CO12" s="3922"/>
      <c r="CP12" s="3922"/>
      <c r="CQ12" s="3922"/>
      <c r="CR12" s="3922"/>
      <c r="CS12" s="3922"/>
      <c r="CT12" s="3922"/>
      <c r="CU12" s="3922"/>
      <c r="CV12" s="3922"/>
      <c r="CW12" s="3922"/>
      <c r="CX12" s="3939"/>
      <c r="CY12" s="3840" t="s">
        <v>1602</v>
      </c>
      <c r="CZ12" s="3841"/>
      <c r="DA12" s="3841"/>
      <c r="DB12" s="3841"/>
      <c r="DC12" s="3841"/>
      <c r="DD12" s="3921"/>
      <c r="DE12" s="3840" t="s">
        <v>1603</v>
      </c>
      <c r="DF12" s="3921"/>
      <c r="DG12" s="3840" t="s">
        <v>1601</v>
      </c>
      <c r="DH12" s="3841"/>
      <c r="DI12" s="3841"/>
      <c r="DJ12" s="3921"/>
      <c r="DK12" s="3923"/>
      <c r="DL12" s="3922"/>
      <c r="DM12" s="3922"/>
      <c r="DN12" s="3922"/>
      <c r="DO12" s="3922"/>
      <c r="DP12" s="3922"/>
      <c r="DQ12" s="3922"/>
      <c r="DR12" s="3922"/>
      <c r="DS12" s="3922"/>
      <c r="DT12" s="3922"/>
      <c r="DU12" s="3922"/>
      <c r="DV12" s="3922"/>
      <c r="DW12" s="3922"/>
      <c r="DX12" s="3922"/>
      <c r="DY12" s="3922"/>
      <c r="DZ12" s="3922"/>
      <c r="EA12" s="3922"/>
      <c r="EB12" s="3922"/>
      <c r="EC12" s="3922"/>
      <c r="ED12" s="3922"/>
      <c r="EE12" s="3922"/>
      <c r="EF12" s="3922"/>
      <c r="EG12" s="3922"/>
      <c r="EH12" s="3922"/>
      <c r="EI12" s="3922"/>
      <c r="EJ12" s="3922"/>
      <c r="EK12" s="3922"/>
      <c r="EL12" s="3922"/>
      <c r="EM12" s="3922"/>
      <c r="EN12" s="3922"/>
      <c r="EO12" s="3922"/>
      <c r="EP12" s="3922"/>
      <c r="EQ12" s="3922"/>
      <c r="ER12" s="3922"/>
      <c r="ES12" s="3922"/>
      <c r="ET12" s="3922"/>
      <c r="EU12" s="3922"/>
      <c r="EV12" s="3922"/>
      <c r="EW12" s="3922"/>
      <c r="EX12" s="3922"/>
      <c r="EY12" s="3922"/>
      <c r="EZ12" s="3922"/>
      <c r="FA12" s="3922"/>
      <c r="FB12" s="3922"/>
      <c r="FC12" s="3922"/>
      <c r="FD12" s="3922"/>
      <c r="FE12" s="3922"/>
      <c r="FF12" s="3922"/>
      <c r="FG12" s="3922"/>
      <c r="FH12" s="3922"/>
      <c r="FI12" s="3922"/>
      <c r="FJ12" s="3922"/>
      <c r="FK12" s="3922"/>
      <c r="FL12" s="3922"/>
      <c r="FM12" s="3922"/>
      <c r="FN12" s="3922"/>
      <c r="FO12" s="3922"/>
      <c r="FP12" s="3922"/>
      <c r="FQ12" s="3922"/>
      <c r="FR12" s="3922"/>
      <c r="FS12" s="3922"/>
      <c r="FT12" s="3922"/>
      <c r="FU12" s="3922"/>
      <c r="FV12" s="3922"/>
      <c r="FW12" s="3934"/>
      <c r="FX12" s="694"/>
      <c r="GC12" s="853">
        <v>12</v>
      </c>
    </row>
    <row r="13" spans="2:185" ht="37.9" customHeight="1">
      <c r="D13" s="865"/>
      <c r="E13" s="864"/>
      <c r="F13" s="3693"/>
      <c r="G13" s="3693"/>
      <c r="H13" s="3693"/>
      <c r="I13" s="3693"/>
      <c r="J13" s="3924"/>
      <c r="K13" s="3924"/>
      <c r="L13" s="3924"/>
      <c r="M13" s="3924"/>
      <c r="N13" s="3924"/>
      <c r="O13" s="3697" t="s">
        <v>1604</v>
      </c>
      <c r="P13" s="3697"/>
      <c r="Q13" s="3697"/>
      <c r="R13" s="3697"/>
      <c r="S13" s="3790" t="s">
        <v>1605</v>
      </c>
      <c r="T13" s="3842"/>
      <c r="U13" s="3618" t="s">
        <v>1606</v>
      </c>
      <c r="V13" s="3618"/>
      <c r="W13" s="3618"/>
      <c r="X13" s="3618"/>
      <c r="Y13" s="3618" t="s">
        <v>1607</v>
      </c>
      <c r="Z13" s="3618"/>
      <c r="AA13" s="3618"/>
      <c r="AB13" s="3618"/>
      <c r="AC13" s="3922"/>
      <c r="AD13" s="3922"/>
      <c r="AE13" s="3922"/>
      <c r="AF13" s="3922"/>
      <c r="AG13" s="3922"/>
      <c r="AH13" s="3922"/>
      <c r="AI13" s="3922"/>
      <c r="AJ13" s="3922"/>
      <c r="AK13" s="3922"/>
      <c r="AL13" s="3922"/>
      <c r="AM13" s="3922"/>
      <c r="AN13" s="3922"/>
      <c r="AO13" s="3922"/>
      <c r="AP13" s="3922"/>
      <c r="AQ13" s="3922"/>
      <c r="AR13" s="3922"/>
      <c r="AS13" s="3922"/>
      <c r="AT13" s="3922"/>
      <c r="AU13" s="3922"/>
      <c r="AV13" s="3922"/>
      <c r="AW13" s="3922"/>
      <c r="AX13" s="3922"/>
      <c r="AY13" s="3922"/>
      <c r="AZ13" s="3922"/>
      <c r="BA13" s="3922"/>
      <c r="BB13" s="3922"/>
      <c r="BC13" s="3922"/>
      <c r="BD13" s="3922"/>
      <c r="BE13" s="3922"/>
      <c r="BF13" s="3922"/>
      <c r="BG13" s="3922"/>
      <c r="BH13" s="3922"/>
      <c r="BI13" s="3922"/>
      <c r="BJ13" s="3922"/>
      <c r="BK13" s="3922"/>
      <c r="BL13" s="3922"/>
      <c r="BM13" s="3922"/>
      <c r="BN13" s="3922"/>
      <c r="BO13" s="3922"/>
      <c r="BP13" s="3922"/>
      <c r="BQ13" s="3922"/>
      <c r="BR13" s="3922"/>
      <c r="BS13" s="3939"/>
      <c r="BT13" s="3790" t="s">
        <v>1608</v>
      </c>
      <c r="BU13" s="3842"/>
      <c r="BV13" s="3790" t="s">
        <v>1609</v>
      </c>
      <c r="BW13" s="3842"/>
      <c r="BX13" s="3790" t="s">
        <v>1610</v>
      </c>
      <c r="BY13" s="3842"/>
      <c r="BZ13" s="3790" t="s">
        <v>1611</v>
      </c>
      <c r="CA13" s="3842"/>
      <c r="CB13" s="3790" t="s">
        <v>1612</v>
      </c>
      <c r="CC13" s="3842"/>
      <c r="CD13" s="3790" t="s">
        <v>1613</v>
      </c>
      <c r="CE13" s="3842"/>
      <c r="CF13" s="3790" t="s">
        <v>1614</v>
      </c>
      <c r="CG13" s="3842"/>
      <c r="CH13" s="3840" t="s">
        <v>1615</v>
      </c>
      <c r="CI13" s="3841"/>
      <c r="CJ13" s="3841"/>
      <c r="CK13" s="3921"/>
      <c r="CL13" s="3923"/>
      <c r="CM13" s="3922"/>
      <c r="CN13" s="3922"/>
      <c r="CO13" s="3922"/>
      <c r="CP13" s="3922"/>
      <c r="CQ13" s="3922"/>
      <c r="CR13" s="3922"/>
      <c r="CS13" s="3922"/>
      <c r="CT13" s="3922"/>
      <c r="CU13" s="3922"/>
      <c r="CV13" s="3922"/>
      <c r="CW13" s="3922"/>
      <c r="CX13" s="3939"/>
      <c r="CY13" s="3790" t="s">
        <v>1616</v>
      </c>
      <c r="CZ13" s="3842"/>
      <c r="DA13" s="3790" t="s">
        <v>1617</v>
      </c>
      <c r="DB13" s="3842"/>
      <c r="DC13" s="3790" t="s">
        <v>1618</v>
      </c>
      <c r="DD13" s="3842"/>
      <c r="DE13" s="3790" t="s">
        <v>1619</v>
      </c>
      <c r="DF13" s="3842"/>
      <c r="DG13" s="3840" t="s">
        <v>1620</v>
      </c>
      <c r="DH13" s="3841"/>
      <c r="DI13" s="3841"/>
      <c r="DJ13" s="3921"/>
      <c r="DK13" s="3923"/>
      <c r="DL13" s="3922"/>
      <c r="DM13" s="3922"/>
      <c r="DN13" s="3922"/>
      <c r="DO13" s="3922"/>
      <c r="DP13" s="3922"/>
      <c r="DQ13" s="3922"/>
      <c r="DR13" s="3922"/>
      <c r="DS13" s="3922"/>
      <c r="DT13" s="3922"/>
      <c r="DU13" s="3922"/>
      <c r="DV13" s="3922"/>
      <c r="DW13" s="3922"/>
      <c r="DX13" s="3922"/>
      <c r="DY13" s="3922"/>
      <c r="DZ13" s="3922"/>
      <c r="EA13" s="3922"/>
      <c r="EB13" s="3922"/>
      <c r="EC13" s="3922"/>
      <c r="ED13" s="3922"/>
      <c r="EE13" s="3922"/>
      <c r="EF13" s="3922"/>
      <c r="EG13" s="3922"/>
      <c r="EH13" s="3922"/>
      <c r="EI13" s="3922"/>
      <c r="EJ13" s="3922"/>
      <c r="EK13" s="3922"/>
      <c r="EL13" s="3922"/>
      <c r="EM13" s="3922"/>
      <c r="EN13" s="3922"/>
      <c r="EO13" s="3922"/>
      <c r="EP13" s="3922"/>
      <c r="EQ13" s="3922"/>
      <c r="ER13" s="3922"/>
      <c r="ES13" s="3922"/>
      <c r="ET13" s="3922"/>
      <c r="EU13" s="3922"/>
      <c r="EV13" s="3922"/>
      <c r="EW13" s="3922"/>
      <c r="EX13" s="3922"/>
      <c r="EY13" s="3922"/>
      <c r="EZ13" s="3922"/>
      <c r="FA13" s="3922"/>
      <c r="FB13" s="3922"/>
      <c r="FC13" s="3922"/>
      <c r="FD13" s="3922"/>
      <c r="FE13" s="3922"/>
      <c r="FF13" s="3922"/>
      <c r="FG13" s="3922"/>
      <c r="FH13" s="3922"/>
      <c r="FI13" s="3922"/>
      <c r="FJ13" s="3922"/>
      <c r="FK13" s="3922"/>
      <c r="FL13" s="3922"/>
      <c r="FM13" s="3922"/>
      <c r="FN13" s="3922"/>
      <c r="FO13" s="3922"/>
      <c r="FP13" s="3922"/>
      <c r="FQ13" s="3922"/>
      <c r="FR13" s="3922"/>
      <c r="FS13" s="3922"/>
      <c r="FT13" s="3922"/>
      <c r="FU13" s="3922"/>
      <c r="FV13" s="3922"/>
      <c r="FW13" s="3934"/>
      <c r="FX13" s="694"/>
      <c r="GC13" s="853">
        <v>36</v>
      </c>
    </row>
    <row r="14" spans="2:185" ht="37.9" customHeight="1">
      <c r="D14" s="865"/>
      <c r="E14" s="864"/>
      <c r="F14" s="3693"/>
      <c r="G14" s="3693"/>
      <c r="H14" s="3693"/>
      <c r="I14" s="3693"/>
      <c r="J14" s="3924"/>
      <c r="K14" s="3924"/>
      <c r="L14" s="3924"/>
      <c r="M14" s="3924"/>
      <c r="N14" s="3924"/>
      <c r="O14" s="3790" t="s">
        <v>1621</v>
      </c>
      <c r="P14" s="3842"/>
      <c r="Q14" s="3790" t="s">
        <v>1622</v>
      </c>
      <c r="R14" s="3842"/>
      <c r="S14" s="3791"/>
      <c r="T14" s="3701"/>
      <c r="U14" s="3790" t="s">
        <v>1176</v>
      </c>
      <c r="V14" s="3842"/>
      <c r="W14" s="3790" t="s">
        <v>1179</v>
      </c>
      <c r="X14" s="3842"/>
      <c r="Y14" s="3790" t="s">
        <v>1176</v>
      </c>
      <c r="Z14" s="3842"/>
      <c r="AA14" s="3790" t="s">
        <v>1186</v>
      </c>
      <c r="AB14" s="3842"/>
      <c r="AC14" s="3922"/>
      <c r="AD14" s="3922"/>
      <c r="AE14" s="3922"/>
      <c r="AF14" s="3922"/>
      <c r="AG14" s="3922"/>
      <c r="AH14" s="3922"/>
      <c r="AI14" s="3922"/>
      <c r="AJ14" s="3922"/>
      <c r="AK14" s="3922"/>
      <c r="AL14" s="3922"/>
      <c r="AM14" s="3922"/>
      <c r="AN14" s="3922"/>
      <c r="AO14" s="3922"/>
      <c r="AP14" s="3922"/>
      <c r="AQ14" s="3922"/>
      <c r="AR14" s="3922"/>
      <c r="AS14" s="3922"/>
      <c r="AT14" s="3922"/>
      <c r="AU14" s="3922"/>
      <c r="AV14" s="3922"/>
      <c r="AW14" s="3922"/>
      <c r="AX14" s="3922"/>
      <c r="AY14" s="3922"/>
      <c r="AZ14" s="3922"/>
      <c r="BA14" s="3922"/>
      <c r="BB14" s="3922"/>
      <c r="BC14" s="3922"/>
      <c r="BD14" s="3922"/>
      <c r="BE14" s="3922"/>
      <c r="BF14" s="3922"/>
      <c r="BG14" s="3922"/>
      <c r="BH14" s="3922"/>
      <c r="BI14" s="3922"/>
      <c r="BJ14" s="3922"/>
      <c r="BK14" s="3922"/>
      <c r="BL14" s="3922"/>
      <c r="BM14" s="3922"/>
      <c r="BN14" s="3922"/>
      <c r="BO14" s="3922"/>
      <c r="BP14" s="3922"/>
      <c r="BQ14" s="3922"/>
      <c r="BR14" s="3922"/>
      <c r="BS14" s="3939"/>
      <c r="BT14" s="3791"/>
      <c r="BU14" s="3701"/>
      <c r="BV14" s="3791"/>
      <c r="BW14" s="3701"/>
      <c r="BX14" s="3791"/>
      <c r="BY14" s="3701"/>
      <c r="BZ14" s="3791"/>
      <c r="CA14" s="3701"/>
      <c r="CB14" s="3791"/>
      <c r="CC14" s="3701"/>
      <c r="CD14" s="3791"/>
      <c r="CE14" s="3701"/>
      <c r="CF14" s="3791"/>
      <c r="CG14" s="3701"/>
      <c r="CH14" s="3790" t="s">
        <v>1623</v>
      </c>
      <c r="CI14" s="3842"/>
      <c r="CJ14" s="3790" t="s">
        <v>1624</v>
      </c>
      <c r="CK14" s="3842"/>
      <c r="CL14" s="3923"/>
      <c r="CM14" s="3922"/>
      <c r="CN14" s="3922"/>
      <c r="CO14" s="3922"/>
      <c r="CP14" s="3922"/>
      <c r="CQ14" s="3922"/>
      <c r="CR14" s="3922"/>
      <c r="CS14" s="3922"/>
      <c r="CT14" s="3922"/>
      <c r="CU14" s="3922"/>
      <c r="CV14" s="3922"/>
      <c r="CW14" s="3922"/>
      <c r="CX14" s="3939"/>
      <c r="CY14" s="3791"/>
      <c r="CZ14" s="3701"/>
      <c r="DA14" s="3791"/>
      <c r="DB14" s="3701"/>
      <c r="DC14" s="3791"/>
      <c r="DD14" s="3701"/>
      <c r="DE14" s="3791"/>
      <c r="DF14" s="3701"/>
      <c r="DG14" s="3790" t="s">
        <v>1625</v>
      </c>
      <c r="DH14" s="3842"/>
      <c r="DI14" s="3790" t="s">
        <v>1626</v>
      </c>
      <c r="DJ14" s="3842"/>
      <c r="DK14" s="3923"/>
      <c r="DL14" s="3922"/>
      <c r="DM14" s="3922"/>
      <c r="DN14" s="3922"/>
      <c r="DO14" s="3922"/>
      <c r="DP14" s="3922"/>
      <c r="DQ14" s="3922"/>
      <c r="DR14" s="3922"/>
      <c r="DS14" s="3922"/>
      <c r="DT14" s="3922"/>
      <c r="DU14" s="3922"/>
      <c r="DV14" s="3922"/>
      <c r="DW14" s="3922"/>
      <c r="DX14" s="3922"/>
      <c r="DY14" s="3922"/>
      <c r="DZ14" s="3922"/>
      <c r="EA14" s="3922"/>
      <c r="EB14" s="3922"/>
      <c r="EC14" s="3922"/>
      <c r="ED14" s="3922"/>
      <c r="EE14" s="3922"/>
      <c r="EF14" s="3922"/>
      <c r="EG14" s="3922"/>
      <c r="EH14" s="3922"/>
      <c r="EI14" s="3922"/>
      <c r="EJ14" s="3922"/>
      <c r="EK14" s="3922"/>
      <c r="EL14" s="3922"/>
      <c r="EM14" s="3922"/>
      <c r="EN14" s="3922"/>
      <c r="EO14" s="3922"/>
      <c r="EP14" s="3922"/>
      <c r="EQ14" s="3922"/>
      <c r="ER14" s="3922"/>
      <c r="ES14" s="3922"/>
      <c r="ET14" s="3922"/>
      <c r="EU14" s="3922"/>
      <c r="EV14" s="3922"/>
      <c r="EW14" s="3922"/>
      <c r="EX14" s="3922"/>
      <c r="EY14" s="3922"/>
      <c r="EZ14" s="3922"/>
      <c r="FA14" s="3922"/>
      <c r="FB14" s="3922"/>
      <c r="FC14" s="3922"/>
      <c r="FD14" s="3922"/>
      <c r="FE14" s="3922"/>
      <c r="FF14" s="3922"/>
      <c r="FG14" s="3922"/>
      <c r="FH14" s="3922"/>
      <c r="FI14" s="3922"/>
      <c r="FJ14" s="3922"/>
      <c r="FK14" s="3922"/>
      <c r="FL14" s="3922"/>
      <c r="FM14" s="3922"/>
      <c r="FN14" s="3922"/>
      <c r="FO14" s="3922"/>
      <c r="FP14" s="3922"/>
      <c r="FQ14" s="3922"/>
      <c r="FR14" s="3922"/>
      <c r="FS14" s="3922"/>
      <c r="FT14" s="3922"/>
      <c r="FU14" s="3922"/>
      <c r="FV14" s="3922"/>
      <c r="FW14" s="3934"/>
      <c r="FX14" s="694"/>
      <c r="GC14" s="853">
        <v>36</v>
      </c>
    </row>
    <row r="15" spans="2:185" ht="37.9" customHeight="1">
      <c r="D15" s="865"/>
      <c r="E15" s="864"/>
      <c r="F15" s="3693"/>
      <c r="G15" s="3693"/>
      <c r="H15" s="3693"/>
      <c r="I15" s="3693"/>
      <c r="J15" s="3924"/>
      <c r="K15" s="3924"/>
      <c r="L15" s="3924"/>
      <c r="M15" s="3924"/>
      <c r="N15" s="3924"/>
      <c r="O15" s="3792"/>
      <c r="P15" s="3906"/>
      <c r="Q15" s="3792"/>
      <c r="R15" s="3906"/>
      <c r="S15" s="3792"/>
      <c r="T15" s="3906"/>
      <c r="U15" s="3792"/>
      <c r="V15" s="3906"/>
      <c r="W15" s="3792"/>
      <c r="X15" s="3906"/>
      <c r="Y15" s="3792"/>
      <c r="Z15" s="3906"/>
      <c r="AA15" s="3792"/>
      <c r="AB15" s="3906"/>
      <c r="AC15" s="3922"/>
      <c r="AD15" s="3922"/>
      <c r="AE15" s="3922"/>
      <c r="AF15" s="3922"/>
      <c r="AG15" s="3922"/>
      <c r="AH15" s="3922"/>
      <c r="AI15" s="3922"/>
      <c r="AJ15" s="3922"/>
      <c r="AK15" s="3922"/>
      <c r="AL15" s="3922"/>
      <c r="AM15" s="3922"/>
      <c r="AN15" s="3922"/>
      <c r="AO15" s="3922"/>
      <c r="AP15" s="3922"/>
      <c r="AQ15" s="3922"/>
      <c r="AR15" s="3922"/>
      <c r="AS15" s="3922"/>
      <c r="AT15" s="3922"/>
      <c r="AU15" s="3922"/>
      <c r="AV15" s="3922"/>
      <c r="AW15" s="3922"/>
      <c r="AX15" s="3922"/>
      <c r="AY15" s="3922"/>
      <c r="AZ15" s="3922"/>
      <c r="BA15" s="3922"/>
      <c r="BB15" s="3922"/>
      <c r="BC15" s="3922"/>
      <c r="BD15" s="3922"/>
      <c r="BE15" s="3922"/>
      <c r="BF15" s="3922"/>
      <c r="BG15" s="3922"/>
      <c r="BH15" s="3922"/>
      <c r="BI15" s="3922"/>
      <c r="BJ15" s="3922"/>
      <c r="BK15" s="3922"/>
      <c r="BL15" s="3922"/>
      <c r="BM15" s="3922"/>
      <c r="BN15" s="3922"/>
      <c r="BO15" s="3922"/>
      <c r="BP15" s="3922"/>
      <c r="BQ15" s="3922"/>
      <c r="BR15" s="3922"/>
      <c r="BS15" s="3939"/>
      <c r="BT15" s="3792"/>
      <c r="BU15" s="3906"/>
      <c r="BV15" s="3792"/>
      <c r="BW15" s="3906"/>
      <c r="BX15" s="3792"/>
      <c r="BY15" s="3906"/>
      <c r="BZ15" s="3792"/>
      <c r="CA15" s="3906"/>
      <c r="CB15" s="3792"/>
      <c r="CC15" s="3906"/>
      <c r="CD15" s="3792"/>
      <c r="CE15" s="3906"/>
      <c r="CF15" s="3792"/>
      <c r="CG15" s="3906"/>
      <c r="CH15" s="3792"/>
      <c r="CI15" s="3906"/>
      <c r="CJ15" s="3792"/>
      <c r="CK15" s="3906"/>
      <c r="CL15" s="3923"/>
      <c r="CM15" s="3922"/>
      <c r="CN15" s="3922"/>
      <c r="CO15" s="3922"/>
      <c r="CP15" s="3922"/>
      <c r="CQ15" s="3922"/>
      <c r="CR15" s="3922"/>
      <c r="CS15" s="3922"/>
      <c r="CT15" s="3922"/>
      <c r="CU15" s="3922"/>
      <c r="CV15" s="3922"/>
      <c r="CW15" s="3922"/>
      <c r="CX15" s="3939"/>
      <c r="CY15" s="3792"/>
      <c r="CZ15" s="3906"/>
      <c r="DA15" s="3792"/>
      <c r="DB15" s="3906"/>
      <c r="DC15" s="3792"/>
      <c r="DD15" s="3906"/>
      <c r="DE15" s="3792"/>
      <c r="DF15" s="3906"/>
      <c r="DG15" s="3792"/>
      <c r="DH15" s="3906"/>
      <c r="DI15" s="3792"/>
      <c r="DJ15" s="3906"/>
      <c r="DK15" s="3923"/>
      <c r="DL15" s="3922"/>
      <c r="DM15" s="3922"/>
      <c r="DN15" s="3922"/>
      <c r="DO15" s="3922"/>
      <c r="DP15" s="3922"/>
      <c r="DQ15" s="3922"/>
      <c r="DR15" s="3922"/>
      <c r="DS15" s="3922"/>
      <c r="DT15" s="3922"/>
      <c r="DU15" s="3922"/>
      <c r="DV15" s="3922"/>
      <c r="DW15" s="3922"/>
      <c r="DX15" s="3922"/>
      <c r="DY15" s="3922"/>
      <c r="DZ15" s="3922"/>
      <c r="EA15" s="3922"/>
      <c r="EB15" s="3922"/>
      <c r="EC15" s="3922"/>
      <c r="ED15" s="3922"/>
      <c r="EE15" s="3922"/>
      <c r="EF15" s="3922"/>
      <c r="EG15" s="3922"/>
      <c r="EH15" s="3922"/>
      <c r="EI15" s="3922"/>
      <c r="EJ15" s="3922"/>
      <c r="EK15" s="3922"/>
      <c r="EL15" s="3922"/>
      <c r="EM15" s="3922"/>
      <c r="EN15" s="3922"/>
      <c r="EO15" s="3922"/>
      <c r="EP15" s="3922"/>
      <c r="EQ15" s="3922"/>
      <c r="ER15" s="3922"/>
      <c r="ES15" s="3922"/>
      <c r="ET15" s="3922"/>
      <c r="EU15" s="3922"/>
      <c r="EV15" s="3922"/>
      <c r="EW15" s="3922"/>
      <c r="EX15" s="3922"/>
      <c r="EY15" s="3922"/>
      <c r="EZ15" s="3922"/>
      <c r="FA15" s="3922"/>
      <c r="FB15" s="3922"/>
      <c r="FC15" s="3922"/>
      <c r="FD15" s="3922"/>
      <c r="FE15" s="3922"/>
      <c r="FF15" s="3922"/>
      <c r="FG15" s="3922"/>
      <c r="FH15" s="3922"/>
      <c r="FI15" s="3922"/>
      <c r="FJ15" s="3922"/>
      <c r="FK15" s="3922"/>
      <c r="FL15" s="3922"/>
      <c r="FM15" s="3922"/>
      <c r="FN15" s="3922"/>
      <c r="FO15" s="3922"/>
      <c r="FP15" s="3922"/>
      <c r="FQ15" s="3922"/>
      <c r="FR15" s="3922"/>
      <c r="FS15" s="3922"/>
      <c r="FT15" s="3922"/>
      <c r="FU15" s="3922"/>
      <c r="FV15" s="3922"/>
      <c r="FW15" s="3934"/>
      <c r="FX15" s="694"/>
      <c r="GC15" s="853">
        <v>36</v>
      </c>
    </row>
    <row r="16" spans="2:185" ht="12.75" customHeight="1">
      <c r="D16" s="865"/>
      <c r="E16" s="864"/>
      <c r="F16" s="3693"/>
      <c r="G16" s="3693"/>
      <c r="H16" s="3693"/>
      <c r="I16" s="3693"/>
      <c r="J16" s="3924"/>
      <c r="K16" s="3924"/>
      <c r="L16" s="3924"/>
      <c r="M16" s="3924"/>
      <c r="N16" s="3924"/>
      <c r="O16" s="3840" t="s">
        <v>1166</v>
      </c>
      <c r="P16" s="3921"/>
      <c r="Q16" s="3840" t="s">
        <v>1168</v>
      </c>
      <c r="R16" s="3921"/>
      <c r="S16" s="3840" t="s">
        <v>1172</v>
      </c>
      <c r="T16" s="3921"/>
      <c r="U16" s="3840" t="s">
        <v>1177</v>
      </c>
      <c r="V16" s="3921"/>
      <c r="W16" s="3840" t="s">
        <v>1180</v>
      </c>
      <c r="X16" s="3921"/>
      <c r="Y16" s="3840" t="s">
        <v>1184</v>
      </c>
      <c r="Z16" s="3921"/>
      <c r="AA16" s="3840" t="s">
        <v>1187</v>
      </c>
      <c r="AB16" s="3921"/>
      <c r="AC16" s="3922"/>
      <c r="AD16" s="3922"/>
      <c r="AE16" s="3922"/>
      <c r="AF16" s="3922"/>
      <c r="AG16" s="3922"/>
      <c r="AH16" s="3922"/>
      <c r="AI16" s="3922"/>
      <c r="AJ16" s="3922"/>
      <c r="AK16" s="3922"/>
      <c r="AL16" s="3922"/>
      <c r="AM16" s="3922"/>
      <c r="AN16" s="3922"/>
      <c r="AO16" s="3922"/>
      <c r="AP16" s="3922"/>
      <c r="AQ16" s="3922"/>
      <c r="AR16" s="3922"/>
      <c r="AS16" s="3922"/>
      <c r="AT16" s="3922"/>
      <c r="AU16" s="3922"/>
      <c r="AV16" s="3922"/>
      <c r="AW16" s="3922"/>
      <c r="AX16" s="3922"/>
      <c r="AY16" s="3922"/>
      <c r="AZ16" s="3922"/>
      <c r="BA16" s="3922"/>
      <c r="BB16" s="3922"/>
      <c r="BC16" s="3922"/>
      <c r="BD16" s="3922"/>
      <c r="BE16" s="3922"/>
      <c r="BF16" s="3922"/>
      <c r="BG16" s="3922"/>
      <c r="BH16" s="3922"/>
      <c r="BI16" s="3922"/>
      <c r="BJ16" s="3922"/>
      <c r="BK16" s="3922"/>
      <c r="BL16" s="3922"/>
      <c r="BM16" s="3922"/>
      <c r="BN16" s="3922"/>
      <c r="BO16" s="3922"/>
      <c r="BP16" s="3922"/>
      <c r="BQ16" s="3922"/>
      <c r="BR16" s="3922"/>
      <c r="BS16" s="3939"/>
      <c r="BT16" s="3840" t="s">
        <v>601</v>
      </c>
      <c r="BU16" s="3921"/>
      <c r="BV16" s="3840" t="s">
        <v>601</v>
      </c>
      <c r="BW16" s="3921"/>
      <c r="BX16" s="3840" t="s">
        <v>601</v>
      </c>
      <c r="BY16" s="3921"/>
      <c r="BZ16" s="3840" t="s">
        <v>601</v>
      </c>
      <c r="CA16" s="3921"/>
      <c r="CB16" s="3840" t="s">
        <v>1627</v>
      </c>
      <c r="CC16" s="3921"/>
      <c r="CD16" s="3840" t="s">
        <v>601</v>
      </c>
      <c r="CE16" s="3921"/>
      <c r="CF16" s="3840" t="s">
        <v>1628</v>
      </c>
      <c r="CG16" s="3921"/>
      <c r="CH16" s="3840" t="s">
        <v>1629</v>
      </c>
      <c r="CI16" s="3921"/>
      <c r="CJ16" s="3840" t="s">
        <v>1629</v>
      </c>
      <c r="CK16" s="3921"/>
      <c r="CL16" s="3923"/>
      <c r="CM16" s="3922"/>
      <c r="CN16" s="3922"/>
      <c r="CO16" s="3922"/>
      <c r="CP16" s="3922"/>
      <c r="CQ16" s="3922"/>
      <c r="CR16" s="3922"/>
      <c r="CS16" s="3922"/>
      <c r="CT16" s="3922"/>
      <c r="CU16" s="3922"/>
      <c r="CV16" s="3922"/>
      <c r="CW16" s="3922"/>
      <c r="CX16" s="3939"/>
      <c r="CY16" s="3790" t="s">
        <v>601</v>
      </c>
      <c r="CZ16" s="3842"/>
      <c r="DA16" s="3790" t="s">
        <v>601</v>
      </c>
      <c r="DB16" s="3842"/>
      <c r="DC16" s="3790" t="s">
        <v>601</v>
      </c>
      <c r="DD16" s="3842"/>
      <c r="DE16" s="3840" t="s">
        <v>1627</v>
      </c>
      <c r="DF16" s="3921"/>
      <c r="DG16" s="3840" t="s">
        <v>1630</v>
      </c>
      <c r="DH16" s="3921"/>
      <c r="DI16" s="3840" t="s">
        <v>1630</v>
      </c>
      <c r="DJ16" s="3921"/>
      <c r="DK16" s="3923"/>
      <c r="DL16" s="3922"/>
      <c r="DM16" s="3922"/>
      <c r="DN16" s="3922"/>
      <c r="DO16" s="3922"/>
      <c r="DP16" s="3922"/>
      <c r="DQ16" s="3922"/>
      <c r="DR16" s="3922"/>
      <c r="DS16" s="3922"/>
      <c r="DT16" s="3922"/>
      <c r="DU16" s="3922"/>
      <c r="DV16" s="3922"/>
      <c r="DW16" s="3922"/>
      <c r="DX16" s="3922"/>
      <c r="DY16" s="3922"/>
      <c r="DZ16" s="3922"/>
      <c r="EA16" s="3922"/>
      <c r="EB16" s="3922"/>
      <c r="EC16" s="3922"/>
      <c r="ED16" s="3922"/>
      <c r="EE16" s="3922"/>
      <c r="EF16" s="3922"/>
      <c r="EG16" s="3922"/>
      <c r="EH16" s="3922"/>
      <c r="EI16" s="3922"/>
      <c r="EJ16" s="3922"/>
      <c r="EK16" s="3922"/>
      <c r="EL16" s="3922"/>
      <c r="EM16" s="3922"/>
      <c r="EN16" s="3922"/>
      <c r="EO16" s="3922"/>
      <c r="EP16" s="3922"/>
      <c r="EQ16" s="3922"/>
      <c r="ER16" s="3922"/>
      <c r="ES16" s="3922"/>
      <c r="ET16" s="3922"/>
      <c r="EU16" s="3922"/>
      <c r="EV16" s="3922"/>
      <c r="EW16" s="3922"/>
      <c r="EX16" s="3922"/>
      <c r="EY16" s="3922"/>
      <c r="EZ16" s="3922"/>
      <c r="FA16" s="3922"/>
      <c r="FB16" s="3922"/>
      <c r="FC16" s="3922"/>
      <c r="FD16" s="3922"/>
      <c r="FE16" s="3922"/>
      <c r="FF16" s="3922"/>
      <c r="FG16" s="3922"/>
      <c r="FH16" s="3922"/>
      <c r="FI16" s="3922"/>
      <c r="FJ16" s="3922"/>
      <c r="FK16" s="3922"/>
      <c r="FL16" s="3922"/>
      <c r="FM16" s="3922"/>
      <c r="FN16" s="3922"/>
      <c r="FO16" s="3922"/>
      <c r="FP16" s="3922"/>
      <c r="FQ16" s="3922"/>
      <c r="FR16" s="3922"/>
      <c r="FS16" s="3922"/>
      <c r="FT16" s="3922"/>
      <c r="FU16" s="3922"/>
      <c r="FV16" s="3922"/>
      <c r="FW16" s="3934"/>
      <c r="FX16" s="694"/>
      <c r="GC16" s="853">
        <v>12</v>
      </c>
    </row>
    <row r="17" spans="1:185" ht="15.75" customHeight="1">
      <c r="E17" s="864"/>
      <c r="F17" s="3693"/>
      <c r="G17" s="3693"/>
      <c r="H17" s="3693"/>
      <c r="I17" s="3693"/>
      <c r="J17" s="3924"/>
      <c r="K17" s="3924"/>
      <c r="L17" s="3924"/>
      <c r="M17" s="3924"/>
      <c r="N17" s="3924"/>
      <c r="O17" s="1113" t="s">
        <v>1631</v>
      </c>
      <c r="P17" s="1113" t="s">
        <v>1632</v>
      </c>
      <c r="Q17" s="1113" t="s">
        <v>1631</v>
      </c>
      <c r="R17" s="1113" t="s">
        <v>1632</v>
      </c>
      <c r="S17" s="1113" t="s">
        <v>1631</v>
      </c>
      <c r="T17" s="1113" t="s">
        <v>1632</v>
      </c>
      <c r="U17" s="1113" t="s">
        <v>1631</v>
      </c>
      <c r="V17" s="1113" t="s">
        <v>1632</v>
      </c>
      <c r="W17" s="1113" t="s">
        <v>1631</v>
      </c>
      <c r="X17" s="1113" t="s">
        <v>1632</v>
      </c>
      <c r="Y17" s="1113" t="s">
        <v>1631</v>
      </c>
      <c r="Z17" s="1113" t="s">
        <v>1632</v>
      </c>
      <c r="AA17" s="1113" t="s">
        <v>1631</v>
      </c>
      <c r="AB17" s="1113" t="s">
        <v>1632</v>
      </c>
      <c r="AC17" s="3922"/>
      <c r="AD17" s="3922"/>
      <c r="AE17" s="3922"/>
      <c r="AF17" s="3922"/>
      <c r="AG17" s="3922"/>
      <c r="AH17" s="3922"/>
      <c r="AI17" s="3922"/>
      <c r="AJ17" s="3922"/>
      <c r="AK17" s="3922"/>
      <c r="AL17" s="3922"/>
      <c r="AM17" s="3922"/>
      <c r="AN17" s="3922"/>
      <c r="AO17" s="3922"/>
      <c r="AP17" s="3922"/>
      <c r="AQ17" s="3922"/>
      <c r="AR17" s="3922"/>
      <c r="AS17" s="3922"/>
      <c r="AT17" s="3922"/>
      <c r="AU17" s="3922"/>
      <c r="AV17" s="3922"/>
      <c r="AW17" s="3922"/>
      <c r="AX17" s="3922"/>
      <c r="AY17" s="3922"/>
      <c r="AZ17" s="3922"/>
      <c r="BA17" s="3922"/>
      <c r="BB17" s="3922"/>
      <c r="BC17" s="3922"/>
      <c r="BD17" s="3922"/>
      <c r="BE17" s="3922"/>
      <c r="BF17" s="3922"/>
      <c r="BG17" s="3922"/>
      <c r="BH17" s="3922"/>
      <c r="BI17" s="3922"/>
      <c r="BJ17" s="3922"/>
      <c r="BK17" s="3922"/>
      <c r="BL17" s="3922"/>
      <c r="BM17" s="3922"/>
      <c r="BN17" s="3922"/>
      <c r="BO17" s="3922"/>
      <c r="BP17" s="3922"/>
      <c r="BQ17" s="3922"/>
      <c r="BR17" s="3922"/>
      <c r="BS17" s="3939"/>
      <c r="BT17" s="1113" t="s">
        <v>1631</v>
      </c>
      <c r="BU17" s="1113" t="s">
        <v>1632</v>
      </c>
      <c r="BV17" s="1113" t="s">
        <v>1631</v>
      </c>
      <c r="BW17" s="1113" t="s">
        <v>1632</v>
      </c>
      <c r="BX17" s="1113" t="s">
        <v>1631</v>
      </c>
      <c r="BY17" s="1113" t="s">
        <v>1632</v>
      </c>
      <c r="BZ17" s="1113" t="s">
        <v>1631</v>
      </c>
      <c r="CA17" s="1113" t="s">
        <v>1632</v>
      </c>
      <c r="CB17" s="1113" t="s">
        <v>1631</v>
      </c>
      <c r="CC17" s="1113" t="s">
        <v>1632</v>
      </c>
      <c r="CD17" s="1113" t="s">
        <v>1631</v>
      </c>
      <c r="CE17" s="1113" t="s">
        <v>1632</v>
      </c>
      <c r="CF17" s="1113" t="s">
        <v>1631</v>
      </c>
      <c r="CG17" s="1113" t="s">
        <v>1632</v>
      </c>
      <c r="CH17" s="1113" t="s">
        <v>1631</v>
      </c>
      <c r="CI17" s="1113" t="s">
        <v>1632</v>
      </c>
      <c r="CJ17" s="1113" t="s">
        <v>1631</v>
      </c>
      <c r="CK17" s="1113" t="s">
        <v>1632</v>
      </c>
      <c r="CL17" s="3923"/>
      <c r="CM17" s="3922"/>
      <c r="CN17" s="3922"/>
      <c r="CO17" s="3922"/>
      <c r="CP17" s="3922"/>
      <c r="CQ17" s="3922"/>
      <c r="CR17" s="3922"/>
      <c r="CS17" s="3922"/>
      <c r="CT17" s="3922"/>
      <c r="CU17" s="3922"/>
      <c r="CV17" s="3922"/>
      <c r="CW17" s="3922"/>
      <c r="CX17" s="3939"/>
      <c r="CY17" s="1113" t="s">
        <v>1631</v>
      </c>
      <c r="CZ17" s="1113" t="s">
        <v>1632</v>
      </c>
      <c r="DA17" s="1113" t="s">
        <v>1631</v>
      </c>
      <c r="DB17" s="1113" t="s">
        <v>1632</v>
      </c>
      <c r="DC17" s="1113" t="s">
        <v>1631</v>
      </c>
      <c r="DD17" s="1113" t="s">
        <v>1632</v>
      </c>
      <c r="DE17" s="1113" t="s">
        <v>1631</v>
      </c>
      <c r="DF17" s="1113" t="s">
        <v>1632</v>
      </c>
      <c r="DG17" s="1113" t="s">
        <v>1631</v>
      </c>
      <c r="DH17" s="1113" t="s">
        <v>1632</v>
      </c>
      <c r="DI17" s="1113" t="s">
        <v>1631</v>
      </c>
      <c r="DJ17" s="1113" t="s">
        <v>1632</v>
      </c>
      <c r="DK17" s="3923"/>
      <c r="DL17" s="3922"/>
      <c r="DM17" s="3922"/>
      <c r="DN17" s="3922"/>
      <c r="DO17" s="3922"/>
      <c r="DP17" s="3922"/>
      <c r="DQ17" s="3922"/>
      <c r="DR17" s="3922"/>
      <c r="DS17" s="3922"/>
      <c r="DT17" s="3922"/>
      <c r="DU17" s="3922"/>
      <c r="DV17" s="3922"/>
      <c r="DW17" s="3922"/>
      <c r="DX17" s="3922"/>
      <c r="DY17" s="3922"/>
      <c r="DZ17" s="3922"/>
      <c r="EA17" s="3922"/>
      <c r="EB17" s="3922"/>
      <c r="EC17" s="3922"/>
      <c r="ED17" s="3922"/>
      <c r="EE17" s="3922"/>
      <c r="EF17" s="3922"/>
      <c r="EG17" s="3922"/>
      <c r="EH17" s="3922"/>
      <c r="EI17" s="3922"/>
      <c r="EJ17" s="3922"/>
      <c r="EK17" s="3922"/>
      <c r="EL17" s="3922"/>
      <c r="EM17" s="3922"/>
      <c r="EN17" s="3922"/>
      <c r="EO17" s="3922"/>
      <c r="EP17" s="3922"/>
      <c r="EQ17" s="3922"/>
      <c r="ER17" s="3922"/>
      <c r="ES17" s="3922"/>
      <c r="ET17" s="3922"/>
      <c r="EU17" s="3922"/>
      <c r="EV17" s="3922"/>
      <c r="EW17" s="3922"/>
      <c r="EX17" s="3922"/>
      <c r="EY17" s="3922"/>
      <c r="EZ17" s="3922"/>
      <c r="FA17" s="3922"/>
      <c r="FB17" s="3922"/>
      <c r="FC17" s="3922"/>
      <c r="FD17" s="3922"/>
      <c r="FE17" s="3922"/>
      <c r="FF17" s="3922"/>
      <c r="FG17" s="3922"/>
      <c r="FH17" s="3922"/>
      <c r="FI17" s="3922"/>
      <c r="FJ17" s="3922"/>
      <c r="FK17" s="3922"/>
      <c r="FL17" s="3922"/>
      <c r="FM17" s="3922"/>
      <c r="FN17" s="3922"/>
      <c r="FO17" s="3922"/>
      <c r="FP17" s="3922"/>
      <c r="FQ17" s="3922"/>
      <c r="FR17" s="3922"/>
      <c r="FS17" s="3922"/>
      <c r="FT17" s="3922"/>
      <c r="FU17" s="3922"/>
      <c r="FV17" s="3922"/>
      <c r="FW17" s="3935"/>
      <c r="FX17" s="694"/>
      <c r="GC17" s="853">
        <v>15</v>
      </c>
    </row>
    <row r="18" spans="1:185" s="852" customFormat="1" ht="12" hidden="1" customHeight="1">
      <c r="B18" s="850"/>
      <c r="E18" s="866"/>
      <c r="F18" s="1114"/>
      <c r="G18" s="1114"/>
      <c r="H18" s="1114"/>
      <c r="I18" s="1114"/>
      <c r="J18" s="1115"/>
      <c r="K18" s="1115"/>
      <c r="L18" s="1115"/>
      <c r="M18" s="1115"/>
      <c r="N18" s="1115"/>
      <c r="O18" s="1114"/>
      <c r="P18" s="1114"/>
      <c r="Q18" s="1114"/>
      <c r="R18" s="1114"/>
      <c r="S18" s="1114"/>
      <c r="T18" s="1114"/>
      <c r="U18" s="1116"/>
      <c r="V18" s="1116"/>
      <c r="W18" s="1116"/>
      <c r="X18" s="1116"/>
      <c r="Y18" s="1116"/>
      <c r="Z18" s="1116"/>
      <c r="AA18" s="1116"/>
      <c r="AB18" s="1114"/>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115"/>
      <c r="BT18" s="1117"/>
      <c r="BU18" s="1117"/>
      <c r="BV18" s="1117"/>
      <c r="BW18" s="1117"/>
      <c r="BX18" s="1117"/>
      <c r="BY18" s="1117"/>
      <c r="BZ18" s="1117"/>
      <c r="CA18" s="1117"/>
      <c r="CB18" s="1117"/>
      <c r="CC18" s="1117"/>
      <c r="CD18" s="1117"/>
      <c r="CE18" s="1117"/>
      <c r="CF18" s="1117"/>
      <c r="CG18" s="1117"/>
      <c r="CH18" s="1117"/>
      <c r="CI18" s="1117"/>
      <c r="CJ18" s="1117"/>
      <c r="CK18" s="1117"/>
      <c r="CL18" s="1115"/>
      <c r="CM18" s="1115"/>
      <c r="CN18" s="1115"/>
      <c r="CO18" s="1115"/>
      <c r="CP18" s="1115"/>
      <c r="CQ18" s="1115"/>
      <c r="CR18" s="1115"/>
      <c r="CS18" s="1115"/>
      <c r="CT18" s="1115"/>
      <c r="CU18" s="1115"/>
      <c r="CV18" s="1115"/>
      <c r="CW18" s="1115"/>
      <c r="CX18" s="1115"/>
      <c r="CY18" s="1117"/>
      <c r="CZ18" s="1117"/>
      <c r="DA18" s="1117"/>
      <c r="DB18" s="1117"/>
      <c r="DC18" s="1117"/>
      <c r="DD18" s="1117"/>
      <c r="DE18" s="1117"/>
      <c r="DF18" s="1117"/>
      <c r="DG18" s="1117"/>
      <c r="DH18" s="1117"/>
      <c r="DI18" s="1117"/>
      <c r="DJ18" s="1117"/>
      <c r="DK18" s="1115"/>
      <c r="DL18" s="1115"/>
      <c r="DM18" s="1115"/>
      <c r="DN18" s="1115"/>
      <c r="DO18" s="1115"/>
      <c r="DP18" s="1115"/>
      <c r="DQ18" s="1115"/>
      <c r="DR18" s="1115"/>
      <c r="DS18" s="1115"/>
      <c r="DT18" s="1115"/>
      <c r="DU18" s="1115"/>
      <c r="DV18" s="1115"/>
      <c r="DW18" s="1115"/>
      <c r="DX18" s="1115"/>
      <c r="DY18" s="1115"/>
      <c r="DZ18" s="1115"/>
      <c r="EA18" s="1115"/>
      <c r="EB18" s="1115"/>
      <c r="EC18" s="1115"/>
      <c r="ED18" s="1115"/>
      <c r="EE18" s="1115"/>
      <c r="EF18" s="1115"/>
      <c r="EG18" s="1115"/>
      <c r="EH18" s="1115"/>
      <c r="EI18" s="1115"/>
      <c r="EJ18" s="1115"/>
      <c r="EK18" s="1115"/>
      <c r="EL18" s="1115"/>
      <c r="EM18" s="1115"/>
      <c r="EN18" s="1115"/>
      <c r="EO18" s="1115"/>
      <c r="EP18" s="1115"/>
      <c r="EQ18" s="1115"/>
      <c r="ER18" s="1115"/>
      <c r="ES18" s="1115"/>
      <c r="ET18" s="1115"/>
      <c r="EU18" s="1115"/>
      <c r="EV18" s="1115"/>
      <c r="EW18" s="1115"/>
      <c r="EX18" s="1115"/>
      <c r="EY18" s="1115"/>
      <c r="EZ18" s="1115"/>
      <c r="FA18" s="1115"/>
      <c r="FB18" s="1115"/>
      <c r="FC18" s="1115"/>
      <c r="FD18" s="1115"/>
      <c r="FE18" s="1115"/>
      <c r="FF18" s="1115"/>
      <c r="FG18" s="1115"/>
      <c r="FH18" s="1115"/>
      <c r="FI18" s="1115"/>
      <c r="FJ18" s="1115"/>
      <c r="FK18" s="1115"/>
      <c r="FL18" s="1115"/>
      <c r="FM18" s="1115"/>
      <c r="FN18" s="1115"/>
      <c r="FO18" s="1115"/>
      <c r="FP18" s="1115"/>
      <c r="FQ18" s="1115"/>
      <c r="FR18" s="1115"/>
      <c r="FS18" s="1115"/>
      <c r="FT18" s="1115"/>
      <c r="FU18" s="1115"/>
      <c r="FV18" s="1115"/>
      <c r="FW18" s="1114"/>
      <c r="FX18" s="1118"/>
      <c r="GC18" s="851">
        <v>0</v>
      </c>
    </row>
    <row r="19" spans="1:185" s="852" customFormat="1" ht="11.25" hidden="1" customHeight="1">
      <c r="B19" s="850"/>
      <c r="E19" s="866"/>
      <c r="F19" s="1114"/>
      <c r="G19" s="1114"/>
      <c r="H19" s="1114"/>
      <c r="I19" s="1114"/>
      <c r="J19" s="1114"/>
      <c r="K19" s="1114"/>
      <c r="L19" s="1114"/>
      <c r="M19" s="1114"/>
      <c r="N19" s="1114"/>
      <c r="O19" s="1114"/>
      <c r="P19" s="1114"/>
      <c r="Q19" s="1114"/>
      <c r="R19" s="1114"/>
      <c r="S19" s="1114"/>
      <c r="T19" s="1114"/>
      <c r="U19" s="1116"/>
      <c r="V19" s="1116"/>
      <c r="W19" s="1116"/>
      <c r="X19" s="1116"/>
      <c r="Y19" s="1116"/>
      <c r="Z19" s="1116"/>
      <c r="AA19" s="1116"/>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14"/>
      <c r="AW19" s="1114"/>
      <c r="AX19" s="1114"/>
      <c r="AY19" s="1114"/>
      <c r="AZ19" s="1114"/>
      <c r="BA19" s="1114"/>
      <c r="BB19" s="1114"/>
      <c r="BC19" s="1114"/>
      <c r="BD19" s="1114"/>
      <c r="BE19" s="1114"/>
      <c r="BF19" s="1114"/>
      <c r="BG19" s="1114"/>
      <c r="BH19" s="1114"/>
      <c r="BI19" s="1114"/>
      <c r="BJ19" s="1114"/>
      <c r="BK19" s="1114"/>
      <c r="BL19" s="1114"/>
      <c r="BM19" s="1114"/>
      <c r="BN19" s="1114"/>
      <c r="BO19" s="1114"/>
      <c r="BP19" s="1114"/>
      <c r="BQ19" s="1114"/>
      <c r="BR19" s="1114"/>
      <c r="BS19" s="1114"/>
      <c r="BT19" s="1114"/>
      <c r="BU19" s="1114"/>
      <c r="BV19" s="1114"/>
      <c r="BW19" s="1114"/>
      <c r="BX19" s="1114"/>
      <c r="BY19" s="1114"/>
      <c r="BZ19" s="1114"/>
      <c r="CA19" s="1114"/>
      <c r="CB19" s="1114"/>
      <c r="CC19" s="1114"/>
      <c r="CD19" s="1114"/>
      <c r="CE19" s="1114"/>
      <c r="CF19" s="1114"/>
      <c r="CG19" s="1114"/>
      <c r="CH19" s="1114"/>
      <c r="CI19" s="1114"/>
      <c r="CJ19" s="1114"/>
      <c r="CK19" s="1114"/>
      <c r="CL19" s="1114"/>
      <c r="CM19" s="1114"/>
      <c r="CN19" s="1114"/>
      <c r="CO19" s="1114"/>
      <c r="CP19" s="1114"/>
      <c r="CQ19" s="1114"/>
      <c r="CR19" s="1114"/>
      <c r="CS19" s="1114"/>
      <c r="CT19" s="1114"/>
      <c r="CU19" s="1114"/>
      <c r="CV19" s="1114"/>
      <c r="CW19" s="1114"/>
      <c r="CX19" s="1114"/>
      <c r="CY19" s="1114"/>
      <c r="CZ19" s="1114"/>
      <c r="DA19" s="1114"/>
      <c r="DB19" s="1114"/>
      <c r="DC19" s="1114"/>
      <c r="DD19" s="1114"/>
      <c r="DE19" s="1114"/>
      <c r="DF19" s="1114"/>
      <c r="DG19" s="1114"/>
      <c r="DH19" s="1114"/>
      <c r="DI19" s="1114"/>
      <c r="DJ19" s="1114"/>
      <c r="DK19" s="1114"/>
      <c r="DL19" s="1114"/>
      <c r="DM19" s="1114"/>
      <c r="DN19" s="1114"/>
      <c r="DO19" s="1114"/>
      <c r="DP19" s="1114"/>
      <c r="DQ19" s="1114"/>
      <c r="DR19" s="1114"/>
      <c r="DS19" s="1114"/>
      <c r="DT19" s="1114"/>
      <c r="DU19" s="1114"/>
      <c r="DV19" s="1114"/>
      <c r="DW19" s="1114"/>
      <c r="DX19" s="1114"/>
      <c r="DY19" s="1114"/>
      <c r="DZ19" s="1114"/>
      <c r="EA19" s="1114"/>
      <c r="EB19" s="1114"/>
      <c r="EC19" s="1114"/>
      <c r="ED19" s="1114"/>
      <c r="EE19" s="1114"/>
      <c r="EF19" s="1114"/>
      <c r="EG19" s="1114"/>
      <c r="EH19" s="1114"/>
      <c r="EI19" s="1114"/>
      <c r="EJ19" s="1114"/>
      <c r="EK19" s="1114"/>
      <c r="EL19" s="1114"/>
      <c r="EM19" s="1114"/>
      <c r="EN19" s="1114"/>
      <c r="EO19" s="1114"/>
      <c r="EP19" s="1114"/>
      <c r="EQ19" s="1114"/>
      <c r="ER19" s="1114"/>
      <c r="ES19" s="1114"/>
      <c r="ET19" s="1114"/>
      <c r="EU19" s="1114"/>
      <c r="EV19" s="1114"/>
      <c r="EW19" s="1114"/>
      <c r="EX19" s="1114"/>
      <c r="EY19" s="1114"/>
      <c r="EZ19" s="1114"/>
      <c r="FA19" s="1114"/>
      <c r="FB19" s="1114"/>
      <c r="FC19" s="1114"/>
      <c r="FD19" s="1114"/>
      <c r="FE19" s="1114"/>
      <c r="FF19" s="1114"/>
      <c r="FG19" s="1114"/>
      <c r="FH19" s="1114"/>
      <c r="FI19" s="1114"/>
      <c r="FJ19" s="1114"/>
      <c r="FK19" s="1114"/>
      <c r="FL19" s="1114"/>
      <c r="FM19" s="1114"/>
      <c r="FN19" s="1114"/>
      <c r="FO19" s="1114"/>
      <c r="FP19" s="1114"/>
      <c r="FQ19" s="1114"/>
      <c r="FR19" s="1114"/>
      <c r="FS19" s="1114"/>
      <c r="FT19" s="1114"/>
      <c r="FU19" s="1114"/>
      <c r="FV19" s="1114"/>
      <c r="FW19" s="1114"/>
      <c r="FX19" s="1118"/>
      <c r="GC19" s="851">
        <v>0</v>
      </c>
    </row>
    <row r="20" spans="1:185" s="852" customFormat="1" ht="11.25" hidden="1" customHeight="1">
      <c r="B20" s="867"/>
      <c r="D20" s="851"/>
      <c r="E20" s="866"/>
      <c r="F20" s="1119" t="s">
        <v>421</v>
      </c>
      <c r="G20" s="1120"/>
      <c r="H20" s="1121"/>
      <c r="I20" s="1121"/>
      <c r="J20" s="1121"/>
      <c r="K20" s="1121"/>
      <c r="L20" s="1121"/>
      <c r="M20" s="1121"/>
      <c r="N20" s="1121"/>
      <c r="O20" s="1120"/>
      <c r="P20" s="1120"/>
      <c r="Q20" s="1120"/>
      <c r="R20" s="1120"/>
      <c r="S20" s="1120"/>
      <c r="T20" s="1120"/>
      <c r="U20" s="1122"/>
      <c r="V20" s="1122"/>
      <c r="W20" s="1122"/>
      <c r="X20" s="1122"/>
      <c r="Y20" s="1122"/>
      <c r="Z20" s="1122"/>
      <c r="AA20" s="1122"/>
      <c r="AB20" s="1120"/>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21"/>
      <c r="BP20" s="1121"/>
      <c r="BQ20" s="1121"/>
      <c r="BR20" s="1121"/>
      <c r="BS20" s="1121"/>
      <c r="BT20" s="1121"/>
      <c r="BU20" s="1121"/>
      <c r="BV20" s="1121"/>
      <c r="BW20" s="1121"/>
      <c r="BX20" s="1121"/>
      <c r="BY20" s="1121"/>
      <c r="BZ20" s="1121"/>
      <c r="CA20" s="1121"/>
      <c r="CB20" s="1121"/>
      <c r="CC20" s="1121"/>
      <c r="CD20" s="1121"/>
      <c r="CE20" s="1121"/>
      <c r="CF20" s="1121"/>
      <c r="CG20" s="1121"/>
      <c r="CH20" s="1121"/>
      <c r="CI20" s="1121"/>
      <c r="CJ20" s="1121"/>
      <c r="CK20" s="1121"/>
      <c r="CL20" s="1123"/>
      <c r="CM20" s="1123"/>
      <c r="CN20" s="1123"/>
      <c r="CO20" s="1123"/>
      <c r="CP20" s="1123"/>
      <c r="CQ20" s="1123"/>
      <c r="CR20" s="1123"/>
      <c r="CS20" s="1123"/>
      <c r="CT20" s="1123"/>
      <c r="CU20" s="1123"/>
      <c r="CV20" s="1123"/>
      <c r="CW20" s="1123"/>
      <c r="CX20" s="1123"/>
      <c r="CY20" s="1123"/>
      <c r="CZ20" s="1123"/>
      <c r="DA20" s="1123"/>
      <c r="DB20" s="1123"/>
      <c r="DC20" s="1123"/>
      <c r="DD20" s="1123"/>
      <c r="DE20" s="1123"/>
      <c r="DF20" s="1123"/>
      <c r="DG20" s="1123"/>
      <c r="DH20" s="1123"/>
      <c r="DI20" s="1123"/>
      <c r="DJ20" s="1123"/>
      <c r="DK20" s="1123"/>
      <c r="DL20" s="1123"/>
      <c r="DM20" s="1123"/>
      <c r="DN20" s="1123"/>
      <c r="DO20" s="1123"/>
      <c r="DP20" s="1123"/>
      <c r="DQ20" s="1123"/>
      <c r="DR20" s="1123"/>
      <c r="DS20" s="1123"/>
      <c r="DT20" s="1123"/>
      <c r="DU20" s="1123"/>
      <c r="DV20" s="1123"/>
      <c r="DW20" s="1123"/>
      <c r="DX20" s="1123"/>
      <c r="DY20" s="1123"/>
      <c r="DZ20" s="1123"/>
      <c r="EA20" s="1123"/>
      <c r="EB20" s="1123"/>
      <c r="EC20" s="1123"/>
      <c r="ED20" s="1123"/>
      <c r="EE20" s="1123"/>
      <c r="EF20" s="1123"/>
      <c r="EG20" s="1123"/>
      <c r="EH20" s="1123"/>
      <c r="EI20" s="1123"/>
      <c r="EJ20" s="1123"/>
      <c r="EK20" s="1123"/>
      <c r="EL20" s="1123"/>
      <c r="EM20" s="1123"/>
      <c r="EN20" s="1123"/>
      <c r="EO20" s="1123"/>
      <c r="EP20" s="1123"/>
      <c r="EQ20" s="1123"/>
      <c r="ER20" s="1123"/>
      <c r="ES20" s="1123"/>
      <c r="ET20" s="1123"/>
      <c r="EU20" s="1123"/>
      <c r="EV20" s="1123"/>
      <c r="EW20" s="1123"/>
      <c r="EX20" s="1123"/>
      <c r="EY20" s="1123"/>
      <c r="EZ20" s="1123"/>
      <c r="FA20" s="1123"/>
      <c r="FB20" s="1123"/>
      <c r="FC20" s="1123"/>
      <c r="FD20" s="1123"/>
      <c r="FE20" s="1123"/>
      <c r="FF20" s="1123"/>
      <c r="FG20" s="1123"/>
      <c r="FH20" s="1123"/>
      <c r="FI20" s="1123"/>
      <c r="FJ20" s="1123"/>
      <c r="FK20" s="1123"/>
      <c r="FL20" s="1123"/>
      <c r="FM20" s="1123"/>
      <c r="FN20" s="1123"/>
      <c r="FO20" s="1123"/>
      <c r="FP20" s="1123"/>
      <c r="FQ20" s="1123"/>
      <c r="FR20" s="1123"/>
      <c r="FS20" s="1123"/>
      <c r="FT20" s="1123"/>
      <c r="FU20" s="1123"/>
      <c r="FV20" s="1123"/>
      <c r="FW20" s="1123"/>
      <c r="FX20" s="1124"/>
      <c r="GC20" s="849">
        <v>0</v>
      </c>
    </row>
    <row r="21" spans="1:185" s="852" customFormat="1" ht="21" customHeight="1">
      <c r="A21" s="1246" t="s">
        <v>1334</v>
      </c>
      <c r="B21" s="867"/>
      <c r="E21" s="866" t="s">
        <v>9</v>
      </c>
      <c r="F21" s="1044" t="str">
        <f>INDEX(IP_MAIN_LIST_NAME_IP,MATCH(A21,IP_MAIN_LIST_IP_ID,0))&amp;" ("&amp;INDEX(IP_MAIN_START_DATE,MATCH(A21,IP_MAIN_LIST_IP_ID,0))&amp;"-"&amp;INDEX(IP_MAIN_END_DATE,MATCH(A21,IP_MAIN_LIST_IP_ID,0))&amp;")"</f>
        <v>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 (01.01.2020-31.12.2026)</v>
      </c>
      <c r="G21" s="1125"/>
      <c r="H21" s="1126"/>
      <c r="I21" s="1126"/>
      <c r="J21" s="1126"/>
      <c r="K21" s="1126"/>
      <c r="L21" s="1126"/>
      <c r="M21" s="1126"/>
      <c r="N21" s="1126"/>
      <c r="O21" s="1125"/>
      <c r="P21" s="1125"/>
      <c r="Q21" s="1125"/>
      <c r="R21" s="1125"/>
      <c r="S21" s="1125"/>
      <c r="T21" s="1125"/>
      <c r="U21" s="1127"/>
      <c r="V21" s="1127"/>
      <c r="W21" s="1127"/>
      <c r="X21" s="1127"/>
      <c r="Y21" s="1127"/>
      <c r="Z21" s="1127"/>
      <c r="AA21" s="1127"/>
      <c r="AB21" s="1125"/>
      <c r="AC21" s="1126"/>
      <c r="AD21" s="1126"/>
      <c r="AE21" s="1126"/>
      <c r="AF21" s="1126"/>
      <c r="AG21" s="1126"/>
      <c r="AH21" s="1126"/>
      <c r="AI21" s="1126"/>
      <c r="AJ21" s="1126"/>
      <c r="AK21" s="1126"/>
      <c r="AL21" s="1126"/>
      <c r="AM21" s="1126"/>
      <c r="AN21" s="1126"/>
      <c r="AO21" s="1126"/>
      <c r="AP21" s="1126"/>
      <c r="AQ21" s="1126"/>
      <c r="AR21" s="1126"/>
      <c r="AS21" s="1126"/>
      <c r="AT21" s="1126"/>
      <c r="AU21" s="1126"/>
      <c r="AV21" s="1126"/>
      <c r="AW21" s="1126"/>
      <c r="AX21" s="1126"/>
      <c r="AY21" s="1126"/>
      <c r="AZ21" s="1126"/>
      <c r="BA21" s="1126"/>
      <c r="BB21" s="1126"/>
      <c r="BC21" s="1126"/>
      <c r="BD21" s="1126"/>
      <c r="BE21" s="1126"/>
      <c r="BF21" s="1126"/>
      <c r="BG21" s="1126"/>
      <c r="BH21" s="1126"/>
      <c r="BI21" s="1126"/>
      <c r="BJ21" s="1126"/>
      <c r="BK21" s="1126"/>
      <c r="BL21" s="1126"/>
      <c r="BM21" s="1126"/>
      <c r="BN21" s="1126"/>
      <c r="BO21" s="1126"/>
      <c r="BP21" s="1126"/>
      <c r="BQ21" s="1126"/>
      <c r="BR21" s="1126"/>
      <c r="BS21" s="1126"/>
      <c r="BT21" s="1126"/>
      <c r="BU21" s="1126"/>
      <c r="BV21" s="1126"/>
      <c r="BW21" s="1126"/>
      <c r="BX21" s="1126"/>
      <c r="BY21" s="1126"/>
      <c r="BZ21" s="1126"/>
      <c r="CA21" s="1126"/>
      <c r="CB21" s="1126"/>
      <c r="CC21" s="1126"/>
      <c r="CD21" s="1126"/>
      <c r="CE21" s="1126"/>
      <c r="CF21" s="1126"/>
      <c r="CG21" s="1126"/>
      <c r="CH21" s="1126"/>
      <c r="CI21" s="1126"/>
      <c r="CJ21" s="1126"/>
      <c r="CK21" s="1126"/>
      <c r="CL21" s="1128"/>
      <c r="CM21" s="1128"/>
      <c r="CN21" s="1128"/>
      <c r="CO21" s="1128"/>
      <c r="CP21" s="1128"/>
      <c r="CQ21" s="1128"/>
      <c r="CR21" s="1128"/>
      <c r="CS21" s="1128"/>
      <c r="CT21" s="1128"/>
      <c r="CU21" s="1128"/>
      <c r="CV21" s="1128"/>
      <c r="CW21" s="1128"/>
      <c r="CX21" s="1128"/>
      <c r="CY21" s="1128"/>
      <c r="CZ21" s="1128"/>
      <c r="DA21" s="1128"/>
      <c r="DB21" s="1128"/>
      <c r="DC21" s="1128"/>
      <c r="DD21" s="1128"/>
      <c r="DE21" s="1128"/>
      <c r="DF21" s="1128"/>
      <c r="DG21" s="1128"/>
      <c r="DH21" s="1128"/>
      <c r="DI21" s="1128"/>
      <c r="DJ21" s="1128"/>
      <c r="DK21" s="1128"/>
      <c r="DL21" s="1128"/>
      <c r="DM21" s="1128"/>
      <c r="DN21" s="1128"/>
      <c r="DO21" s="1128"/>
      <c r="DP21" s="1128"/>
      <c r="DQ21" s="1128"/>
      <c r="DR21" s="1128"/>
      <c r="DS21" s="1128"/>
      <c r="DT21" s="1128"/>
      <c r="DU21" s="1128"/>
      <c r="DV21" s="1128"/>
      <c r="DW21" s="1128"/>
      <c r="DX21" s="1128"/>
      <c r="DY21" s="1128"/>
      <c r="DZ21" s="1128"/>
      <c r="EA21" s="1128"/>
      <c r="EB21" s="1128"/>
      <c r="EC21" s="1128"/>
      <c r="ED21" s="1128"/>
      <c r="EE21" s="1128"/>
      <c r="EF21" s="1128"/>
      <c r="EG21" s="1128"/>
      <c r="EH21" s="1128"/>
      <c r="EI21" s="1128"/>
      <c r="EJ21" s="1128"/>
      <c r="EK21" s="1128"/>
      <c r="EL21" s="1128"/>
      <c r="EM21" s="1128"/>
      <c r="EN21" s="1128"/>
      <c r="EO21" s="1128"/>
      <c r="EP21" s="1128"/>
      <c r="EQ21" s="1128"/>
      <c r="ER21" s="1128"/>
      <c r="ES21" s="1128"/>
      <c r="ET21" s="1128"/>
      <c r="EU21" s="1128"/>
      <c r="EV21" s="1128"/>
      <c r="EW21" s="1128"/>
      <c r="EX21" s="1128"/>
      <c r="EY21" s="1128"/>
      <c r="EZ21" s="1128"/>
      <c r="FA21" s="1128"/>
      <c r="FB21" s="1128"/>
      <c r="FC21" s="1128"/>
      <c r="FD21" s="1128"/>
      <c r="FE21" s="1128"/>
      <c r="FF21" s="1128"/>
      <c r="FG21" s="1128"/>
      <c r="FH21" s="1128"/>
      <c r="FI21" s="1128"/>
      <c r="FJ21" s="1128"/>
      <c r="FK21" s="1128"/>
      <c r="FL21" s="1128"/>
      <c r="FM21" s="1128"/>
      <c r="FN21" s="1128"/>
      <c r="FO21" s="1128"/>
      <c r="FP21" s="1128"/>
      <c r="FQ21" s="1128"/>
      <c r="FR21" s="1128"/>
      <c r="FS21" s="1128"/>
      <c r="FT21" s="1128"/>
      <c r="FU21" s="1128"/>
      <c r="FV21" s="1129"/>
      <c r="FW21" s="1123"/>
      <c r="FX21" s="1124"/>
    </row>
    <row r="22" spans="1:185" s="852" customFormat="1" ht="30.75" customHeight="1">
      <c r="A22" s="852" t="s">
        <v>1334</v>
      </c>
      <c r="B22" s="867"/>
      <c r="E22" s="1739"/>
      <c r="F22" s="1990">
        <v>1</v>
      </c>
      <c r="G22" s="1998" t="s">
        <v>1325</v>
      </c>
      <c r="H22" s="1132" t="s">
        <v>55</v>
      </c>
      <c r="I22" s="1868" t="s">
        <v>1434</v>
      </c>
      <c r="J22" s="1133"/>
      <c r="K22" s="1133"/>
      <c r="L22" s="1133"/>
      <c r="M22" s="1133"/>
      <c r="N22" s="1133"/>
      <c r="O22" s="1134">
        <v>0</v>
      </c>
      <c r="P22" s="1134">
        <v>0</v>
      </c>
      <c r="Q22" s="1134">
        <v>0</v>
      </c>
      <c r="R22" s="1134">
        <v>0</v>
      </c>
      <c r="S22" s="1134">
        <v>157.38</v>
      </c>
      <c r="T22" s="1134">
        <v>136.04</v>
      </c>
      <c r="U22" s="1134">
        <v>2.0099999999999998</v>
      </c>
      <c r="V22" s="1134">
        <v>1.43</v>
      </c>
      <c r="W22" s="1134"/>
      <c r="X22" s="1134"/>
      <c r="Y22" s="1134">
        <v>661.97</v>
      </c>
      <c r="Z22" s="1134">
        <v>470.27</v>
      </c>
      <c r="AA22" s="1134"/>
      <c r="AB22" s="1134"/>
      <c r="AC22" s="1133"/>
      <c r="AD22" s="1133"/>
      <c r="AE22" s="1133"/>
      <c r="AF22" s="1133"/>
      <c r="AG22" s="1133"/>
      <c r="AH22" s="1133"/>
      <c r="AI22" s="1133"/>
      <c r="AJ22" s="1133"/>
      <c r="AK22" s="1133"/>
      <c r="AL22" s="1133"/>
      <c r="AM22" s="1133"/>
      <c r="AN22" s="1133"/>
      <c r="AO22" s="1133"/>
      <c r="AP22" s="1133"/>
      <c r="AQ22" s="1133"/>
      <c r="AR22" s="1133"/>
      <c r="AS22" s="1133"/>
      <c r="AT22" s="1133"/>
      <c r="AU22" s="1133"/>
      <c r="AV22" s="1133"/>
      <c r="AW22" s="1133"/>
      <c r="AX22" s="1133"/>
      <c r="AY22" s="1133"/>
      <c r="AZ22" s="1133"/>
      <c r="BA22" s="1133"/>
      <c r="BB22" s="1133"/>
      <c r="BC22" s="1133"/>
      <c r="BD22" s="1133"/>
      <c r="BE22" s="1133"/>
      <c r="BF22" s="1133"/>
      <c r="BG22" s="1133"/>
      <c r="BH22" s="1133"/>
      <c r="BI22" s="1133"/>
      <c r="BJ22" s="1133"/>
      <c r="BK22" s="1133"/>
      <c r="BL22" s="1133"/>
      <c r="BM22" s="1133"/>
      <c r="BN22" s="1133"/>
      <c r="BO22" s="1133"/>
      <c r="BP22" s="1133"/>
      <c r="BQ22" s="1133"/>
      <c r="BR22" s="1133"/>
      <c r="BS22" s="1133"/>
      <c r="BT22" s="1134"/>
      <c r="BU22" s="1134"/>
      <c r="BV22" s="1134"/>
      <c r="BW22" s="1134"/>
      <c r="BX22" s="1134"/>
      <c r="BY22" s="1134"/>
      <c r="BZ22" s="1134"/>
      <c r="CA22" s="1134"/>
      <c r="CB22" s="1134"/>
      <c r="CC22" s="1134"/>
      <c r="CD22" s="1134"/>
      <c r="CE22" s="1134"/>
      <c r="CF22" s="1134"/>
      <c r="CG22" s="1134"/>
      <c r="CH22" s="1134"/>
      <c r="CI22" s="1134"/>
      <c r="CJ22" s="1134"/>
      <c r="CK22" s="1134"/>
      <c r="CL22" s="1133"/>
      <c r="CM22" s="1133"/>
      <c r="CN22" s="1133"/>
      <c r="CO22" s="1133"/>
      <c r="CP22" s="1133"/>
      <c r="CQ22" s="1133"/>
      <c r="CR22" s="1133"/>
      <c r="CS22" s="1133"/>
      <c r="CT22" s="1133"/>
      <c r="CU22" s="1133"/>
      <c r="CV22" s="1133"/>
      <c r="CW22" s="1133"/>
      <c r="CX22" s="1133"/>
      <c r="CY22" s="1134"/>
      <c r="CZ22" s="1134"/>
      <c r="DA22" s="1134"/>
      <c r="DB22" s="1134"/>
      <c r="DC22" s="1134"/>
      <c r="DD22" s="1134"/>
      <c r="DE22" s="1134"/>
      <c r="DF22" s="1134"/>
      <c r="DG22" s="1134"/>
      <c r="DH22" s="1134"/>
      <c r="DI22" s="1134"/>
      <c r="DJ22" s="1134"/>
      <c r="DK22" s="1133"/>
      <c r="DL22" s="1133"/>
      <c r="DM22" s="1133"/>
      <c r="DN22" s="1133"/>
      <c r="DO22" s="1133"/>
      <c r="DP22" s="1133"/>
      <c r="DQ22" s="1133"/>
      <c r="DR22" s="1133"/>
      <c r="DS22" s="1133"/>
      <c r="DT22" s="1133"/>
      <c r="DU22" s="1133"/>
      <c r="DV22" s="1133"/>
      <c r="DW22" s="1133"/>
      <c r="DX22" s="1133"/>
      <c r="DY22" s="1133"/>
      <c r="DZ22" s="1133"/>
      <c r="EA22" s="1133"/>
      <c r="EB22" s="1133"/>
      <c r="EC22" s="1133"/>
      <c r="ED22" s="1133"/>
      <c r="EE22" s="1133"/>
      <c r="EF22" s="1133"/>
      <c r="EG22" s="1133"/>
      <c r="EH22" s="1133"/>
      <c r="EI22" s="1133"/>
      <c r="EJ22" s="1133"/>
      <c r="EK22" s="1133"/>
      <c r="EL22" s="1133"/>
      <c r="EM22" s="1133"/>
      <c r="EN22" s="1133"/>
      <c r="EO22" s="1133"/>
      <c r="EP22" s="1133"/>
      <c r="EQ22" s="1133"/>
      <c r="ER22" s="1133"/>
      <c r="ES22" s="1133"/>
      <c r="ET22" s="1133"/>
      <c r="EU22" s="1133"/>
      <c r="EV22" s="1133"/>
      <c r="EW22" s="1133"/>
      <c r="EX22" s="1133"/>
      <c r="EY22" s="1133"/>
      <c r="EZ22" s="1133"/>
      <c r="FA22" s="1133"/>
      <c r="FB22" s="1133"/>
      <c r="FC22" s="1133"/>
      <c r="FD22" s="1133"/>
      <c r="FE22" s="1133"/>
      <c r="FF22" s="1133"/>
      <c r="FG22" s="1133"/>
      <c r="FH22" s="1133"/>
      <c r="FI22" s="1133"/>
      <c r="FJ22" s="1133"/>
      <c r="FK22" s="1133"/>
      <c r="FL22" s="1133"/>
      <c r="FM22" s="1133"/>
      <c r="FN22" s="1133"/>
      <c r="FO22" s="1133"/>
      <c r="FP22" s="1133"/>
      <c r="FQ22" s="1133"/>
      <c r="FR22" s="1133"/>
      <c r="FS22" s="1133"/>
      <c r="FT22" s="1133"/>
      <c r="FU22" s="1133"/>
      <c r="FV22" s="1133"/>
      <c r="FW22" s="1133"/>
      <c r="FX22" s="1124"/>
    </row>
    <row r="23" spans="1:185" s="852" customFormat="1" ht="24.75" customHeight="1">
      <c r="A23" s="852" t="s">
        <v>9</v>
      </c>
      <c r="B23" s="867"/>
      <c r="E23" s="617" t="s">
        <v>90</v>
      </c>
      <c r="F23" s="1990" t="s">
        <v>89</v>
      </c>
      <c r="G23" s="1998" t="s">
        <v>1325</v>
      </c>
      <c r="H23" s="1132" t="s">
        <v>55</v>
      </c>
      <c r="I23" s="1868" t="s">
        <v>1446</v>
      </c>
      <c r="J23" s="1133"/>
      <c r="K23" s="1133"/>
      <c r="L23" s="1133"/>
      <c r="M23" s="1133"/>
      <c r="N23" s="1133"/>
      <c r="O23" s="1134">
        <v>0</v>
      </c>
      <c r="P23" s="1134">
        <v>0</v>
      </c>
      <c r="Q23" s="1134">
        <v>0</v>
      </c>
      <c r="R23" s="1134">
        <v>0</v>
      </c>
      <c r="S23" s="1134">
        <v>158.69999999999999</v>
      </c>
      <c r="T23" s="1134">
        <v>158.63999999999999</v>
      </c>
      <c r="U23" s="1134">
        <v>2.1800000000000002</v>
      </c>
      <c r="V23" s="1134">
        <v>4.8600000000000003</v>
      </c>
      <c r="W23" s="1134"/>
      <c r="X23" s="1134"/>
      <c r="Y23" s="1134">
        <v>42.98</v>
      </c>
      <c r="Z23" s="1134">
        <v>96</v>
      </c>
      <c r="AA23" s="1134"/>
      <c r="AB23" s="1134"/>
      <c r="AC23" s="1133"/>
      <c r="AD23" s="1133"/>
      <c r="AE23" s="1133"/>
      <c r="AF23" s="1133"/>
      <c r="AG23" s="1133"/>
      <c r="AH23" s="1133"/>
      <c r="AI23" s="1133"/>
      <c r="AJ23" s="1133"/>
      <c r="AK23" s="1133"/>
      <c r="AL23" s="1133"/>
      <c r="AM23" s="1133"/>
      <c r="AN23" s="1133"/>
      <c r="AO23" s="1133"/>
      <c r="AP23" s="1133"/>
      <c r="AQ23" s="1133"/>
      <c r="AR23" s="1133"/>
      <c r="AS23" s="1133"/>
      <c r="AT23" s="1133"/>
      <c r="AU23" s="1133"/>
      <c r="AV23" s="1133"/>
      <c r="AW23" s="1133"/>
      <c r="AX23" s="1133"/>
      <c r="AY23" s="1133"/>
      <c r="AZ23" s="1133"/>
      <c r="BA23" s="1133"/>
      <c r="BB23" s="1133"/>
      <c r="BC23" s="1133"/>
      <c r="BD23" s="1133"/>
      <c r="BE23" s="1133"/>
      <c r="BF23" s="1133"/>
      <c r="BG23" s="1133"/>
      <c r="BH23" s="1133"/>
      <c r="BI23" s="1133"/>
      <c r="BJ23" s="1133"/>
      <c r="BK23" s="1133"/>
      <c r="BL23" s="1133"/>
      <c r="BM23" s="1133"/>
      <c r="BN23" s="1133"/>
      <c r="BO23" s="1133"/>
      <c r="BP23" s="1133"/>
      <c r="BQ23" s="1133"/>
      <c r="BR23" s="1133"/>
      <c r="BS23" s="1133"/>
      <c r="BT23" s="1134"/>
      <c r="BU23" s="1134"/>
      <c r="BV23" s="1134"/>
      <c r="BW23" s="1134"/>
      <c r="BX23" s="1134"/>
      <c r="BY23" s="1134"/>
      <c r="BZ23" s="1134"/>
      <c r="CA23" s="1134"/>
      <c r="CB23" s="1134"/>
      <c r="CC23" s="1134"/>
      <c r="CD23" s="1134"/>
      <c r="CE23" s="1134"/>
      <c r="CF23" s="1134"/>
      <c r="CG23" s="1134"/>
      <c r="CH23" s="1134"/>
      <c r="CI23" s="1134"/>
      <c r="CJ23" s="1134"/>
      <c r="CK23" s="1134"/>
      <c r="CL23" s="1133"/>
      <c r="CM23" s="1133"/>
      <c r="CN23" s="1133"/>
      <c r="CO23" s="1133"/>
      <c r="CP23" s="1133"/>
      <c r="CQ23" s="1133"/>
      <c r="CR23" s="1133"/>
      <c r="CS23" s="1133"/>
      <c r="CT23" s="1133"/>
      <c r="CU23" s="1133"/>
      <c r="CV23" s="1133"/>
      <c r="CW23" s="1133"/>
      <c r="CX23" s="1133"/>
      <c r="CY23" s="1134"/>
      <c r="CZ23" s="1134"/>
      <c r="DA23" s="1134"/>
      <c r="DB23" s="1134"/>
      <c r="DC23" s="1134"/>
      <c r="DD23" s="1134"/>
      <c r="DE23" s="1134"/>
      <c r="DF23" s="1134"/>
      <c r="DG23" s="1134"/>
      <c r="DH23" s="1134"/>
      <c r="DI23" s="1134"/>
      <c r="DJ23" s="1134"/>
      <c r="DK23" s="1133"/>
      <c r="DL23" s="1133"/>
      <c r="DM23" s="1133"/>
      <c r="DN23" s="1133"/>
      <c r="DO23" s="1133"/>
      <c r="DP23" s="1133"/>
      <c r="DQ23" s="1133"/>
      <c r="DR23" s="1133"/>
      <c r="DS23" s="1133"/>
      <c r="DT23" s="1133"/>
      <c r="DU23" s="1133"/>
      <c r="DV23" s="1133"/>
      <c r="DW23" s="1133"/>
      <c r="DX23" s="1133"/>
      <c r="DY23" s="1133"/>
      <c r="DZ23" s="1133"/>
      <c r="EA23" s="1133"/>
      <c r="EB23" s="1133"/>
      <c r="EC23" s="1133"/>
      <c r="ED23" s="1133"/>
      <c r="EE23" s="1133"/>
      <c r="EF23" s="1133"/>
      <c r="EG23" s="1133"/>
      <c r="EH23" s="1133"/>
      <c r="EI23" s="1133"/>
      <c r="EJ23" s="1133"/>
      <c r="EK23" s="1133"/>
      <c r="EL23" s="1133"/>
      <c r="EM23" s="1133"/>
      <c r="EN23" s="1133"/>
      <c r="EO23" s="1133"/>
      <c r="EP23" s="1133"/>
      <c r="EQ23" s="1133"/>
      <c r="ER23" s="1133"/>
      <c r="ES23" s="1133"/>
      <c r="ET23" s="1133"/>
      <c r="EU23" s="1133"/>
      <c r="EV23" s="1133"/>
      <c r="EW23" s="1133"/>
      <c r="EX23" s="1133"/>
      <c r="EY23" s="1133"/>
      <c r="EZ23" s="1133"/>
      <c r="FA23" s="1133"/>
      <c r="FB23" s="1133"/>
      <c r="FC23" s="1133"/>
      <c r="FD23" s="1133"/>
      <c r="FE23" s="1133"/>
      <c r="FF23" s="1133"/>
      <c r="FG23" s="1133"/>
      <c r="FH23" s="1133"/>
      <c r="FI23" s="1133"/>
      <c r="FJ23" s="1133"/>
      <c r="FK23" s="1133"/>
      <c r="FL23" s="1133"/>
      <c r="FM23" s="1133"/>
      <c r="FN23" s="1133"/>
      <c r="FO23" s="1133"/>
      <c r="FP23" s="1133"/>
      <c r="FQ23" s="1133"/>
      <c r="FR23" s="1133"/>
      <c r="FS23" s="1133"/>
      <c r="FT23" s="1133"/>
      <c r="FU23" s="1133"/>
      <c r="FV23" s="1133"/>
      <c r="FW23" s="1133"/>
      <c r="FX23" s="1124"/>
    </row>
    <row r="24" spans="1:185" s="852" customFormat="1" ht="24.75" customHeight="1">
      <c r="A24" s="852" t="s">
        <v>9</v>
      </c>
      <c r="B24" s="867"/>
      <c r="E24" s="617" t="s">
        <v>90</v>
      </c>
      <c r="F24" s="1990" t="s">
        <v>78</v>
      </c>
      <c r="G24" s="1998" t="s">
        <v>1325</v>
      </c>
      <c r="H24" s="1132" t="s">
        <v>55</v>
      </c>
      <c r="I24" s="1868" t="s">
        <v>1454</v>
      </c>
      <c r="J24" s="1133"/>
      <c r="K24" s="1133"/>
      <c r="L24" s="1133"/>
      <c r="M24" s="1133"/>
      <c r="N24" s="1133"/>
      <c r="O24" s="1134">
        <v>0</v>
      </c>
      <c r="P24" s="1134">
        <v>0</v>
      </c>
      <c r="Q24" s="1134">
        <v>0</v>
      </c>
      <c r="R24" s="1134">
        <v>0</v>
      </c>
      <c r="S24" s="1134">
        <v>236.97</v>
      </c>
      <c r="T24" s="1134">
        <v>144.29</v>
      </c>
      <c r="U24" s="1134"/>
      <c r="V24" s="1134"/>
      <c r="W24" s="1134"/>
      <c r="X24" s="1134"/>
      <c r="Y24" s="1134"/>
      <c r="Z24" s="1134"/>
      <c r="AA24" s="1134"/>
      <c r="AB24" s="1134"/>
      <c r="AC24" s="1133"/>
      <c r="AD24" s="1133"/>
      <c r="AE24" s="1133"/>
      <c r="AF24" s="1133"/>
      <c r="AG24" s="1133"/>
      <c r="AH24" s="1133"/>
      <c r="AI24" s="1133"/>
      <c r="AJ24" s="1133"/>
      <c r="AK24" s="1133"/>
      <c r="AL24" s="1133"/>
      <c r="AM24" s="1133"/>
      <c r="AN24" s="1133"/>
      <c r="AO24" s="1133"/>
      <c r="AP24" s="1133"/>
      <c r="AQ24" s="1133"/>
      <c r="AR24" s="1133"/>
      <c r="AS24" s="1133"/>
      <c r="AT24" s="1133"/>
      <c r="AU24" s="1133"/>
      <c r="AV24" s="1133"/>
      <c r="AW24" s="1133"/>
      <c r="AX24" s="1133"/>
      <c r="AY24" s="1133"/>
      <c r="AZ24" s="1133"/>
      <c r="BA24" s="1133"/>
      <c r="BB24" s="1133"/>
      <c r="BC24" s="1133"/>
      <c r="BD24" s="1133"/>
      <c r="BE24" s="1133"/>
      <c r="BF24" s="1133"/>
      <c r="BG24" s="1133"/>
      <c r="BH24" s="1133"/>
      <c r="BI24" s="1133"/>
      <c r="BJ24" s="1133"/>
      <c r="BK24" s="1133"/>
      <c r="BL24" s="1133"/>
      <c r="BM24" s="1133"/>
      <c r="BN24" s="1133"/>
      <c r="BO24" s="1133"/>
      <c r="BP24" s="1133"/>
      <c r="BQ24" s="1133"/>
      <c r="BR24" s="1133"/>
      <c r="BS24" s="1133"/>
      <c r="BT24" s="1134"/>
      <c r="BU24" s="1134"/>
      <c r="BV24" s="1134"/>
      <c r="BW24" s="1134"/>
      <c r="BX24" s="1134"/>
      <c r="BY24" s="1134"/>
      <c r="BZ24" s="1134"/>
      <c r="CA24" s="1134"/>
      <c r="CB24" s="1134"/>
      <c r="CC24" s="1134"/>
      <c r="CD24" s="1134"/>
      <c r="CE24" s="1134"/>
      <c r="CF24" s="1134"/>
      <c r="CG24" s="1134"/>
      <c r="CH24" s="1134"/>
      <c r="CI24" s="1134"/>
      <c r="CJ24" s="1134"/>
      <c r="CK24" s="1134"/>
      <c r="CL24" s="1133"/>
      <c r="CM24" s="1133"/>
      <c r="CN24" s="1133"/>
      <c r="CO24" s="1133"/>
      <c r="CP24" s="1133"/>
      <c r="CQ24" s="1133"/>
      <c r="CR24" s="1133"/>
      <c r="CS24" s="1133"/>
      <c r="CT24" s="1133"/>
      <c r="CU24" s="1133"/>
      <c r="CV24" s="1133"/>
      <c r="CW24" s="1133"/>
      <c r="CX24" s="1133"/>
      <c r="CY24" s="1134"/>
      <c r="CZ24" s="1134"/>
      <c r="DA24" s="1134"/>
      <c r="DB24" s="1134"/>
      <c r="DC24" s="1134"/>
      <c r="DD24" s="1134"/>
      <c r="DE24" s="1134"/>
      <c r="DF24" s="1134"/>
      <c r="DG24" s="1134"/>
      <c r="DH24" s="1134"/>
      <c r="DI24" s="1134"/>
      <c r="DJ24" s="1134"/>
      <c r="DK24" s="1133"/>
      <c r="DL24" s="1133"/>
      <c r="DM24" s="1133"/>
      <c r="DN24" s="1133"/>
      <c r="DO24" s="1133"/>
      <c r="DP24" s="1133"/>
      <c r="DQ24" s="1133"/>
      <c r="DR24" s="1133"/>
      <c r="DS24" s="1133"/>
      <c r="DT24" s="1133"/>
      <c r="DU24" s="1133"/>
      <c r="DV24" s="1133"/>
      <c r="DW24" s="1133"/>
      <c r="DX24" s="1133"/>
      <c r="DY24" s="1133"/>
      <c r="DZ24" s="1133"/>
      <c r="EA24" s="1133"/>
      <c r="EB24" s="1133"/>
      <c r="EC24" s="1133"/>
      <c r="ED24" s="1133"/>
      <c r="EE24" s="1133"/>
      <c r="EF24" s="1133"/>
      <c r="EG24" s="1133"/>
      <c r="EH24" s="1133"/>
      <c r="EI24" s="1133"/>
      <c r="EJ24" s="1133"/>
      <c r="EK24" s="1133"/>
      <c r="EL24" s="1133"/>
      <c r="EM24" s="1133"/>
      <c r="EN24" s="1133"/>
      <c r="EO24" s="1133"/>
      <c r="EP24" s="1133"/>
      <c r="EQ24" s="1133"/>
      <c r="ER24" s="1133"/>
      <c r="ES24" s="1133"/>
      <c r="ET24" s="1133"/>
      <c r="EU24" s="1133"/>
      <c r="EV24" s="1133"/>
      <c r="EW24" s="1133"/>
      <c r="EX24" s="1133"/>
      <c r="EY24" s="1133"/>
      <c r="EZ24" s="1133"/>
      <c r="FA24" s="1133"/>
      <c r="FB24" s="1133"/>
      <c r="FC24" s="1133"/>
      <c r="FD24" s="1133"/>
      <c r="FE24" s="1133"/>
      <c r="FF24" s="1133"/>
      <c r="FG24" s="1133"/>
      <c r="FH24" s="1133"/>
      <c r="FI24" s="1133"/>
      <c r="FJ24" s="1133"/>
      <c r="FK24" s="1133"/>
      <c r="FL24" s="1133"/>
      <c r="FM24" s="1133"/>
      <c r="FN24" s="1133"/>
      <c r="FO24" s="1133"/>
      <c r="FP24" s="1133"/>
      <c r="FQ24" s="1133"/>
      <c r="FR24" s="1133"/>
      <c r="FS24" s="1133"/>
      <c r="FT24" s="1133"/>
      <c r="FU24" s="1133"/>
      <c r="FV24" s="1133"/>
      <c r="FW24" s="1133"/>
      <c r="FX24" s="1124"/>
    </row>
    <row r="25" spans="1:185" s="852" customFormat="1" ht="12" customHeight="1">
      <c r="A25" s="852" t="s">
        <v>1334</v>
      </c>
      <c r="B25" s="867"/>
      <c r="F25" s="2019"/>
      <c r="G25" s="2020" t="s">
        <v>1633</v>
      </c>
      <c r="H25" s="2021"/>
      <c r="I25" s="2022"/>
      <c r="J25" s="2023"/>
      <c r="K25" s="2024"/>
      <c r="L25" s="2025"/>
      <c r="M25" s="2026"/>
      <c r="N25" s="2027"/>
      <c r="O25" s="2028"/>
      <c r="P25" s="2029"/>
      <c r="Q25" s="2030"/>
      <c r="R25" s="2031"/>
      <c r="S25" s="2032"/>
      <c r="T25" s="2033"/>
      <c r="U25" s="2034"/>
      <c r="V25" s="2035"/>
      <c r="W25" s="2036"/>
      <c r="X25" s="2037"/>
      <c r="Y25" s="2038"/>
      <c r="Z25" s="2039"/>
      <c r="AA25" s="2040"/>
      <c r="AB25" s="2041"/>
      <c r="AC25" s="2042"/>
      <c r="AD25" s="2043"/>
      <c r="AE25" s="2044"/>
      <c r="AF25" s="2045"/>
      <c r="AG25" s="2046"/>
      <c r="AH25" s="2047"/>
      <c r="AI25" s="2048"/>
      <c r="AJ25" s="2049"/>
      <c r="AK25" s="2050"/>
      <c r="AL25" s="2051"/>
      <c r="AM25" s="2052"/>
      <c r="AN25" s="2053"/>
      <c r="AO25" s="2054"/>
      <c r="AP25" s="2055"/>
      <c r="AQ25" s="2056"/>
      <c r="AR25" s="2057"/>
      <c r="AS25" s="2058"/>
      <c r="AT25" s="2059"/>
      <c r="AU25" s="2060"/>
      <c r="AV25" s="2061"/>
      <c r="AW25" s="2062"/>
      <c r="AX25" s="2063"/>
      <c r="AY25" s="2064"/>
      <c r="AZ25" s="2065"/>
      <c r="BA25" s="2066"/>
      <c r="BB25" s="2067"/>
      <c r="BC25" s="2068"/>
      <c r="BD25" s="2069"/>
      <c r="BE25" s="2070"/>
      <c r="BF25" s="2071"/>
      <c r="BG25" s="2072"/>
      <c r="BH25" s="2073"/>
      <c r="BI25" s="2074"/>
      <c r="BJ25" s="2075"/>
      <c r="BK25" s="2076"/>
      <c r="BL25" s="2077"/>
      <c r="BM25" s="2078"/>
      <c r="BN25" s="2079"/>
      <c r="BO25" s="2080"/>
      <c r="BP25" s="2081"/>
      <c r="BQ25" s="2082"/>
      <c r="BR25" s="2083"/>
      <c r="BS25" s="2084"/>
      <c r="BT25" s="2085"/>
      <c r="BU25" s="2086"/>
      <c r="BV25" s="2087"/>
      <c r="BW25" s="2088"/>
      <c r="BX25" s="2089"/>
      <c r="BY25" s="2090"/>
      <c r="BZ25" s="2091"/>
      <c r="CA25" s="2092"/>
      <c r="CB25" s="2093"/>
      <c r="CC25" s="2094"/>
      <c r="CD25" s="2095"/>
      <c r="CE25" s="2096"/>
      <c r="CF25" s="2097"/>
      <c r="CG25" s="2098"/>
      <c r="CH25" s="2099"/>
      <c r="CI25" s="2100"/>
      <c r="CJ25" s="2101"/>
      <c r="CK25" s="2102"/>
      <c r="CL25" s="2103"/>
      <c r="CM25" s="2104"/>
      <c r="CN25" s="2105"/>
      <c r="CO25" s="2106"/>
      <c r="CP25" s="2107"/>
      <c r="CQ25" s="2108"/>
      <c r="CR25" s="2109"/>
      <c r="CS25" s="2110"/>
      <c r="CT25" s="2111"/>
      <c r="CU25" s="2112"/>
      <c r="CV25" s="2113"/>
      <c r="CW25" s="2114"/>
      <c r="CX25" s="2115"/>
      <c r="CY25" s="2116"/>
      <c r="CZ25" s="2117"/>
      <c r="DA25" s="2118"/>
      <c r="DB25" s="2119"/>
      <c r="DC25" s="2120"/>
      <c r="DD25" s="2121"/>
      <c r="DE25" s="2122"/>
      <c r="DF25" s="2123"/>
      <c r="DG25" s="2124"/>
      <c r="DH25" s="2125"/>
      <c r="DI25" s="2126"/>
      <c r="DJ25" s="2127"/>
      <c r="DK25" s="2128"/>
      <c r="DL25" s="2129"/>
      <c r="DM25" s="2130"/>
      <c r="DN25" s="2131"/>
      <c r="DO25" s="2132"/>
      <c r="DP25" s="2133"/>
      <c r="DQ25" s="2134"/>
      <c r="DR25" s="2135"/>
      <c r="DS25" s="2136"/>
      <c r="DT25" s="2137"/>
      <c r="DU25" s="2138"/>
      <c r="DV25" s="2139"/>
      <c r="DW25" s="2140"/>
      <c r="DX25" s="2141"/>
      <c r="DY25" s="2142"/>
      <c r="DZ25" s="2143"/>
      <c r="EA25" s="2144"/>
      <c r="EB25" s="2145"/>
      <c r="EC25" s="2146"/>
      <c r="ED25" s="2147"/>
      <c r="EE25" s="2148"/>
      <c r="EF25" s="2149"/>
      <c r="EG25" s="2150"/>
      <c r="EH25" s="2151"/>
      <c r="EI25" s="2152"/>
      <c r="EJ25" s="2153"/>
      <c r="EK25" s="2154"/>
      <c r="EL25" s="2155"/>
      <c r="EM25" s="2156"/>
      <c r="EN25" s="2157"/>
      <c r="EO25" s="2158"/>
      <c r="EP25" s="2159"/>
      <c r="EQ25" s="2160"/>
      <c r="ER25" s="2161"/>
      <c r="ES25" s="2162"/>
      <c r="ET25" s="2163"/>
      <c r="EU25" s="2164"/>
      <c r="EV25" s="2165"/>
      <c r="EW25" s="2166"/>
      <c r="EX25" s="2167"/>
      <c r="EY25" s="2168"/>
      <c r="EZ25" s="2169"/>
      <c r="FA25" s="2170"/>
      <c r="FB25" s="2171"/>
      <c r="FC25" s="2172"/>
      <c r="FD25" s="2173"/>
      <c r="FE25" s="2174"/>
      <c r="FF25" s="2175"/>
      <c r="FG25" s="2176"/>
      <c r="FH25" s="2177"/>
      <c r="FI25" s="2178"/>
      <c r="FJ25" s="2179"/>
      <c r="FK25" s="2180"/>
      <c r="FL25" s="2181"/>
      <c r="FM25" s="2182"/>
      <c r="FN25" s="2183"/>
      <c r="FO25" s="2184"/>
      <c r="FP25" s="2185"/>
      <c r="FQ25" s="2186"/>
      <c r="FR25" s="2187"/>
      <c r="FS25" s="2188"/>
      <c r="FT25" s="2189"/>
      <c r="FU25" s="2190"/>
      <c r="FV25" s="2191"/>
      <c r="FW25" s="2192"/>
      <c r="FX25" s="1714"/>
      <c r="FY25" s="988"/>
      <c r="FZ25" s="988"/>
      <c r="GA25" s="988"/>
      <c r="GB25" s="988"/>
    </row>
    <row r="26" spans="1:185" s="852" customFormat="1" ht="21" customHeight="1">
      <c r="A26" s="1246" t="s">
        <v>1345</v>
      </c>
      <c r="B26" s="867"/>
      <c r="E26" s="866" t="s">
        <v>9</v>
      </c>
      <c r="F26" s="1044" t="str">
        <f>INDEX(IP_MAIN_LIST_NAME_IP,MATCH(A26,IP_MAIN_LIST_IP_ID,0))&amp;" ("&amp;INDEX(IP_MAIN_START_DATE,MATCH(A26,IP_MAIN_LIST_IP_ID,0))&amp;"-"&amp;INDEX(IP_MAIN_END_DATE,MATCH(A26,IP_MAIN_LIST_IP_ID,0))&amp;")"</f>
        <v>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округа Гагаринский на 2016-2027 годы (01.01.2016-31.12.2027)</v>
      </c>
      <c r="G26" s="1125"/>
      <c r="H26" s="1126"/>
      <c r="I26" s="1126"/>
      <c r="J26" s="1126"/>
      <c r="K26" s="1126"/>
      <c r="L26" s="1126"/>
      <c r="M26" s="1126"/>
      <c r="N26" s="1126"/>
      <c r="O26" s="1125"/>
      <c r="P26" s="1125"/>
      <c r="Q26" s="1125"/>
      <c r="R26" s="1125"/>
      <c r="S26" s="1125"/>
      <c r="T26" s="1125"/>
      <c r="U26" s="1127"/>
      <c r="V26" s="1127"/>
      <c r="W26" s="1127"/>
      <c r="X26" s="1127"/>
      <c r="Y26" s="1127"/>
      <c r="Z26" s="1127"/>
      <c r="AA26" s="1127"/>
      <c r="AB26" s="1125"/>
      <c r="AC26" s="1126"/>
      <c r="AD26" s="1126"/>
      <c r="AE26" s="1126"/>
      <c r="AF26" s="1126"/>
      <c r="AG26" s="1126"/>
      <c r="AH26" s="1126"/>
      <c r="AI26" s="1126"/>
      <c r="AJ26" s="1126"/>
      <c r="AK26" s="1126"/>
      <c r="AL26" s="1126"/>
      <c r="AM26" s="1126"/>
      <c r="AN26" s="1126"/>
      <c r="AO26" s="1126"/>
      <c r="AP26" s="1126"/>
      <c r="AQ26" s="1126"/>
      <c r="AR26" s="1126"/>
      <c r="AS26" s="1126"/>
      <c r="AT26" s="1126"/>
      <c r="AU26" s="1126"/>
      <c r="AV26" s="1126"/>
      <c r="AW26" s="1126"/>
      <c r="AX26" s="1126"/>
      <c r="AY26" s="1126"/>
      <c r="AZ26" s="1126"/>
      <c r="BA26" s="1126"/>
      <c r="BB26" s="1126"/>
      <c r="BC26" s="1126"/>
      <c r="BD26" s="1126"/>
      <c r="BE26" s="1126"/>
      <c r="BF26" s="1126"/>
      <c r="BG26" s="1126"/>
      <c r="BH26" s="1126"/>
      <c r="BI26" s="1126"/>
      <c r="BJ26" s="1126"/>
      <c r="BK26" s="1126"/>
      <c r="BL26" s="1126"/>
      <c r="BM26" s="1126"/>
      <c r="BN26" s="1126"/>
      <c r="BO26" s="1126"/>
      <c r="BP26" s="1126"/>
      <c r="BQ26" s="1126"/>
      <c r="BR26" s="1126"/>
      <c r="BS26" s="1126"/>
      <c r="BT26" s="1126"/>
      <c r="BU26" s="1126"/>
      <c r="BV26" s="1126"/>
      <c r="BW26" s="1126"/>
      <c r="BX26" s="1126"/>
      <c r="BY26" s="1126"/>
      <c r="BZ26" s="1126"/>
      <c r="CA26" s="1126"/>
      <c r="CB26" s="1126"/>
      <c r="CC26" s="1126"/>
      <c r="CD26" s="1126"/>
      <c r="CE26" s="1126"/>
      <c r="CF26" s="1126"/>
      <c r="CG26" s="1126"/>
      <c r="CH26" s="1126"/>
      <c r="CI26" s="1126"/>
      <c r="CJ26" s="1126"/>
      <c r="CK26" s="1126"/>
      <c r="CL26" s="1128"/>
      <c r="CM26" s="1128"/>
      <c r="CN26" s="1128"/>
      <c r="CO26" s="1128"/>
      <c r="CP26" s="1128"/>
      <c r="CQ26" s="1128"/>
      <c r="CR26" s="1128"/>
      <c r="CS26" s="1128"/>
      <c r="CT26" s="1128"/>
      <c r="CU26" s="1128"/>
      <c r="CV26" s="1128"/>
      <c r="CW26" s="1128"/>
      <c r="CX26" s="1128"/>
      <c r="CY26" s="1128"/>
      <c r="CZ26" s="1128"/>
      <c r="DA26" s="1128"/>
      <c r="DB26" s="1128"/>
      <c r="DC26" s="1128"/>
      <c r="DD26" s="1128"/>
      <c r="DE26" s="1128"/>
      <c r="DF26" s="1128"/>
      <c r="DG26" s="1128"/>
      <c r="DH26" s="1128"/>
      <c r="DI26" s="1128"/>
      <c r="DJ26" s="1128"/>
      <c r="DK26" s="1128"/>
      <c r="DL26" s="1128"/>
      <c r="DM26" s="1128"/>
      <c r="DN26" s="1128"/>
      <c r="DO26" s="1128"/>
      <c r="DP26" s="1128"/>
      <c r="DQ26" s="1128"/>
      <c r="DR26" s="1128"/>
      <c r="DS26" s="1128"/>
      <c r="DT26" s="1128"/>
      <c r="DU26" s="1128"/>
      <c r="DV26" s="1128"/>
      <c r="DW26" s="1128"/>
      <c r="DX26" s="1128"/>
      <c r="DY26" s="1128"/>
      <c r="DZ26" s="1128"/>
      <c r="EA26" s="1128"/>
      <c r="EB26" s="1128"/>
      <c r="EC26" s="1128"/>
      <c r="ED26" s="1128"/>
      <c r="EE26" s="1128"/>
      <c r="EF26" s="1128"/>
      <c r="EG26" s="1128"/>
      <c r="EH26" s="1128"/>
      <c r="EI26" s="1128"/>
      <c r="EJ26" s="1128"/>
      <c r="EK26" s="1128"/>
      <c r="EL26" s="1128"/>
      <c r="EM26" s="1128"/>
      <c r="EN26" s="1128"/>
      <c r="EO26" s="1128"/>
      <c r="EP26" s="1128"/>
      <c r="EQ26" s="1128"/>
      <c r="ER26" s="1128"/>
      <c r="ES26" s="1128"/>
      <c r="ET26" s="1128"/>
      <c r="EU26" s="1128"/>
      <c r="EV26" s="1128"/>
      <c r="EW26" s="1128"/>
      <c r="EX26" s="1128"/>
      <c r="EY26" s="1128"/>
      <c r="EZ26" s="1128"/>
      <c r="FA26" s="1128"/>
      <c r="FB26" s="1128"/>
      <c r="FC26" s="1128"/>
      <c r="FD26" s="1128"/>
      <c r="FE26" s="1128"/>
      <c r="FF26" s="1128"/>
      <c r="FG26" s="1128"/>
      <c r="FH26" s="1128"/>
      <c r="FI26" s="1128"/>
      <c r="FJ26" s="1128"/>
      <c r="FK26" s="1128"/>
      <c r="FL26" s="1128"/>
      <c r="FM26" s="1128"/>
      <c r="FN26" s="1128"/>
      <c r="FO26" s="1128"/>
      <c r="FP26" s="1128"/>
      <c r="FQ26" s="1128"/>
      <c r="FR26" s="1128"/>
      <c r="FS26" s="1128"/>
      <c r="FT26" s="1128"/>
      <c r="FU26" s="1128"/>
      <c r="FV26" s="1129"/>
      <c r="FW26" s="1123"/>
      <c r="FX26" s="1124"/>
    </row>
    <row r="27" spans="1:185" s="852" customFormat="1" ht="43.5" customHeight="1">
      <c r="A27" s="852" t="s">
        <v>1345</v>
      </c>
      <c r="B27" s="867"/>
      <c r="E27" s="1739"/>
      <c r="F27" s="1990">
        <v>1</v>
      </c>
      <c r="G27" s="1998" t="s">
        <v>1325</v>
      </c>
      <c r="H27" s="1132" t="s">
        <v>55</v>
      </c>
      <c r="I27" s="1868" t="s">
        <v>1486</v>
      </c>
      <c r="J27" s="1133"/>
      <c r="K27" s="1133"/>
      <c r="L27" s="1133"/>
      <c r="M27" s="1133"/>
      <c r="N27" s="1133"/>
      <c r="O27" s="1134">
        <v>0</v>
      </c>
      <c r="P27" s="1134">
        <v>0</v>
      </c>
      <c r="Q27" s="1134">
        <v>0</v>
      </c>
      <c r="R27" s="1134">
        <v>0</v>
      </c>
      <c r="S27" s="1134">
        <v>164.91</v>
      </c>
      <c r="T27" s="1134">
        <v>164.86</v>
      </c>
      <c r="U27" s="1134">
        <v>2.29</v>
      </c>
      <c r="V27" s="1134">
        <v>2.8</v>
      </c>
      <c r="W27" s="1134"/>
      <c r="X27" s="1134"/>
      <c r="Y27" s="1134">
        <v>15214</v>
      </c>
      <c r="Z27" s="1134">
        <v>18632.400000000001</v>
      </c>
      <c r="AA27" s="1134"/>
      <c r="AB27" s="1134"/>
      <c r="AC27" s="1133"/>
      <c r="AD27" s="1133"/>
      <c r="AE27" s="1133"/>
      <c r="AF27" s="1133"/>
      <c r="AG27" s="1133"/>
      <c r="AH27" s="1133"/>
      <c r="AI27" s="1133"/>
      <c r="AJ27" s="1133"/>
      <c r="AK27" s="1133"/>
      <c r="AL27" s="1133"/>
      <c r="AM27" s="1133"/>
      <c r="AN27" s="1133"/>
      <c r="AO27" s="1133"/>
      <c r="AP27" s="1133"/>
      <c r="AQ27" s="1133"/>
      <c r="AR27" s="1133"/>
      <c r="AS27" s="1133"/>
      <c r="AT27" s="1133"/>
      <c r="AU27" s="1133"/>
      <c r="AV27" s="1133"/>
      <c r="AW27" s="1133"/>
      <c r="AX27" s="1133"/>
      <c r="AY27" s="1133"/>
      <c r="AZ27" s="1133"/>
      <c r="BA27" s="1133"/>
      <c r="BB27" s="1133"/>
      <c r="BC27" s="1133"/>
      <c r="BD27" s="1133"/>
      <c r="BE27" s="1133"/>
      <c r="BF27" s="1133"/>
      <c r="BG27" s="1133"/>
      <c r="BH27" s="1133"/>
      <c r="BI27" s="1133"/>
      <c r="BJ27" s="1133"/>
      <c r="BK27" s="1133"/>
      <c r="BL27" s="1133"/>
      <c r="BM27" s="1133"/>
      <c r="BN27" s="1133"/>
      <c r="BO27" s="1133"/>
      <c r="BP27" s="1133"/>
      <c r="BQ27" s="1133"/>
      <c r="BR27" s="1133"/>
      <c r="BS27" s="1133"/>
      <c r="BT27" s="1134"/>
      <c r="BU27" s="1134"/>
      <c r="BV27" s="1134"/>
      <c r="BW27" s="1134"/>
      <c r="BX27" s="1134"/>
      <c r="BY27" s="1134"/>
      <c r="BZ27" s="1134"/>
      <c r="CA27" s="1134"/>
      <c r="CB27" s="1134"/>
      <c r="CC27" s="1134"/>
      <c r="CD27" s="1134"/>
      <c r="CE27" s="1134"/>
      <c r="CF27" s="1134"/>
      <c r="CG27" s="1134"/>
      <c r="CH27" s="1134"/>
      <c r="CI27" s="1134"/>
      <c r="CJ27" s="1134"/>
      <c r="CK27" s="1134"/>
      <c r="CL27" s="1133"/>
      <c r="CM27" s="1133"/>
      <c r="CN27" s="1133"/>
      <c r="CO27" s="1133"/>
      <c r="CP27" s="1133"/>
      <c r="CQ27" s="1133"/>
      <c r="CR27" s="1133"/>
      <c r="CS27" s="1133"/>
      <c r="CT27" s="1133"/>
      <c r="CU27" s="1133"/>
      <c r="CV27" s="1133"/>
      <c r="CW27" s="1133"/>
      <c r="CX27" s="1133"/>
      <c r="CY27" s="1134"/>
      <c r="CZ27" s="1134"/>
      <c r="DA27" s="1134"/>
      <c r="DB27" s="1134"/>
      <c r="DC27" s="1134"/>
      <c r="DD27" s="1134"/>
      <c r="DE27" s="1134"/>
      <c r="DF27" s="1134"/>
      <c r="DG27" s="1134"/>
      <c r="DH27" s="1134"/>
      <c r="DI27" s="1134"/>
      <c r="DJ27" s="1134"/>
      <c r="DK27" s="1133"/>
      <c r="DL27" s="1133"/>
      <c r="DM27" s="1133"/>
      <c r="DN27" s="1133"/>
      <c r="DO27" s="1133"/>
      <c r="DP27" s="1133"/>
      <c r="DQ27" s="1133"/>
      <c r="DR27" s="1133"/>
      <c r="DS27" s="1133"/>
      <c r="DT27" s="1133"/>
      <c r="DU27" s="1133"/>
      <c r="DV27" s="1133"/>
      <c r="DW27" s="1133"/>
      <c r="DX27" s="1133"/>
      <c r="DY27" s="1133"/>
      <c r="DZ27" s="1133"/>
      <c r="EA27" s="1133"/>
      <c r="EB27" s="1133"/>
      <c r="EC27" s="1133"/>
      <c r="ED27" s="1133"/>
      <c r="EE27" s="1133"/>
      <c r="EF27" s="1133"/>
      <c r="EG27" s="1133"/>
      <c r="EH27" s="1133"/>
      <c r="EI27" s="1133"/>
      <c r="EJ27" s="1133"/>
      <c r="EK27" s="1133"/>
      <c r="EL27" s="1133"/>
      <c r="EM27" s="1133"/>
      <c r="EN27" s="1133"/>
      <c r="EO27" s="1133"/>
      <c r="EP27" s="1133"/>
      <c r="EQ27" s="1133"/>
      <c r="ER27" s="1133"/>
      <c r="ES27" s="1133"/>
      <c r="ET27" s="1133"/>
      <c r="EU27" s="1133"/>
      <c r="EV27" s="1133"/>
      <c r="EW27" s="1133"/>
      <c r="EX27" s="1133"/>
      <c r="EY27" s="1133"/>
      <c r="EZ27" s="1133"/>
      <c r="FA27" s="1133"/>
      <c r="FB27" s="1133"/>
      <c r="FC27" s="1133"/>
      <c r="FD27" s="1133"/>
      <c r="FE27" s="1133"/>
      <c r="FF27" s="1133"/>
      <c r="FG27" s="1133"/>
      <c r="FH27" s="1133"/>
      <c r="FI27" s="1133"/>
      <c r="FJ27" s="1133"/>
      <c r="FK27" s="1133"/>
      <c r="FL27" s="1133"/>
      <c r="FM27" s="1133"/>
      <c r="FN27" s="1133"/>
      <c r="FO27" s="1133"/>
      <c r="FP27" s="1133"/>
      <c r="FQ27" s="1133"/>
      <c r="FR27" s="1133"/>
      <c r="FS27" s="1133"/>
      <c r="FT27" s="1133"/>
      <c r="FU27" s="1133"/>
      <c r="FV27" s="1133"/>
      <c r="FW27" s="1133"/>
      <c r="FX27" s="1124"/>
    </row>
    <row r="28" spans="1:185" s="852" customFormat="1" ht="24.75" customHeight="1">
      <c r="A28" s="852" t="s">
        <v>9</v>
      </c>
      <c r="B28" s="867"/>
      <c r="E28" s="617" t="s">
        <v>90</v>
      </c>
      <c r="F28" s="1990" t="s">
        <v>89</v>
      </c>
      <c r="G28" s="1998" t="s">
        <v>1325</v>
      </c>
      <c r="H28" s="1132" t="s">
        <v>55</v>
      </c>
      <c r="I28" s="1868" t="s">
        <v>1483</v>
      </c>
      <c r="J28" s="1133"/>
      <c r="K28" s="1133"/>
      <c r="L28" s="1133"/>
      <c r="M28" s="1133"/>
      <c r="N28" s="1133"/>
      <c r="O28" s="1134">
        <v>0</v>
      </c>
      <c r="P28" s="1134">
        <v>0</v>
      </c>
      <c r="Q28" s="1134">
        <v>0</v>
      </c>
      <c r="R28" s="1134">
        <v>0</v>
      </c>
      <c r="S28" s="1134"/>
      <c r="T28" s="1134"/>
      <c r="U28" s="1134">
        <v>2.29</v>
      </c>
      <c r="V28" s="1134">
        <v>2.8</v>
      </c>
      <c r="W28" s="1134"/>
      <c r="X28" s="1134"/>
      <c r="Y28" s="1134">
        <v>15214</v>
      </c>
      <c r="Z28" s="1134">
        <v>18632.400000000001</v>
      </c>
      <c r="AA28" s="1134"/>
      <c r="AB28" s="1134"/>
      <c r="AC28" s="1133"/>
      <c r="AD28" s="1133"/>
      <c r="AE28" s="1133"/>
      <c r="AF28" s="1133"/>
      <c r="AG28" s="1133"/>
      <c r="AH28" s="1133"/>
      <c r="AI28" s="1133"/>
      <c r="AJ28" s="1133"/>
      <c r="AK28" s="1133"/>
      <c r="AL28" s="1133"/>
      <c r="AM28" s="1133"/>
      <c r="AN28" s="1133"/>
      <c r="AO28" s="1133"/>
      <c r="AP28" s="1133"/>
      <c r="AQ28" s="1133"/>
      <c r="AR28" s="1133"/>
      <c r="AS28" s="1133"/>
      <c r="AT28" s="1133"/>
      <c r="AU28" s="1133"/>
      <c r="AV28" s="1133"/>
      <c r="AW28" s="1133"/>
      <c r="AX28" s="1133"/>
      <c r="AY28" s="1133"/>
      <c r="AZ28" s="1133"/>
      <c r="BA28" s="1133"/>
      <c r="BB28" s="1133"/>
      <c r="BC28" s="1133"/>
      <c r="BD28" s="1133"/>
      <c r="BE28" s="1133"/>
      <c r="BF28" s="1133"/>
      <c r="BG28" s="1133"/>
      <c r="BH28" s="1133"/>
      <c r="BI28" s="1133"/>
      <c r="BJ28" s="1133"/>
      <c r="BK28" s="1133"/>
      <c r="BL28" s="1133"/>
      <c r="BM28" s="1133"/>
      <c r="BN28" s="1133"/>
      <c r="BO28" s="1133"/>
      <c r="BP28" s="1133"/>
      <c r="BQ28" s="1133"/>
      <c r="BR28" s="1133"/>
      <c r="BS28" s="1133"/>
      <c r="BT28" s="1134"/>
      <c r="BU28" s="1134"/>
      <c r="BV28" s="1134"/>
      <c r="BW28" s="1134"/>
      <c r="BX28" s="1134"/>
      <c r="BY28" s="1134"/>
      <c r="BZ28" s="1134"/>
      <c r="CA28" s="1134"/>
      <c r="CB28" s="1134"/>
      <c r="CC28" s="1134"/>
      <c r="CD28" s="1134"/>
      <c r="CE28" s="1134"/>
      <c r="CF28" s="1134"/>
      <c r="CG28" s="1134"/>
      <c r="CH28" s="1134"/>
      <c r="CI28" s="1134"/>
      <c r="CJ28" s="1134"/>
      <c r="CK28" s="1134"/>
      <c r="CL28" s="1133"/>
      <c r="CM28" s="1133"/>
      <c r="CN28" s="1133"/>
      <c r="CO28" s="1133"/>
      <c r="CP28" s="1133"/>
      <c r="CQ28" s="1133"/>
      <c r="CR28" s="1133"/>
      <c r="CS28" s="1133"/>
      <c r="CT28" s="1133"/>
      <c r="CU28" s="1133"/>
      <c r="CV28" s="1133"/>
      <c r="CW28" s="1133"/>
      <c r="CX28" s="1133"/>
      <c r="CY28" s="1134"/>
      <c r="CZ28" s="1134"/>
      <c r="DA28" s="1134"/>
      <c r="DB28" s="1134"/>
      <c r="DC28" s="1134"/>
      <c r="DD28" s="1134"/>
      <c r="DE28" s="1134"/>
      <c r="DF28" s="1134"/>
      <c r="DG28" s="1134"/>
      <c r="DH28" s="1134"/>
      <c r="DI28" s="1134"/>
      <c r="DJ28" s="1134"/>
      <c r="DK28" s="1133"/>
      <c r="DL28" s="1133"/>
      <c r="DM28" s="1133"/>
      <c r="DN28" s="1133"/>
      <c r="DO28" s="1133"/>
      <c r="DP28" s="1133"/>
      <c r="DQ28" s="1133"/>
      <c r="DR28" s="1133"/>
      <c r="DS28" s="1133"/>
      <c r="DT28" s="1133"/>
      <c r="DU28" s="1133"/>
      <c r="DV28" s="1133"/>
      <c r="DW28" s="1133"/>
      <c r="DX28" s="1133"/>
      <c r="DY28" s="1133"/>
      <c r="DZ28" s="1133"/>
      <c r="EA28" s="1133"/>
      <c r="EB28" s="1133"/>
      <c r="EC28" s="1133"/>
      <c r="ED28" s="1133"/>
      <c r="EE28" s="1133"/>
      <c r="EF28" s="1133"/>
      <c r="EG28" s="1133"/>
      <c r="EH28" s="1133"/>
      <c r="EI28" s="1133"/>
      <c r="EJ28" s="1133"/>
      <c r="EK28" s="1133"/>
      <c r="EL28" s="1133"/>
      <c r="EM28" s="1133"/>
      <c r="EN28" s="1133"/>
      <c r="EO28" s="1133"/>
      <c r="EP28" s="1133"/>
      <c r="EQ28" s="1133"/>
      <c r="ER28" s="1133"/>
      <c r="ES28" s="1133"/>
      <c r="ET28" s="1133"/>
      <c r="EU28" s="1133"/>
      <c r="EV28" s="1133"/>
      <c r="EW28" s="1133"/>
      <c r="EX28" s="1133"/>
      <c r="EY28" s="1133"/>
      <c r="EZ28" s="1133"/>
      <c r="FA28" s="1133"/>
      <c r="FB28" s="1133"/>
      <c r="FC28" s="1133"/>
      <c r="FD28" s="1133"/>
      <c r="FE28" s="1133"/>
      <c r="FF28" s="1133"/>
      <c r="FG28" s="1133"/>
      <c r="FH28" s="1133"/>
      <c r="FI28" s="1133"/>
      <c r="FJ28" s="1133"/>
      <c r="FK28" s="1133"/>
      <c r="FL28" s="1133"/>
      <c r="FM28" s="1133"/>
      <c r="FN28" s="1133"/>
      <c r="FO28" s="1133"/>
      <c r="FP28" s="1133"/>
      <c r="FQ28" s="1133"/>
      <c r="FR28" s="1133"/>
      <c r="FS28" s="1133"/>
      <c r="FT28" s="1133"/>
      <c r="FU28" s="1133"/>
      <c r="FV28" s="1133"/>
      <c r="FW28" s="1133"/>
      <c r="FX28" s="1124"/>
    </row>
    <row r="29" spans="1:185" s="852" customFormat="1" ht="24.75" customHeight="1">
      <c r="A29" s="852" t="s">
        <v>9</v>
      </c>
      <c r="B29" s="867"/>
      <c r="E29" s="617" t="s">
        <v>90</v>
      </c>
      <c r="F29" s="1990" t="s">
        <v>78</v>
      </c>
      <c r="G29" s="1998" t="s">
        <v>1325</v>
      </c>
      <c r="H29" s="1132" t="s">
        <v>55</v>
      </c>
      <c r="I29" s="1868" t="s">
        <v>1459</v>
      </c>
      <c r="J29" s="1133"/>
      <c r="K29" s="1133"/>
      <c r="L29" s="1133"/>
      <c r="M29" s="1133"/>
      <c r="N29" s="1133"/>
      <c r="O29" s="1134">
        <v>0</v>
      </c>
      <c r="P29" s="1134">
        <v>0</v>
      </c>
      <c r="Q29" s="1134">
        <v>0</v>
      </c>
      <c r="R29" s="1134">
        <v>0</v>
      </c>
      <c r="S29" s="1134">
        <v>156.87</v>
      </c>
      <c r="T29" s="1134">
        <v>154.66999999999999</v>
      </c>
      <c r="U29" s="1134">
        <v>2.19</v>
      </c>
      <c r="V29" s="1134">
        <v>2.02</v>
      </c>
      <c r="W29" s="1134"/>
      <c r="X29" s="1134"/>
      <c r="Y29" s="1134">
        <v>2411</v>
      </c>
      <c r="Z29" s="1134">
        <v>2223.3000000000002</v>
      </c>
      <c r="AA29" s="1134"/>
      <c r="AB29" s="1134"/>
      <c r="AC29" s="1133"/>
      <c r="AD29" s="1133"/>
      <c r="AE29" s="1133"/>
      <c r="AF29" s="1133"/>
      <c r="AG29" s="1133"/>
      <c r="AH29" s="1133"/>
      <c r="AI29" s="1133"/>
      <c r="AJ29" s="1133"/>
      <c r="AK29" s="1133"/>
      <c r="AL29" s="1133"/>
      <c r="AM29" s="1133"/>
      <c r="AN29" s="1133"/>
      <c r="AO29" s="1133"/>
      <c r="AP29" s="1133"/>
      <c r="AQ29" s="1133"/>
      <c r="AR29" s="1133"/>
      <c r="AS29" s="1133"/>
      <c r="AT29" s="1133"/>
      <c r="AU29" s="1133"/>
      <c r="AV29" s="1133"/>
      <c r="AW29" s="1133"/>
      <c r="AX29" s="1133"/>
      <c r="AY29" s="1133"/>
      <c r="AZ29" s="1133"/>
      <c r="BA29" s="1133"/>
      <c r="BB29" s="1133"/>
      <c r="BC29" s="1133"/>
      <c r="BD29" s="1133"/>
      <c r="BE29" s="1133"/>
      <c r="BF29" s="1133"/>
      <c r="BG29" s="1133"/>
      <c r="BH29" s="1133"/>
      <c r="BI29" s="1133"/>
      <c r="BJ29" s="1133"/>
      <c r="BK29" s="1133"/>
      <c r="BL29" s="1133"/>
      <c r="BM29" s="1133"/>
      <c r="BN29" s="1133"/>
      <c r="BO29" s="1133"/>
      <c r="BP29" s="1133"/>
      <c r="BQ29" s="1133"/>
      <c r="BR29" s="1133"/>
      <c r="BS29" s="1133"/>
      <c r="BT29" s="1134"/>
      <c r="BU29" s="1134"/>
      <c r="BV29" s="1134"/>
      <c r="BW29" s="1134"/>
      <c r="BX29" s="1134"/>
      <c r="BY29" s="1134"/>
      <c r="BZ29" s="1134"/>
      <c r="CA29" s="1134"/>
      <c r="CB29" s="1134"/>
      <c r="CC29" s="1134"/>
      <c r="CD29" s="1134"/>
      <c r="CE29" s="1134"/>
      <c r="CF29" s="1134"/>
      <c r="CG29" s="1134"/>
      <c r="CH29" s="1134"/>
      <c r="CI29" s="1134"/>
      <c r="CJ29" s="1134"/>
      <c r="CK29" s="1134"/>
      <c r="CL29" s="1133"/>
      <c r="CM29" s="1133"/>
      <c r="CN29" s="1133"/>
      <c r="CO29" s="1133"/>
      <c r="CP29" s="1133"/>
      <c r="CQ29" s="1133"/>
      <c r="CR29" s="1133"/>
      <c r="CS29" s="1133"/>
      <c r="CT29" s="1133"/>
      <c r="CU29" s="1133"/>
      <c r="CV29" s="1133"/>
      <c r="CW29" s="1133"/>
      <c r="CX29" s="1133"/>
      <c r="CY29" s="1134"/>
      <c r="CZ29" s="1134"/>
      <c r="DA29" s="1134"/>
      <c r="DB29" s="1134"/>
      <c r="DC29" s="1134"/>
      <c r="DD29" s="1134"/>
      <c r="DE29" s="1134"/>
      <c r="DF29" s="1134"/>
      <c r="DG29" s="1134"/>
      <c r="DH29" s="1134"/>
      <c r="DI29" s="1134"/>
      <c r="DJ29" s="1134"/>
      <c r="DK29" s="1133"/>
      <c r="DL29" s="1133"/>
      <c r="DM29" s="1133"/>
      <c r="DN29" s="1133"/>
      <c r="DO29" s="1133"/>
      <c r="DP29" s="1133"/>
      <c r="DQ29" s="1133"/>
      <c r="DR29" s="1133"/>
      <c r="DS29" s="1133"/>
      <c r="DT29" s="1133"/>
      <c r="DU29" s="1133"/>
      <c r="DV29" s="1133"/>
      <c r="DW29" s="1133"/>
      <c r="DX29" s="1133"/>
      <c r="DY29" s="1133"/>
      <c r="DZ29" s="1133"/>
      <c r="EA29" s="1133"/>
      <c r="EB29" s="1133"/>
      <c r="EC29" s="1133"/>
      <c r="ED29" s="1133"/>
      <c r="EE29" s="1133"/>
      <c r="EF29" s="1133"/>
      <c r="EG29" s="1133"/>
      <c r="EH29" s="1133"/>
      <c r="EI29" s="1133"/>
      <c r="EJ29" s="1133"/>
      <c r="EK29" s="1133"/>
      <c r="EL29" s="1133"/>
      <c r="EM29" s="1133"/>
      <c r="EN29" s="1133"/>
      <c r="EO29" s="1133"/>
      <c r="EP29" s="1133"/>
      <c r="EQ29" s="1133"/>
      <c r="ER29" s="1133"/>
      <c r="ES29" s="1133"/>
      <c r="ET29" s="1133"/>
      <c r="EU29" s="1133"/>
      <c r="EV29" s="1133"/>
      <c r="EW29" s="1133"/>
      <c r="EX29" s="1133"/>
      <c r="EY29" s="1133"/>
      <c r="EZ29" s="1133"/>
      <c r="FA29" s="1133"/>
      <c r="FB29" s="1133"/>
      <c r="FC29" s="1133"/>
      <c r="FD29" s="1133"/>
      <c r="FE29" s="1133"/>
      <c r="FF29" s="1133"/>
      <c r="FG29" s="1133"/>
      <c r="FH29" s="1133"/>
      <c r="FI29" s="1133"/>
      <c r="FJ29" s="1133"/>
      <c r="FK29" s="1133"/>
      <c r="FL29" s="1133"/>
      <c r="FM29" s="1133"/>
      <c r="FN29" s="1133"/>
      <c r="FO29" s="1133"/>
      <c r="FP29" s="1133"/>
      <c r="FQ29" s="1133"/>
      <c r="FR29" s="1133"/>
      <c r="FS29" s="1133"/>
      <c r="FT29" s="1133"/>
      <c r="FU29" s="1133"/>
      <c r="FV29" s="1133"/>
      <c r="FW29" s="1133"/>
      <c r="FX29" s="1124"/>
    </row>
    <row r="30" spans="1:185" s="852" customFormat="1" ht="24.75" customHeight="1">
      <c r="A30" s="852" t="s">
        <v>9</v>
      </c>
      <c r="B30" s="867"/>
      <c r="E30" s="617" t="s">
        <v>90</v>
      </c>
      <c r="F30" s="1990" t="s">
        <v>79</v>
      </c>
      <c r="G30" s="1998" t="s">
        <v>1325</v>
      </c>
      <c r="H30" s="1132" t="s">
        <v>55</v>
      </c>
      <c r="I30" s="1868" t="s">
        <v>1466</v>
      </c>
      <c r="J30" s="1133"/>
      <c r="K30" s="1133"/>
      <c r="L30" s="1133"/>
      <c r="M30" s="1133"/>
      <c r="N30" s="1133"/>
      <c r="O30" s="1134">
        <v>0</v>
      </c>
      <c r="P30" s="1134">
        <v>0</v>
      </c>
      <c r="Q30" s="1134">
        <v>0</v>
      </c>
      <c r="R30" s="1134">
        <v>0</v>
      </c>
      <c r="S30" s="1134">
        <v>156.1</v>
      </c>
      <c r="T30" s="1134">
        <v>157.03</v>
      </c>
      <c r="U30" s="1134">
        <v>2.23</v>
      </c>
      <c r="V30" s="1134">
        <v>4.1100000000000003</v>
      </c>
      <c r="W30" s="1134"/>
      <c r="X30" s="1134"/>
      <c r="Y30" s="1134">
        <v>2296</v>
      </c>
      <c r="Z30" s="1134">
        <v>4234.5</v>
      </c>
      <c r="AA30" s="1134"/>
      <c r="AB30" s="1134"/>
      <c r="AC30" s="1133"/>
      <c r="AD30" s="1133"/>
      <c r="AE30" s="1133"/>
      <c r="AF30" s="1133"/>
      <c r="AG30" s="1133"/>
      <c r="AH30" s="1133"/>
      <c r="AI30" s="1133"/>
      <c r="AJ30" s="1133"/>
      <c r="AK30" s="1133"/>
      <c r="AL30" s="1133"/>
      <c r="AM30" s="1133"/>
      <c r="AN30" s="1133"/>
      <c r="AO30" s="1133"/>
      <c r="AP30" s="1133"/>
      <c r="AQ30" s="1133"/>
      <c r="AR30" s="1133"/>
      <c r="AS30" s="1133"/>
      <c r="AT30" s="1133"/>
      <c r="AU30" s="1133"/>
      <c r="AV30" s="1133"/>
      <c r="AW30" s="1133"/>
      <c r="AX30" s="1133"/>
      <c r="AY30" s="1133"/>
      <c r="AZ30" s="1133"/>
      <c r="BA30" s="1133"/>
      <c r="BB30" s="1133"/>
      <c r="BC30" s="1133"/>
      <c r="BD30" s="1133"/>
      <c r="BE30" s="1133"/>
      <c r="BF30" s="1133"/>
      <c r="BG30" s="1133"/>
      <c r="BH30" s="1133"/>
      <c r="BI30" s="1133"/>
      <c r="BJ30" s="1133"/>
      <c r="BK30" s="1133"/>
      <c r="BL30" s="1133"/>
      <c r="BM30" s="1133"/>
      <c r="BN30" s="1133"/>
      <c r="BO30" s="1133"/>
      <c r="BP30" s="1133"/>
      <c r="BQ30" s="1133"/>
      <c r="BR30" s="1133"/>
      <c r="BS30" s="1133"/>
      <c r="BT30" s="1134"/>
      <c r="BU30" s="1134"/>
      <c r="BV30" s="1134"/>
      <c r="BW30" s="1134"/>
      <c r="BX30" s="1134"/>
      <c r="BY30" s="1134"/>
      <c r="BZ30" s="1134"/>
      <c r="CA30" s="1134"/>
      <c r="CB30" s="1134"/>
      <c r="CC30" s="1134"/>
      <c r="CD30" s="1134"/>
      <c r="CE30" s="1134"/>
      <c r="CF30" s="1134"/>
      <c r="CG30" s="1134"/>
      <c r="CH30" s="1134"/>
      <c r="CI30" s="1134"/>
      <c r="CJ30" s="1134"/>
      <c r="CK30" s="1134"/>
      <c r="CL30" s="1133"/>
      <c r="CM30" s="1133"/>
      <c r="CN30" s="1133"/>
      <c r="CO30" s="1133"/>
      <c r="CP30" s="1133"/>
      <c r="CQ30" s="1133"/>
      <c r="CR30" s="1133"/>
      <c r="CS30" s="1133"/>
      <c r="CT30" s="1133"/>
      <c r="CU30" s="1133"/>
      <c r="CV30" s="1133"/>
      <c r="CW30" s="1133"/>
      <c r="CX30" s="1133"/>
      <c r="CY30" s="1134"/>
      <c r="CZ30" s="1134"/>
      <c r="DA30" s="1134"/>
      <c r="DB30" s="1134"/>
      <c r="DC30" s="1134"/>
      <c r="DD30" s="1134"/>
      <c r="DE30" s="1134"/>
      <c r="DF30" s="1134"/>
      <c r="DG30" s="1134"/>
      <c r="DH30" s="1134"/>
      <c r="DI30" s="1134"/>
      <c r="DJ30" s="1134"/>
      <c r="DK30" s="1133"/>
      <c r="DL30" s="1133"/>
      <c r="DM30" s="1133"/>
      <c r="DN30" s="1133"/>
      <c r="DO30" s="1133"/>
      <c r="DP30" s="1133"/>
      <c r="DQ30" s="1133"/>
      <c r="DR30" s="1133"/>
      <c r="DS30" s="1133"/>
      <c r="DT30" s="1133"/>
      <c r="DU30" s="1133"/>
      <c r="DV30" s="1133"/>
      <c r="DW30" s="1133"/>
      <c r="DX30" s="1133"/>
      <c r="DY30" s="1133"/>
      <c r="DZ30" s="1133"/>
      <c r="EA30" s="1133"/>
      <c r="EB30" s="1133"/>
      <c r="EC30" s="1133"/>
      <c r="ED30" s="1133"/>
      <c r="EE30" s="1133"/>
      <c r="EF30" s="1133"/>
      <c r="EG30" s="1133"/>
      <c r="EH30" s="1133"/>
      <c r="EI30" s="1133"/>
      <c r="EJ30" s="1133"/>
      <c r="EK30" s="1133"/>
      <c r="EL30" s="1133"/>
      <c r="EM30" s="1133"/>
      <c r="EN30" s="1133"/>
      <c r="EO30" s="1133"/>
      <c r="EP30" s="1133"/>
      <c r="EQ30" s="1133"/>
      <c r="ER30" s="1133"/>
      <c r="ES30" s="1133"/>
      <c r="ET30" s="1133"/>
      <c r="EU30" s="1133"/>
      <c r="EV30" s="1133"/>
      <c r="EW30" s="1133"/>
      <c r="EX30" s="1133"/>
      <c r="EY30" s="1133"/>
      <c r="EZ30" s="1133"/>
      <c r="FA30" s="1133"/>
      <c r="FB30" s="1133"/>
      <c r="FC30" s="1133"/>
      <c r="FD30" s="1133"/>
      <c r="FE30" s="1133"/>
      <c r="FF30" s="1133"/>
      <c r="FG30" s="1133"/>
      <c r="FH30" s="1133"/>
      <c r="FI30" s="1133"/>
      <c r="FJ30" s="1133"/>
      <c r="FK30" s="1133"/>
      <c r="FL30" s="1133"/>
      <c r="FM30" s="1133"/>
      <c r="FN30" s="1133"/>
      <c r="FO30" s="1133"/>
      <c r="FP30" s="1133"/>
      <c r="FQ30" s="1133"/>
      <c r="FR30" s="1133"/>
      <c r="FS30" s="1133"/>
      <c r="FT30" s="1133"/>
      <c r="FU30" s="1133"/>
      <c r="FV30" s="1133"/>
      <c r="FW30" s="1133"/>
      <c r="FX30" s="1124"/>
    </row>
    <row r="31" spans="1:185" s="852" customFormat="1" ht="24.75" customHeight="1">
      <c r="A31" s="852" t="s">
        <v>9</v>
      </c>
      <c r="B31" s="867"/>
      <c r="E31" s="617" t="s">
        <v>90</v>
      </c>
      <c r="F31" s="1990" t="s">
        <v>100</v>
      </c>
      <c r="G31" s="1998" t="s">
        <v>1325</v>
      </c>
      <c r="H31" s="1132" t="s">
        <v>55</v>
      </c>
      <c r="I31" s="1868" t="s">
        <v>1470</v>
      </c>
      <c r="J31" s="1133"/>
      <c r="K31" s="1133"/>
      <c r="L31" s="1133"/>
      <c r="M31" s="1133"/>
      <c r="N31" s="1133"/>
      <c r="O31" s="1134">
        <v>0</v>
      </c>
      <c r="P31" s="1134">
        <v>0</v>
      </c>
      <c r="Q31" s="1134">
        <v>0</v>
      </c>
      <c r="R31" s="1134">
        <v>0</v>
      </c>
      <c r="S31" s="1134">
        <v>157</v>
      </c>
      <c r="T31" s="1134">
        <v>154.38999999999999</v>
      </c>
      <c r="U31" s="1134">
        <v>2.78</v>
      </c>
      <c r="V31" s="1134">
        <v>2.29</v>
      </c>
      <c r="W31" s="1134"/>
      <c r="X31" s="1134"/>
      <c r="Y31" s="1134">
        <v>871</v>
      </c>
      <c r="Z31" s="1134">
        <v>717.2</v>
      </c>
      <c r="AA31" s="1134"/>
      <c r="AB31" s="1134"/>
      <c r="AC31" s="1133"/>
      <c r="AD31" s="1133"/>
      <c r="AE31" s="1133"/>
      <c r="AF31" s="1133"/>
      <c r="AG31" s="1133"/>
      <c r="AH31" s="1133"/>
      <c r="AI31" s="1133"/>
      <c r="AJ31" s="1133"/>
      <c r="AK31" s="1133"/>
      <c r="AL31" s="1133"/>
      <c r="AM31" s="1133"/>
      <c r="AN31" s="1133"/>
      <c r="AO31" s="1133"/>
      <c r="AP31" s="1133"/>
      <c r="AQ31" s="1133"/>
      <c r="AR31" s="1133"/>
      <c r="AS31" s="1133"/>
      <c r="AT31" s="1133"/>
      <c r="AU31" s="1133"/>
      <c r="AV31" s="1133"/>
      <c r="AW31" s="1133"/>
      <c r="AX31" s="1133"/>
      <c r="AY31" s="1133"/>
      <c r="AZ31" s="1133"/>
      <c r="BA31" s="1133"/>
      <c r="BB31" s="1133"/>
      <c r="BC31" s="1133"/>
      <c r="BD31" s="1133"/>
      <c r="BE31" s="1133"/>
      <c r="BF31" s="1133"/>
      <c r="BG31" s="1133"/>
      <c r="BH31" s="1133"/>
      <c r="BI31" s="1133"/>
      <c r="BJ31" s="1133"/>
      <c r="BK31" s="1133"/>
      <c r="BL31" s="1133"/>
      <c r="BM31" s="1133"/>
      <c r="BN31" s="1133"/>
      <c r="BO31" s="1133"/>
      <c r="BP31" s="1133"/>
      <c r="BQ31" s="1133"/>
      <c r="BR31" s="1133"/>
      <c r="BS31" s="1133"/>
      <c r="BT31" s="1134"/>
      <c r="BU31" s="1134"/>
      <c r="BV31" s="1134"/>
      <c r="BW31" s="1134"/>
      <c r="BX31" s="1134"/>
      <c r="BY31" s="1134"/>
      <c r="BZ31" s="1134"/>
      <c r="CA31" s="1134"/>
      <c r="CB31" s="1134"/>
      <c r="CC31" s="1134"/>
      <c r="CD31" s="1134"/>
      <c r="CE31" s="1134"/>
      <c r="CF31" s="1134"/>
      <c r="CG31" s="1134"/>
      <c r="CH31" s="1134"/>
      <c r="CI31" s="1134"/>
      <c r="CJ31" s="1134"/>
      <c r="CK31" s="1134"/>
      <c r="CL31" s="1133"/>
      <c r="CM31" s="1133"/>
      <c r="CN31" s="1133"/>
      <c r="CO31" s="1133"/>
      <c r="CP31" s="1133"/>
      <c r="CQ31" s="1133"/>
      <c r="CR31" s="1133"/>
      <c r="CS31" s="1133"/>
      <c r="CT31" s="1133"/>
      <c r="CU31" s="1133"/>
      <c r="CV31" s="1133"/>
      <c r="CW31" s="1133"/>
      <c r="CX31" s="1133"/>
      <c r="CY31" s="1134"/>
      <c r="CZ31" s="1134"/>
      <c r="DA31" s="1134"/>
      <c r="DB31" s="1134"/>
      <c r="DC31" s="1134"/>
      <c r="DD31" s="1134"/>
      <c r="DE31" s="1134"/>
      <c r="DF31" s="1134"/>
      <c r="DG31" s="1134"/>
      <c r="DH31" s="1134"/>
      <c r="DI31" s="1134"/>
      <c r="DJ31" s="1134"/>
      <c r="DK31" s="1133"/>
      <c r="DL31" s="1133"/>
      <c r="DM31" s="1133"/>
      <c r="DN31" s="1133"/>
      <c r="DO31" s="1133"/>
      <c r="DP31" s="1133"/>
      <c r="DQ31" s="1133"/>
      <c r="DR31" s="1133"/>
      <c r="DS31" s="1133"/>
      <c r="DT31" s="1133"/>
      <c r="DU31" s="1133"/>
      <c r="DV31" s="1133"/>
      <c r="DW31" s="1133"/>
      <c r="DX31" s="1133"/>
      <c r="DY31" s="1133"/>
      <c r="DZ31" s="1133"/>
      <c r="EA31" s="1133"/>
      <c r="EB31" s="1133"/>
      <c r="EC31" s="1133"/>
      <c r="ED31" s="1133"/>
      <c r="EE31" s="1133"/>
      <c r="EF31" s="1133"/>
      <c r="EG31" s="1133"/>
      <c r="EH31" s="1133"/>
      <c r="EI31" s="1133"/>
      <c r="EJ31" s="1133"/>
      <c r="EK31" s="1133"/>
      <c r="EL31" s="1133"/>
      <c r="EM31" s="1133"/>
      <c r="EN31" s="1133"/>
      <c r="EO31" s="1133"/>
      <c r="EP31" s="1133"/>
      <c r="EQ31" s="1133"/>
      <c r="ER31" s="1133"/>
      <c r="ES31" s="1133"/>
      <c r="ET31" s="1133"/>
      <c r="EU31" s="1133"/>
      <c r="EV31" s="1133"/>
      <c r="EW31" s="1133"/>
      <c r="EX31" s="1133"/>
      <c r="EY31" s="1133"/>
      <c r="EZ31" s="1133"/>
      <c r="FA31" s="1133"/>
      <c r="FB31" s="1133"/>
      <c r="FC31" s="1133"/>
      <c r="FD31" s="1133"/>
      <c r="FE31" s="1133"/>
      <c r="FF31" s="1133"/>
      <c r="FG31" s="1133"/>
      <c r="FH31" s="1133"/>
      <c r="FI31" s="1133"/>
      <c r="FJ31" s="1133"/>
      <c r="FK31" s="1133"/>
      <c r="FL31" s="1133"/>
      <c r="FM31" s="1133"/>
      <c r="FN31" s="1133"/>
      <c r="FO31" s="1133"/>
      <c r="FP31" s="1133"/>
      <c r="FQ31" s="1133"/>
      <c r="FR31" s="1133"/>
      <c r="FS31" s="1133"/>
      <c r="FT31" s="1133"/>
      <c r="FU31" s="1133"/>
      <c r="FV31" s="1133"/>
      <c r="FW31" s="1133"/>
      <c r="FX31" s="1124"/>
    </row>
    <row r="32" spans="1:185" s="852" customFormat="1" ht="12" customHeight="1">
      <c r="A32" s="852" t="s">
        <v>1345</v>
      </c>
      <c r="B32" s="867"/>
      <c r="F32" s="2193"/>
      <c r="G32" s="2194" t="s">
        <v>1633</v>
      </c>
      <c r="H32" s="2195"/>
      <c r="I32" s="2196"/>
      <c r="J32" s="2197"/>
      <c r="K32" s="2198"/>
      <c r="L32" s="2199"/>
      <c r="M32" s="2200"/>
      <c r="N32" s="2201"/>
      <c r="O32" s="2202"/>
      <c r="P32" s="2203"/>
      <c r="Q32" s="2204"/>
      <c r="R32" s="2205"/>
      <c r="S32" s="2206"/>
      <c r="T32" s="2207"/>
      <c r="U32" s="2208"/>
      <c r="V32" s="2209"/>
      <c r="W32" s="2210"/>
      <c r="X32" s="2211"/>
      <c r="Y32" s="2212"/>
      <c r="Z32" s="2213"/>
      <c r="AA32" s="2214"/>
      <c r="AB32" s="2215"/>
      <c r="AC32" s="2216"/>
      <c r="AD32" s="2217"/>
      <c r="AE32" s="2218"/>
      <c r="AF32" s="2219"/>
      <c r="AG32" s="2220"/>
      <c r="AH32" s="2221"/>
      <c r="AI32" s="2222"/>
      <c r="AJ32" s="2223"/>
      <c r="AK32" s="2224"/>
      <c r="AL32" s="2225"/>
      <c r="AM32" s="2226"/>
      <c r="AN32" s="2227"/>
      <c r="AO32" s="2228"/>
      <c r="AP32" s="2229"/>
      <c r="AQ32" s="2230"/>
      <c r="AR32" s="2231"/>
      <c r="AS32" s="2232"/>
      <c r="AT32" s="2233"/>
      <c r="AU32" s="2234"/>
      <c r="AV32" s="2235"/>
      <c r="AW32" s="2236"/>
      <c r="AX32" s="2237"/>
      <c r="AY32" s="2238"/>
      <c r="AZ32" s="2239"/>
      <c r="BA32" s="2240"/>
      <c r="BB32" s="2241"/>
      <c r="BC32" s="2242"/>
      <c r="BD32" s="2243"/>
      <c r="BE32" s="2244"/>
      <c r="BF32" s="2245"/>
      <c r="BG32" s="2246"/>
      <c r="BH32" s="2247"/>
      <c r="BI32" s="2248"/>
      <c r="BJ32" s="2249"/>
      <c r="BK32" s="2250"/>
      <c r="BL32" s="2251"/>
      <c r="BM32" s="2252"/>
      <c r="BN32" s="2253"/>
      <c r="BO32" s="2254"/>
      <c r="BP32" s="2255"/>
      <c r="BQ32" s="2256"/>
      <c r="BR32" s="2257"/>
      <c r="BS32" s="2258"/>
      <c r="BT32" s="2259"/>
      <c r="BU32" s="2260"/>
      <c r="BV32" s="2261"/>
      <c r="BW32" s="2262"/>
      <c r="BX32" s="2263"/>
      <c r="BY32" s="2264"/>
      <c r="BZ32" s="2265"/>
      <c r="CA32" s="2266"/>
      <c r="CB32" s="2267"/>
      <c r="CC32" s="2268"/>
      <c r="CD32" s="2269"/>
      <c r="CE32" s="2270"/>
      <c r="CF32" s="2271"/>
      <c r="CG32" s="2272"/>
      <c r="CH32" s="2273"/>
      <c r="CI32" s="2274"/>
      <c r="CJ32" s="2275"/>
      <c r="CK32" s="2276"/>
      <c r="CL32" s="2277"/>
      <c r="CM32" s="2278"/>
      <c r="CN32" s="2279"/>
      <c r="CO32" s="2280"/>
      <c r="CP32" s="2281"/>
      <c r="CQ32" s="2282"/>
      <c r="CR32" s="2283"/>
      <c r="CS32" s="2284"/>
      <c r="CT32" s="2285"/>
      <c r="CU32" s="2286"/>
      <c r="CV32" s="2287"/>
      <c r="CW32" s="2288"/>
      <c r="CX32" s="2289"/>
      <c r="CY32" s="2290"/>
      <c r="CZ32" s="2291"/>
      <c r="DA32" s="2292"/>
      <c r="DB32" s="2293"/>
      <c r="DC32" s="2294"/>
      <c r="DD32" s="2295"/>
      <c r="DE32" s="2296"/>
      <c r="DF32" s="2297"/>
      <c r="DG32" s="2298"/>
      <c r="DH32" s="2299"/>
      <c r="DI32" s="2300"/>
      <c r="DJ32" s="2301"/>
      <c r="DK32" s="2302"/>
      <c r="DL32" s="2303"/>
      <c r="DM32" s="2304"/>
      <c r="DN32" s="2305"/>
      <c r="DO32" s="2306"/>
      <c r="DP32" s="2307"/>
      <c r="DQ32" s="2308"/>
      <c r="DR32" s="2309"/>
      <c r="DS32" s="2310"/>
      <c r="DT32" s="2311"/>
      <c r="DU32" s="2312"/>
      <c r="DV32" s="2313"/>
      <c r="DW32" s="2314"/>
      <c r="DX32" s="2315"/>
      <c r="DY32" s="2316"/>
      <c r="DZ32" s="2317"/>
      <c r="EA32" s="2318"/>
      <c r="EB32" s="2319"/>
      <c r="EC32" s="2320"/>
      <c r="ED32" s="2321"/>
      <c r="EE32" s="2322"/>
      <c r="EF32" s="2323"/>
      <c r="EG32" s="2324"/>
      <c r="EH32" s="2325"/>
      <c r="EI32" s="2326"/>
      <c r="EJ32" s="2327"/>
      <c r="EK32" s="2328"/>
      <c r="EL32" s="2329"/>
      <c r="EM32" s="2330"/>
      <c r="EN32" s="2331"/>
      <c r="EO32" s="2332"/>
      <c r="EP32" s="2333"/>
      <c r="EQ32" s="2334"/>
      <c r="ER32" s="2335"/>
      <c r="ES32" s="2336"/>
      <c r="ET32" s="2337"/>
      <c r="EU32" s="2338"/>
      <c r="EV32" s="2339"/>
      <c r="EW32" s="2340"/>
      <c r="EX32" s="2341"/>
      <c r="EY32" s="2342"/>
      <c r="EZ32" s="2343"/>
      <c r="FA32" s="2344"/>
      <c r="FB32" s="2345"/>
      <c r="FC32" s="2346"/>
      <c r="FD32" s="2347"/>
      <c r="FE32" s="2348"/>
      <c r="FF32" s="2349"/>
      <c r="FG32" s="2350"/>
      <c r="FH32" s="2351"/>
      <c r="FI32" s="2352"/>
      <c r="FJ32" s="2353"/>
      <c r="FK32" s="2354"/>
      <c r="FL32" s="2355"/>
      <c r="FM32" s="2356"/>
      <c r="FN32" s="2357"/>
      <c r="FO32" s="2358"/>
      <c r="FP32" s="2359"/>
      <c r="FQ32" s="2360"/>
      <c r="FR32" s="2361"/>
      <c r="FS32" s="2362"/>
      <c r="FT32" s="2363"/>
      <c r="FU32" s="2364"/>
      <c r="FV32" s="2365"/>
      <c r="FW32" s="2366"/>
      <c r="FX32" s="1714"/>
      <c r="FY32" s="988"/>
      <c r="FZ32" s="988"/>
      <c r="GA32" s="988"/>
      <c r="GB32" s="988"/>
    </row>
    <row r="33" spans="1:184" s="852" customFormat="1" ht="21" customHeight="1">
      <c r="A33" s="1246" t="s">
        <v>1354</v>
      </c>
      <c r="B33" s="867"/>
      <c r="E33" s="866" t="s">
        <v>9</v>
      </c>
      <c r="F33" s="1044" t="str">
        <f>INDEX(IP_MAIN_LIST_NAME_IP,MATCH(A33,IP_MAIN_LIST_IP_ID,0))&amp;" ("&amp;INDEX(IP_MAIN_START_DATE,MATCH(A33,IP_MAIN_LIST_IP_ID,0))&amp;"-"&amp;INDEX(IP_MAIN_END_DATE,MATCH(A33,IP_MAIN_LIST_IP_ID,0))&amp;")"</f>
        <v>Инвестиционная программа № 29 от 12.03.2025 ООО "СМОЛЕНСКРЕГИОНТЕПЛОЭНЕРГО" в сфере теплоснабжения по строительству газовой котельной, на территории д Кощино, Смоленский муниципальный округ, Смоленский муниципальный округ на 2025-2034 годы (12.03.2025-31.12.2034)</v>
      </c>
      <c r="G33" s="1125"/>
      <c r="H33" s="1126"/>
      <c r="I33" s="1126"/>
      <c r="J33" s="1126"/>
      <c r="K33" s="1126"/>
      <c r="L33" s="1126"/>
      <c r="M33" s="1126"/>
      <c r="N33" s="1126"/>
      <c r="O33" s="1125"/>
      <c r="P33" s="1125"/>
      <c r="Q33" s="1125"/>
      <c r="R33" s="1125"/>
      <c r="S33" s="1125"/>
      <c r="T33" s="1125"/>
      <c r="U33" s="1127"/>
      <c r="V33" s="1127"/>
      <c r="W33" s="1127"/>
      <c r="X33" s="1127"/>
      <c r="Y33" s="1127"/>
      <c r="Z33" s="1127"/>
      <c r="AA33" s="1127"/>
      <c r="AB33" s="1125"/>
      <c r="AC33" s="1126"/>
      <c r="AD33" s="1126"/>
      <c r="AE33" s="1126"/>
      <c r="AF33" s="1126"/>
      <c r="AG33" s="1126"/>
      <c r="AH33" s="1126"/>
      <c r="AI33" s="1126"/>
      <c r="AJ33" s="1126"/>
      <c r="AK33" s="1126"/>
      <c r="AL33" s="1126"/>
      <c r="AM33" s="1126"/>
      <c r="AN33" s="1126"/>
      <c r="AO33" s="1126"/>
      <c r="AP33" s="1126"/>
      <c r="AQ33" s="1126"/>
      <c r="AR33" s="1126"/>
      <c r="AS33" s="1126"/>
      <c r="AT33" s="1126"/>
      <c r="AU33" s="1126"/>
      <c r="AV33" s="1126"/>
      <c r="AW33" s="1126"/>
      <c r="AX33" s="1126"/>
      <c r="AY33" s="1126"/>
      <c r="AZ33" s="1126"/>
      <c r="BA33" s="1126"/>
      <c r="BB33" s="1126"/>
      <c r="BC33" s="1126"/>
      <c r="BD33" s="1126"/>
      <c r="BE33" s="1126"/>
      <c r="BF33" s="1126"/>
      <c r="BG33" s="1126"/>
      <c r="BH33" s="1126"/>
      <c r="BI33" s="1126"/>
      <c r="BJ33" s="1126"/>
      <c r="BK33" s="1126"/>
      <c r="BL33" s="1126"/>
      <c r="BM33" s="1126"/>
      <c r="BN33" s="1126"/>
      <c r="BO33" s="1126"/>
      <c r="BP33" s="1126"/>
      <c r="BQ33" s="1126"/>
      <c r="BR33" s="1126"/>
      <c r="BS33" s="1126"/>
      <c r="BT33" s="1126"/>
      <c r="BU33" s="1126"/>
      <c r="BV33" s="1126"/>
      <c r="BW33" s="1126"/>
      <c r="BX33" s="1126"/>
      <c r="BY33" s="1126"/>
      <c r="BZ33" s="1126"/>
      <c r="CA33" s="1126"/>
      <c r="CB33" s="1126"/>
      <c r="CC33" s="1126"/>
      <c r="CD33" s="1126"/>
      <c r="CE33" s="1126"/>
      <c r="CF33" s="1126"/>
      <c r="CG33" s="1126"/>
      <c r="CH33" s="1126"/>
      <c r="CI33" s="1126"/>
      <c r="CJ33" s="1126"/>
      <c r="CK33" s="1126"/>
      <c r="CL33" s="1128"/>
      <c r="CM33" s="1128"/>
      <c r="CN33" s="1128"/>
      <c r="CO33" s="1128"/>
      <c r="CP33" s="1128"/>
      <c r="CQ33" s="1128"/>
      <c r="CR33" s="1128"/>
      <c r="CS33" s="1128"/>
      <c r="CT33" s="1128"/>
      <c r="CU33" s="1128"/>
      <c r="CV33" s="1128"/>
      <c r="CW33" s="1128"/>
      <c r="CX33" s="1128"/>
      <c r="CY33" s="1128"/>
      <c r="CZ33" s="1128"/>
      <c r="DA33" s="1128"/>
      <c r="DB33" s="1128"/>
      <c r="DC33" s="1128"/>
      <c r="DD33" s="1128"/>
      <c r="DE33" s="1128"/>
      <c r="DF33" s="1128"/>
      <c r="DG33" s="1128"/>
      <c r="DH33" s="1128"/>
      <c r="DI33" s="1128"/>
      <c r="DJ33" s="1128"/>
      <c r="DK33" s="1128"/>
      <c r="DL33" s="1128"/>
      <c r="DM33" s="1128"/>
      <c r="DN33" s="1128"/>
      <c r="DO33" s="1128"/>
      <c r="DP33" s="1128"/>
      <c r="DQ33" s="1128"/>
      <c r="DR33" s="1128"/>
      <c r="DS33" s="1128"/>
      <c r="DT33" s="1128"/>
      <c r="DU33" s="1128"/>
      <c r="DV33" s="1128"/>
      <c r="DW33" s="1128"/>
      <c r="DX33" s="1128"/>
      <c r="DY33" s="1128"/>
      <c r="DZ33" s="1128"/>
      <c r="EA33" s="1128"/>
      <c r="EB33" s="1128"/>
      <c r="EC33" s="1128"/>
      <c r="ED33" s="1128"/>
      <c r="EE33" s="1128"/>
      <c r="EF33" s="1128"/>
      <c r="EG33" s="1128"/>
      <c r="EH33" s="1128"/>
      <c r="EI33" s="1128"/>
      <c r="EJ33" s="1128"/>
      <c r="EK33" s="1128"/>
      <c r="EL33" s="1128"/>
      <c r="EM33" s="1128"/>
      <c r="EN33" s="1128"/>
      <c r="EO33" s="1128"/>
      <c r="EP33" s="1128"/>
      <c r="EQ33" s="1128"/>
      <c r="ER33" s="1128"/>
      <c r="ES33" s="1128"/>
      <c r="ET33" s="1128"/>
      <c r="EU33" s="1128"/>
      <c r="EV33" s="1128"/>
      <c r="EW33" s="1128"/>
      <c r="EX33" s="1128"/>
      <c r="EY33" s="1128"/>
      <c r="EZ33" s="1128"/>
      <c r="FA33" s="1128"/>
      <c r="FB33" s="1128"/>
      <c r="FC33" s="1128"/>
      <c r="FD33" s="1128"/>
      <c r="FE33" s="1128"/>
      <c r="FF33" s="1128"/>
      <c r="FG33" s="1128"/>
      <c r="FH33" s="1128"/>
      <c r="FI33" s="1128"/>
      <c r="FJ33" s="1128"/>
      <c r="FK33" s="1128"/>
      <c r="FL33" s="1128"/>
      <c r="FM33" s="1128"/>
      <c r="FN33" s="1128"/>
      <c r="FO33" s="1128"/>
      <c r="FP33" s="1128"/>
      <c r="FQ33" s="1128"/>
      <c r="FR33" s="1128"/>
      <c r="FS33" s="1128"/>
      <c r="FT33" s="1128"/>
      <c r="FU33" s="1128"/>
      <c r="FV33" s="1129"/>
      <c r="FW33" s="1123"/>
      <c r="FX33" s="1124"/>
    </row>
    <row r="34" spans="1:184" s="852" customFormat="1" ht="24.75" customHeight="1">
      <c r="A34" s="852" t="s">
        <v>1354</v>
      </c>
      <c r="B34" s="867"/>
      <c r="E34" s="1739"/>
      <c r="F34" s="1990">
        <v>1</v>
      </c>
      <c r="G34" s="1998" t="s">
        <v>1325</v>
      </c>
      <c r="H34" s="1132" t="s">
        <v>55</v>
      </c>
      <c r="I34" s="1868" t="s">
        <v>1488</v>
      </c>
      <c r="J34" s="1133"/>
      <c r="K34" s="1133"/>
      <c r="L34" s="1133"/>
      <c r="M34" s="1133"/>
      <c r="N34" s="1133"/>
      <c r="O34" s="1134">
        <v>0</v>
      </c>
      <c r="P34" s="1134">
        <v>0</v>
      </c>
      <c r="Q34" s="1134">
        <v>0</v>
      </c>
      <c r="R34" s="1134">
        <v>0</v>
      </c>
      <c r="S34" s="1134">
        <v>162.21</v>
      </c>
      <c r="T34" s="1134">
        <v>188.64</v>
      </c>
      <c r="U34" s="1134"/>
      <c r="V34" s="1134"/>
      <c r="W34" s="1134"/>
      <c r="X34" s="1134"/>
      <c r="Y34" s="1134"/>
      <c r="Z34" s="1134"/>
      <c r="AA34" s="1134"/>
      <c r="AB34" s="1134"/>
      <c r="AC34" s="1133"/>
      <c r="AD34" s="1133"/>
      <c r="AE34" s="1133"/>
      <c r="AF34" s="1133"/>
      <c r="AG34" s="1133"/>
      <c r="AH34" s="1133"/>
      <c r="AI34" s="1133"/>
      <c r="AJ34" s="1133"/>
      <c r="AK34" s="1133"/>
      <c r="AL34" s="1133"/>
      <c r="AM34" s="1133"/>
      <c r="AN34" s="1133"/>
      <c r="AO34" s="1133"/>
      <c r="AP34" s="1133"/>
      <c r="AQ34" s="1133"/>
      <c r="AR34" s="1133"/>
      <c r="AS34" s="1133"/>
      <c r="AT34" s="1133"/>
      <c r="AU34" s="1133"/>
      <c r="AV34" s="1133"/>
      <c r="AW34" s="1133"/>
      <c r="AX34" s="1133"/>
      <c r="AY34" s="1133"/>
      <c r="AZ34" s="1133"/>
      <c r="BA34" s="1133"/>
      <c r="BB34" s="1133"/>
      <c r="BC34" s="1133"/>
      <c r="BD34" s="1133"/>
      <c r="BE34" s="1133"/>
      <c r="BF34" s="1133"/>
      <c r="BG34" s="1133"/>
      <c r="BH34" s="1133"/>
      <c r="BI34" s="1133"/>
      <c r="BJ34" s="1133"/>
      <c r="BK34" s="1133"/>
      <c r="BL34" s="1133"/>
      <c r="BM34" s="1133"/>
      <c r="BN34" s="1133"/>
      <c r="BO34" s="1133"/>
      <c r="BP34" s="1133"/>
      <c r="BQ34" s="1133"/>
      <c r="BR34" s="1133"/>
      <c r="BS34" s="1133"/>
      <c r="BT34" s="1134"/>
      <c r="BU34" s="1134"/>
      <c r="BV34" s="1134"/>
      <c r="BW34" s="1134"/>
      <c r="BX34" s="1134"/>
      <c r="BY34" s="1134"/>
      <c r="BZ34" s="1134"/>
      <c r="CA34" s="1134"/>
      <c r="CB34" s="1134"/>
      <c r="CC34" s="1134"/>
      <c r="CD34" s="1134"/>
      <c r="CE34" s="1134"/>
      <c r="CF34" s="1134"/>
      <c r="CG34" s="1134"/>
      <c r="CH34" s="1134"/>
      <c r="CI34" s="1134"/>
      <c r="CJ34" s="1134"/>
      <c r="CK34" s="1134"/>
      <c r="CL34" s="1133"/>
      <c r="CM34" s="1133"/>
      <c r="CN34" s="1133"/>
      <c r="CO34" s="1133"/>
      <c r="CP34" s="1133"/>
      <c r="CQ34" s="1133"/>
      <c r="CR34" s="1133"/>
      <c r="CS34" s="1133"/>
      <c r="CT34" s="1133"/>
      <c r="CU34" s="1133"/>
      <c r="CV34" s="1133"/>
      <c r="CW34" s="1133"/>
      <c r="CX34" s="1133"/>
      <c r="CY34" s="1134"/>
      <c r="CZ34" s="1134"/>
      <c r="DA34" s="1134"/>
      <c r="DB34" s="1134"/>
      <c r="DC34" s="1134"/>
      <c r="DD34" s="1134"/>
      <c r="DE34" s="1134"/>
      <c r="DF34" s="1134"/>
      <c r="DG34" s="1134"/>
      <c r="DH34" s="1134"/>
      <c r="DI34" s="1134"/>
      <c r="DJ34" s="1134"/>
      <c r="DK34" s="1133"/>
      <c r="DL34" s="1133"/>
      <c r="DM34" s="1133"/>
      <c r="DN34" s="1133"/>
      <c r="DO34" s="1133"/>
      <c r="DP34" s="1133"/>
      <c r="DQ34" s="1133"/>
      <c r="DR34" s="1133"/>
      <c r="DS34" s="1133"/>
      <c r="DT34" s="1133"/>
      <c r="DU34" s="1133"/>
      <c r="DV34" s="1133"/>
      <c r="DW34" s="1133"/>
      <c r="DX34" s="1133"/>
      <c r="DY34" s="1133"/>
      <c r="DZ34" s="1133"/>
      <c r="EA34" s="1133"/>
      <c r="EB34" s="1133"/>
      <c r="EC34" s="1133"/>
      <c r="ED34" s="1133"/>
      <c r="EE34" s="1133"/>
      <c r="EF34" s="1133"/>
      <c r="EG34" s="1133"/>
      <c r="EH34" s="1133"/>
      <c r="EI34" s="1133"/>
      <c r="EJ34" s="1133"/>
      <c r="EK34" s="1133"/>
      <c r="EL34" s="1133"/>
      <c r="EM34" s="1133"/>
      <c r="EN34" s="1133"/>
      <c r="EO34" s="1133"/>
      <c r="EP34" s="1133"/>
      <c r="EQ34" s="1133"/>
      <c r="ER34" s="1133"/>
      <c r="ES34" s="1133"/>
      <c r="ET34" s="1133"/>
      <c r="EU34" s="1133"/>
      <c r="EV34" s="1133"/>
      <c r="EW34" s="1133"/>
      <c r="EX34" s="1133"/>
      <c r="EY34" s="1133"/>
      <c r="EZ34" s="1133"/>
      <c r="FA34" s="1133"/>
      <c r="FB34" s="1133"/>
      <c r="FC34" s="1133"/>
      <c r="FD34" s="1133"/>
      <c r="FE34" s="1133"/>
      <c r="FF34" s="1133"/>
      <c r="FG34" s="1133"/>
      <c r="FH34" s="1133"/>
      <c r="FI34" s="1133"/>
      <c r="FJ34" s="1133"/>
      <c r="FK34" s="1133"/>
      <c r="FL34" s="1133"/>
      <c r="FM34" s="1133"/>
      <c r="FN34" s="1133"/>
      <c r="FO34" s="1133"/>
      <c r="FP34" s="1133"/>
      <c r="FQ34" s="1133"/>
      <c r="FR34" s="1133"/>
      <c r="FS34" s="1133"/>
      <c r="FT34" s="1133"/>
      <c r="FU34" s="1133"/>
      <c r="FV34" s="1133"/>
      <c r="FW34" s="1133"/>
      <c r="FX34" s="1124"/>
    </row>
    <row r="35" spans="1:184" s="852" customFormat="1" ht="12" customHeight="1">
      <c r="A35" s="852" t="s">
        <v>1354</v>
      </c>
      <c r="B35" s="867"/>
      <c r="F35" s="2367"/>
      <c r="G35" s="2368" t="s">
        <v>1633</v>
      </c>
      <c r="H35" s="2369"/>
      <c r="I35" s="2370"/>
      <c r="J35" s="2371"/>
      <c r="K35" s="2372"/>
      <c r="L35" s="2373"/>
      <c r="M35" s="2374"/>
      <c r="N35" s="2375"/>
      <c r="O35" s="2376"/>
      <c r="P35" s="2377"/>
      <c r="Q35" s="2378"/>
      <c r="R35" s="2379"/>
      <c r="S35" s="2380"/>
      <c r="T35" s="2381"/>
      <c r="U35" s="2382"/>
      <c r="V35" s="2383"/>
      <c r="W35" s="2384"/>
      <c r="X35" s="2385"/>
      <c r="Y35" s="2386"/>
      <c r="Z35" s="2387"/>
      <c r="AA35" s="2388"/>
      <c r="AB35" s="2389"/>
      <c r="AC35" s="2390"/>
      <c r="AD35" s="2391"/>
      <c r="AE35" s="2392"/>
      <c r="AF35" s="2393"/>
      <c r="AG35" s="2394"/>
      <c r="AH35" s="2395"/>
      <c r="AI35" s="2396"/>
      <c r="AJ35" s="2397"/>
      <c r="AK35" s="2398"/>
      <c r="AL35" s="2399"/>
      <c r="AM35" s="2400"/>
      <c r="AN35" s="2401"/>
      <c r="AO35" s="2402"/>
      <c r="AP35" s="2403"/>
      <c r="AQ35" s="2404"/>
      <c r="AR35" s="2405"/>
      <c r="AS35" s="2406"/>
      <c r="AT35" s="2407"/>
      <c r="AU35" s="2408"/>
      <c r="AV35" s="2409"/>
      <c r="AW35" s="2410"/>
      <c r="AX35" s="2411"/>
      <c r="AY35" s="2412"/>
      <c r="AZ35" s="2413"/>
      <c r="BA35" s="2414"/>
      <c r="BB35" s="2415"/>
      <c r="BC35" s="2416"/>
      <c r="BD35" s="2417"/>
      <c r="BE35" s="2418"/>
      <c r="BF35" s="2419"/>
      <c r="BG35" s="2420"/>
      <c r="BH35" s="2421"/>
      <c r="BI35" s="2422"/>
      <c r="BJ35" s="2423"/>
      <c r="BK35" s="2424"/>
      <c r="BL35" s="2425"/>
      <c r="BM35" s="2426"/>
      <c r="BN35" s="2427"/>
      <c r="BO35" s="2428"/>
      <c r="BP35" s="2429"/>
      <c r="BQ35" s="2430"/>
      <c r="BR35" s="2431"/>
      <c r="BS35" s="2432"/>
      <c r="BT35" s="2433"/>
      <c r="BU35" s="2434"/>
      <c r="BV35" s="2435"/>
      <c r="BW35" s="2436"/>
      <c r="BX35" s="2437"/>
      <c r="BY35" s="2438"/>
      <c r="BZ35" s="2439"/>
      <c r="CA35" s="2440"/>
      <c r="CB35" s="2441"/>
      <c r="CC35" s="2442"/>
      <c r="CD35" s="2443"/>
      <c r="CE35" s="2444"/>
      <c r="CF35" s="2445"/>
      <c r="CG35" s="2446"/>
      <c r="CH35" s="2447"/>
      <c r="CI35" s="2448"/>
      <c r="CJ35" s="2449"/>
      <c r="CK35" s="2450"/>
      <c r="CL35" s="2451"/>
      <c r="CM35" s="2452"/>
      <c r="CN35" s="2453"/>
      <c r="CO35" s="2454"/>
      <c r="CP35" s="2455"/>
      <c r="CQ35" s="2456"/>
      <c r="CR35" s="2457"/>
      <c r="CS35" s="2458"/>
      <c r="CT35" s="2459"/>
      <c r="CU35" s="2460"/>
      <c r="CV35" s="2461"/>
      <c r="CW35" s="2462"/>
      <c r="CX35" s="2463"/>
      <c r="CY35" s="2464"/>
      <c r="CZ35" s="2465"/>
      <c r="DA35" s="2466"/>
      <c r="DB35" s="2467"/>
      <c r="DC35" s="2468"/>
      <c r="DD35" s="2469"/>
      <c r="DE35" s="2470"/>
      <c r="DF35" s="2471"/>
      <c r="DG35" s="2472"/>
      <c r="DH35" s="2473"/>
      <c r="DI35" s="2474"/>
      <c r="DJ35" s="2475"/>
      <c r="DK35" s="2476"/>
      <c r="DL35" s="2477"/>
      <c r="DM35" s="2478"/>
      <c r="DN35" s="2479"/>
      <c r="DO35" s="2480"/>
      <c r="DP35" s="2481"/>
      <c r="DQ35" s="2482"/>
      <c r="DR35" s="2483"/>
      <c r="DS35" s="2484"/>
      <c r="DT35" s="2485"/>
      <c r="DU35" s="2486"/>
      <c r="DV35" s="2487"/>
      <c r="DW35" s="2488"/>
      <c r="DX35" s="2489"/>
      <c r="DY35" s="2490"/>
      <c r="DZ35" s="2491"/>
      <c r="EA35" s="2492"/>
      <c r="EB35" s="2493"/>
      <c r="EC35" s="2494"/>
      <c r="ED35" s="2495"/>
      <c r="EE35" s="2496"/>
      <c r="EF35" s="2497"/>
      <c r="EG35" s="2498"/>
      <c r="EH35" s="2499"/>
      <c r="EI35" s="2500"/>
      <c r="EJ35" s="2501"/>
      <c r="EK35" s="2502"/>
      <c r="EL35" s="2503"/>
      <c r="EM35" s="2504"/>
      <c r="EN35" s="2505"/>
      <c r="EO35" s="2506"/>
      <c r="EP35" s="2507"/>
      <c r="EQ35" s="2508"/>
      <c r="ER35" s="2509"/>
      <c r="ES35" s="2510"/>
      <c r="ET35" s="2511"/>
      <c r="EU35" s="2512"/>
      <c r="EV35" s="2513"/>
      <c r="EW35" s="2514"/>
      <c r="EX35" s="2515"/>
      <c r="EY35" s="2516"/>
      <c r="EZ35" s="2517"/>
      <c r="FA35" s="2518"/>
      <c r="FB35" s="2519"/>
      <c r="FC35" s="2520"/>
      <c r="FD35" s="2521"/>
      <c r="FE35" s="2522"/>
      <c r="FF35" s="2523"/>
      <c r="FG35" s="2524"/>
      <c r="FH35" s="2525"/>
      <c r="FI35" s="2526"/>
      <c r="FJ35" s="2527"/>
      <c r="FK35" s="2528"/>
      <c r="FL35" s="2529"/>
      <c r="FM35" s="2530"/>
      <c r="FN35" s="2531"/>
      <c r="FO35" s="2532"/>
      <c r="FP35" s="2533"/>
      <c r="FQ35" s="2534"/>
      <c r="FR35" s="2535"/>
      <c r="FS35" s="2536"/>
      <c r="FT35" s="2537"/>
      <c r="FU35" s="2538"/>
      <c r="FV35" s="2539"/>
      <c r="FW35" s="2540"/>
      <c r="FX35" s="1714"/>
      <c r="FY35" s="988"/>
      <c r="FZ35" s="988"/>
      <c r="GA35" s="988"/>
      <c r="GB35" s="988"/>
    </row>
    <row r="36" spans="1:184" s="852" customFormat="1" ht="21" customHeight="1">
      <c r="A36" s="1246" t="s">
        <v>1361</v>
      </c>
      <c r="B36" s="867"/>
      <c r="E36" s="866" t="s">
        <v>9</v>
      </c>
      <c r="F36" s="1044" t="str">
        <f>INDEX(IP_MAIN_LIST_NAME_IP,MATCH(A36,IP_MAIN_LIST_IP_ID,0))&amp;" ("&amp;INDEX(IP_MAIN_START_DATE,MATCH(A36,IP_MAIN_LIST_IP_ID,0))&amp;"-"&amp;INDEX(IP_MAIN_END_DATE,MATCH(A36,IP_MAIN_LIST_IP_ID,0))&amp;")"</f>
        <v>Инвестиционная программа № 30 от 12.03.2025 ООО "СМОЛЕНСКРЕГИОНТЕПЛОЭНЕРГО" в сфере теплоснабжения по строительству газовой котельной, на территории с Понизовье, Руднянский муниципальный округ, Руднянский муниципальный округ на 2025-2034 годы (12.03.2025-31.12.2034)</v>
      </c>
      <c r="G36" s="1125"/>
      <c r="H36" s="1126"/>
      <c r="I36" s="1126"/>
      <c r="J36" s="1126"/>
      <c r="K36" s="1126"/>
      <c r="L36" s="1126"/>
      <c r="M36" s="1126"/>
      <c r="N36" s="1126"/>
      <c r="O36" s="1125"/>
      <c r="P36" s="1125"/>
      <c r="Q36" s="1125"/>
      <c r="R36" s="1125"/>
      <c r="S36" s="1125"/>
      <c r="T36" s="1125"/>
      <c r="U36" s="1127"/>
      <c r="V36" s="1127"/>
      <c r="W36" s="1127"/>
      <c r="X36" s="1127"/>
      <c r="Y36" s="1127"/>
      <c r="Z36" s="1127"/>
      <c r="AA36" s="1127"/>
      <c r="AB36" s="1125"/>
      <c r="AC36" s="1126"/>
      <c r="AD36" s="1126"/>
      <c r="AE36" s="1126"/>
      <c r="AF36" s="1126"/>
      <c r="AG36" s="1126"/>
      <c r="AH36" s="1126"/>
      <c r="AI36" s="1126"/>
      <c r="AJ36" s="1126"/>
      <c r="AK36" s="1126"/>
      <c r="AL36" s="1126"/>
      <c r="AM36" s="1126"/>
      <c r="AN36" s="1126"/>
      <c r="AO36" s="1126"/>
      <c r="AP36" s="1126"/>
      <c r="AQ36" s="1126"/>
      <c r="AR36" s="1126"/>
      <c r="AS36" s="1126"/>
      <c r="AT36" s="1126"/>
      <c r="AU36" s="1126"/>
      <c r="AV36" s="1126"/>
      <c r="AW36" s="1126"/>
      <c r="AX36" s="1126"/>
      <c r="AY36" s="1126"/>
      <c r="AZ36" s="1126"/>
      <c r="BA36" s="1126"/>
      <c r="BB36" s="1126"/>
      <c r="BC36" s="1126"/>
      <c r="BD36" s="1126"/>
      <c r="BE36" s="1126"/>
      <c r="BF36" s="1126"/>
      <c r="BG36" s="1126"/>
      <c r="BH36" s="1126"/>
      <c r="BI36" s="1126"/>
      <c r="BJ36" s="1126"/>
      <c r="BK36" s="1126"/>
      <c r="BL36" s="1126"/>
      <c r="BM36" s="1126"/>
      <c r="BN36" s="1126"/>
      <c r="BO36" s="1126"/>
      <c r="BP36" s="1126"/>
      <c r="BQ36" s="1126"/>
      <c r="BR36" s="1126"/>
      <c r="BS36" s="1126"/>
      <c r="BT36" s="1126"/>
      <c r="BU36" s="1126"/>
      <c r="BV36" s="1126"/>
      <c r="BW36" s="1126"/>
      <c r="BX36" s="1126"/>
      <c r="BY36" s="1126"/>
      <c r="BZ36" s="1126"/>
      <c r="CA36" s="1126"/>
      <c r="CB36" s="1126"/>
      <c r="CC36" s="1126"/>
      <c r="CD36" s="1126"/>
      <c r="CE36" s="1126"/>
      <c r="CF36" s="1126"/>
      <c r="CG36" s="1126"/>
      <c r="CH36" s="1126"/>
      <c r="CI36" s="1126"/>
      <c r="CJ36" s="1126"/>
      <c r="CK36" s="1126"/>
      <c r="CL36" s="1128"/>
      <c r="CM36" s="1128"/>
      <c r="CN36" s="1128"/>
      <c r="CO36" s="1128"/>
      <c r="CP36" s="1128"/>
      <c r="CQ36" s="1128"/>
      <c r="CR36" s="1128"/>
      <c r="CS36" s="1128"/>
      <c r="CT36" s="1128"/>
      <c r="CU36" s="1128"/>
      <c r="CV36" s="1128"/>
      <c r="CW36" s="1128"/>
      <c r="CX36" s="1128"/>
      <c r="CY36" s="1128"/>
      <c r="CZ36" s="1128"/>
      <c r="DA36" s="1128"/>
      <c r="DB36" s="1128"/>
      <c r="DC36" s="1128"/>
      <c r="DD36" s="1128"/>
      <c r="DE36" s="1128"/>
      <c r="DF36" s="1128"/>
      <c r="DG36" s="1128"/>
      <c r="DH36" s="1128"/>
      <c r="DI36" s="1128"/>
      <c r="DJ36" s="1128"/>
      <c r="DK36" s="1128"/>
      <c r="DL36" s="1128"/>
      <c r="DM36" s="1128"/>
      <c r="DN36" s="1128"/>
      <c r="DO36" s="1128"/>
      <c r="DP36" s="1128"/>
      <c r="DQ36" s="1128"/>
      <c r="DR36" s="1128"/>
      <c r="DS36" s="1128"/>
      <c r="DT36" s="1128"/>
      <c r="DU36" s="1128"/>
      <c r="DV36" s="1128"/>
      <c r="DW36" s="1128"/>
      <c r="DX36" s="1128"/>
      <c r="DY36" s="1128"/>
      <c r="DZ36" s="1128"/>
      <c r="EA36" s="1128"/>
      <c r="EB36" s="1128"/>
      <c r="EC36" s="1128"/>
      <c r="ED36" s="1128"/>
      <c r="EE36" s="1128"/>
      <c r="EF36" s="1128"/>
      <c r="EG36" s="1128"/>
      <c r="EH36" s="1128"/>
      <c r="EI36" s="1128"/>
      <c r="EJ36" s="1128"/>
      <c r="EK36" s="1128"/>
      <c r="EL36" s="1128"/>
      <c r="EM36" s="1128"/>
      <c r="EN36" s="1128"/>
      <c r="EO36" s="1128"/>
      <c r="EP36" s="1128"/>
      <c r="EQ36" s="1128"/>
      <c r="ER36" s="1128"/>
      <c r="ES36" s="1128"/>
      <c r="ET36" s="1128"/>
      <c r="EU36" s="1128"/>
      <c r="EV36" s="1128"/>
      <c r="EW36" s="1128"/>
      <c r="EX36" s="1128"/>
      <c r="EY36" s="1128"/>
      <c r="EZ36" s="1128"/>
      <c r="FA36" s="1128"/>
      <c r="FB36" s="1128"/>
      <c r="FC36" s="1128"/>
      <c r="FD36" s="1128"/>
      <c r="FE36" s="1128"/>
      <c r="FF36" s="1128"/>
      <c r="FG36" s="1128"/>
      <c r="FH36" s="1128"/>
      <c r="FI36" s="1128"/>
      <c r="FJ36" s="1128"/>
      <c r="FK36" s="1128"/>
      <c r="FL36" s="1128"/>
      <c r="FM36" s="1128"/>
      <c r="FN36" s="1128"/>
      <c r="FO36" s="1128"/>
      <c r="FP36" s="1128"/>
      <c r="FQ36" s="1128"/>
      <c r="FR36" s="1128"/>
      <c r="FS36" s="1128"/>
      <c r="FT36" s="1128"/>
      <c r="FU36" s="1128"/>
      <c r="FV36" s="1129"/>
      <c r="FW36" s="1123"/>
      <c r="FX36" s="1124"/>
    </row>
    <row r="37" spans="1:184" s="852" customFormat="1" ht="24.75" customHeight="1">
      <c r="A37" s="852" t="s">
        <v>1361</v>
      </c>
      <c r="B37" s="867"/>
      <c r="E37" s="1739"/>
      <c r="F37" s="1990">
        <v>1</v>
      </c>
      <c r="G37" s="1998" t="s">
        <v>1325</v>
      </c>
      <c r="H37" s="1132" t="s">
        <v>55</v>
      </c>
      <c r="I37" s="1868" t="s">
        <v>1488</v>
      </c>
      <c r="J37" s="1133"/>
      <c r="K37" s="1133"/>
      <c r="L37" s="1133"/>
      <c r="M37" s="1133"/>
      <c r="N37" s="1133"/>
      <c r="O37" s="1134">
        <v>0</v>
      </c>
      <c r="P37" s="1134">
        <v>0</v>
      </c>
      <c r="Q37" s="1134">
        <v>0</v>
      </c>
      <c r="R37" s="1134">
        <v>0</v>
      </c>
      <c r="S37" s="1134">
        <v>197.11</v>
      </c>
      <c r="T37" s="1134">
        <v>156.76</v>
      </c>
      <c r="U37" s="1134"/>
      <c r="V37" s="1134"/>
      <c r="W37" s="1134"/>
      <c r="X37" s="1134"/>
      <c r="Y37" s="1134"/>
      <c r="Z37" s="1134"/>
      <c r="AA37" s="1134"/>
      <c r="AB37" s="1134"/>
      <c r="AC37" s="1133"/>
      <c r="AD37" s="1133"/>
      <c r="AE37" s="1133"/>
      <c r="AF37" s="1133"/>
      <c r="AG37" s="1133"/>
      <c r="AH37" s="1133"/>
      <c r="AI37" s="1133"/>
      <c r="AJ37" s="1133"/>
      <c r="AK37" s="1133"/>
      <c r="AL37" s="1133"/>
      <c r="AM37" s="1133"/>
      <c r="AN37" s="1133"/>
      <c r="AO37" s="1133"/>
      <c r="AP37" s="1133"/>
      <c r="AQ37" s="1133"/>
      <c r="AR37" s="1133"/>
      <c r="AS37" s="1133"/>
      <c r="AT37" s="1133"/>
      <c r="AU37" s="1133"/>
      <c r="AV37" s="1133"/>
      <c r="AW37" s="1133"/>
      <c r="AX37" s="1133"/>
      <c r="AY37" s="1133"/>
      <c r="AZ37" s="1133"/>
      <c r="BA37" s="1133"/>
      <c r="BB37" s="1133"/>
      <c r="BC37" s="1133"/>
      <c r="BD37" s="1133"/>
      <c r="BE37" s="1133"/>
      <c r="BF37" s="1133"/>
      <c r="BG37" s="1133"/>
      <c r="BH37" s="1133"/>
      <c r="BI37" s="1133"/>
      <c r="BJ37" s="1133"/>
      <c r="BK37" s="1133"/>
      <c r="BL37" s="1133"/>
      <c r="BM37" s="1133"/>
      <c r="BN37" s="1133"/>
      <c r="BO37" s="1133"/>
      <c r="BP37" s="1133"/>
      <c r="BQ37" s="1133"/>
      <c r="BR37" s="1133"/>
      <c r="BS37" s="1133"/>
      <c r="BT37" s="1134"/>
      <c r="BU37" s="1134"/>
      <c r="BV37" s="1134"/>
      <c r="BW37" s="1134"/>
      <c r="BX37" s="1134"/>
      <c r="BY37" s="1134"/>
      <c r="BZ37" s="1134"/>
      <c r="CA37" s="1134"/>
      <c r="CB37" s="1134"/>
      <c r="CC37" s="1134"/>
      <c r="CD37" s="1134"/>
      <c r="CE37" s="1134"/>
      <c r="CF37" s="1134"/>
      <c r="CG37" s="1134"/>
      <c r="CH37" s="1134"/>
      <c r="CI37" s="1134"/>
      <c r="CJ37" s="1134"/>
      <c r="CK37" s="1134"/>
      <c r="CL37" s="1133"/>
      <c r="CM37" s="1133"/>
      <c r="CN37" s="1133"/>
      <c r="CO37" s="1133"/>
      <c r="CP37" s="1133"/>
      <c r="CQ37" s="1133"/>
      <c r="CR37" s="1133"/>
      <c r="CS37" s="1133"/>
      <c r="CT37" s="1133"/>
      <c r="CU37" s="1133"/>
      <c r="CV37" s="1133"/>
      <c r="CW37" s="1133"/>
      <c r="CX37" s="1133"/>
      <c r="CY37" s="1134"/>
      <c r="CZ37" s="1134"/>
      <c r="DA37" s="1134"/>
      <c r="DB37" s="1134"/>
      <c r="DC37" s="1134"/>
      <c r="DD37" s="1134"/>
      <c r="DE37" s="1134"/>
      <c r="DF37" s="1134"/>
      <c r="DG37" s="1134"/>
      <c r="DH37" s="1134"/>
      <c r="DI37" s="1134"/>
      <c r="DJ37" s="1134"/>
      <c r="DK37" s="1133"/>
      <c r="DL37" s="1133"/>
      <c r="DM37" s="1133"/>
      <c r="DN37" s="1133"/>
      <c r="DO37" s="1133"/>
      <c r="DP37" s="1133"/>
      <c r="DQ37" s="1133"/>
      <c r="DR37" s="1133"/>
      <c r="DS37" s="1133"/>
      <c r="DT37" s="1133"/>
      <c r="DU37" s="1133"/>
      <c r="DV37" s="1133"/>
      <c r="DW37" s="1133"/>
      <c r="DX37" s="1133"/>
      <c r="DY37" s="1133"/>
      <c r="DZ37" s="1133"/>
      <c r="EA37" s="1133"/>
      <c r="EB37" s="1133"/>
      <c r="EC37" s="1133"/>
      <c r="ED37" s="1133"/>
      <c r="EE37" s="1133"/>
      <c r="EF37" s="1133"/>
      <c r="EG37" s="1133"/>
      <c r="EH37" s="1133"/>
      <c r="EI37" s="1133"/>
      <c r="EJ37" s="1133"/>
      <c r="EK37" s="1133"/>
      <c r="EL37" s="1133"/>
      <c r="EM37" s="1133"/>
      <c r="EN37" s="1133"/>
      <c r="EO37" s="1133"/>
      <c r="EP37" s="1133"/>
      <c r="EQ37" s="1133"/>
      <c r="ER37" s="1133"/>
      <c r="ES37" s="1133"/>
      <c r="ET37" s="1133"/>
      <c r="EU37" s="1133"/>
      <c r="EV37" s="1133"/>
      <c r="EW37" s="1133"/>
      <c r="EX37" s="1133"/>
      <c r="EY37" s="1133"/>
      <c r="EZ37" s="1133"/>
      <c r="FA37" s="1133"/>
      <c r="FB37" s="1133"/>
      <c r="FC37" s="1133"/>
      <c r="FD37" s="1133"/>
      <c r="FE37" s="1133"/>
      <c r="FF37" s="1133"/>
      <c r="FG37" s="1133"/>
      <c r="FH37" s="1133"/>
      <c r="FI37" s="1133"/>
      <c r="FJ37" s="1133"/>
      <c r="FK37" s="1133"/>
      <c r="FL37" s="1133"/>
      <c r="FM37" s="1133"/>
      <c r="FN37" s="1133"/>
      <c r="FO37" s="1133"/>
      <c r="FP37" s="1133"/>
      <c r="FQ37" s="1133"/>
      <c r="FR37" s="1133"/>
      <c r="FS37" s="1133"/>
      <c r="FT37" s="1133"/>
      <c r="FU37" s="1133"/>
      <c r="FV37" s="1133"/>
      <c r="FW37" s="1133"/>
      <c r="FX37" s="1124"/>
    </row>
    <row r="38" spans="1:184" s="852" customFormat="1" ht="12" customHeight="1">
      <c r="A38" s="852" t="s">
        <v>1361</v>
      </c>
      <c r="B38" s="867"/>
      <c r="F38" s="2541"/>
      <c r="G38" s="2542" t="s">
        <v>1633</v>
      </c>
      <c r="H38" s="2543"/>
      <c r="I38" s="2544"/>
      <c r="J38" s="2545"/>
      <c r="K38" s="2546"/>
      <c r="L38" s="2547"/>
      <c r="M38" s="2548"/>
      <c r="N38" s="2549"/>
      <c r="O38" s="2550"/>
      <c r="P38" s="2551"/>
      <c r="Q38" s="2552"/>
      <c r="R38" s="2553"/>
      <c r="S38" s="2554"/>
      <c r="T38" s="2555"/>
      <c r="U38" s="2556"/>
      <c r="V38" s="2557"/>
      <c r="W38" s="2558"/>
      <c r="X38" s="2559"/>
      <c r="Y38" s="2560"/>
      <c r="Z38" s="2561"/>
      <c r="AA38" s="2562"/>
      <c r="AB38" s="2563"/>
      <c r="AC38" s="2564"/>
      <c r="AD38" s="2565"/>
      <c r="AE38" s="2566"/>
      <c r="AF38" s="2567"/>
      <c r="AG38" s="2568"/>
      <c r="AH38" s="2569"/>
      <c r="AI38" s="2570"/>
      <c r="AJ38" s="2571"/>
      <c r="AK38" s="2572"/>
      <c r="AL38" s="2573"/>
      <c r="AM38" s="2574"/>
      <c r="AN38" s="2575"/>
      <c r="AO38" s="2576"/>
      <c r="AP38" s="2577"/>
      <c r="AQ38" s="2578"/>
      <c r="AR38" s="2579"/>
      <c r="AS38" s="2580"/>
      <c r="AT38" s="2581"/>
      <c r="AU38" s="2582"/>
      <c r="AV38" s="2583"/>
      <c r="AW38" s="2584"/>
      <c r="AX38" s="2585"/>
      <c r="AY38" s="2586"/>
      <c r="AZ38" s="2587"/>
      <c r="BA38" s="2588"/>
      <c r="BB38" s="2589"/>
      <c r="BC38" s="2590"/>
      <c r="BD38" s="2591"/>
      <c r="BE38" s="2592"/>
      <c r="BF38" s="2593"/>
      <c r="BG38" s="2594"/>
      <c r="BH38" s="2595"/>
      <c r="BI38" s="2596"/>
      <c r="BJ38" s="2597"/>
      <c r="BK38" s="2598"/>
      <c r="BL38" s="2599"/>
      <c r="BM38" s="2600"/>
      <c r="BN38" s="2601"/>
      <c r="BO38" s="2602"/>
      <c r="BP38" s="2603"/>
      <c r="BQ38" s="2604"/>
      <c r="BR38" s="2605"/>
      <c r="BS38" s="2606"/>
      <c r="BT38" s="2607"/>
      <c r="BU38" s="2608"/>
      <c r="BV38" s="2609"/>
      <c r="BW38" s="2610"/>
      <c r="BX38" s="2611"/>
      <c r="BY38" s="2612"/>
      <c r="BZ38" s="2613"/>
      <c r="CA38" s="2614"/>
      <c r="CB38" s="2615"/>
      <c r="CC38" s="2616"/>
      <c r="CD38" s="2617"/>
      <c r="CE38" s="2618"/>
      <c r="CF38" s="2619"/>
      <c r="CG38" s="2620"/>
      <c r="CH38" s="2621"/>
      <c r="CI38" s="2622"/>
      <c r="CJ38" s="2623"/>
      <c r="CK38" s="2624"/>
      <c r="CL38" s="2625"/>
      <c r="CM38" s="2626"/>
      <c r="CN38" s="2627"/>
      <c r="CO38" s="2628"/>
      <c r="CP38" s="2629"/>
      <c r="CQ38" s="2630"/>
      <c r="CR38" s="2631"/>
      <c r="CS38" s="2632"/>
      <c r="CT38" s="2633"/>
      <c r="CU38" s="2634"/>
      <c r="CV38" s="2635"/>
      <c r="CW38" s="2636"/>
      <c r="CX38" s="2637"/>
      <c r="CY38" s="2638"/>
      <c r="CZ38" s="2639"/>
      <c r="DA38" s="2640"/>
      <c r="DB38" s="2641"/>
      <c r="DC38" s="2642"/>
      <c r="DD38" s="2643"/>
      <c r="DE38" s="2644"/>
      <c r="DF38" s="2645"/>
      <c r="DG38" s="2646"/>
      <c r="DH38" s="2647"/>
      <c r="DI38" s="2648"/>
      <c r="DJ38" s="2649"/>
      <c r="DK38" s="2650"/>
      <c r="DL38" s="2651"/>
      <c r="DM38" s="2652"/>
      <c r="DN38" s="2653"/>
      <c r="DO38" s="2654"/>
      <c r="DP38" s="2655"/>
      <c r="DQ38" s="2656"/>
      <c r="DR38" s="2657"/>
      <c r="DS38" s="2658"/>
      <c r="DT38" s="2659"/>
      <c r="DU38" s="2660"/>
      <c r="DV38" s="2661"/>
      <c r="DW38" s="2662"/>
      <c r="DX38" s="2663"/>
      <c r="DY38" s="2664"/>
      <c r="DZ38" s="2665"/>
      <c r="EA38" s="2666"/>
      <c r="EB38" s="2667"/>
      <c r="EC38" s="2668"/>
      <c r="ED38" s="2669"/>
      <c r="EE38" s="2670"/>
      <c r="EF38" s="2671"/>
      <c r="EG38" s="2672"/>
      <c r="EH38" s="2673"/>
      <c r="EI38" s="2674"/>
      <c r="EJ38" s="2675"/>
      <c r="EK38" s="2676"/>
      <c r="EL38" s="2677"/>
      <c r="EM38" s="2678"/>
      <c r="EN38" s="2679"/>
      <c r="EO38" s="2680"/>
      <c r="EP38" s="2681"/>
      <c r="EQ38" s="2682"/>
      <c r="ER38" s="2683"/>
      <c r="ES38" s="2684"/>
      <c r="ET38" s="2685"/>
      <c r="EU38" s="2686"/>
      <c r="EV38" s="2687"/>
      <c r="EW38" s="2688"/>
      <c r="EX38" s="2689"/>
      <c r="EY38" s="2690"/>
      <c r="EZ38" s="2691"/>
      <c r="FA38" s="2692"/>
      <c r="FB38" s="2693"/>
      <c r="FC38" s="2694"/>
      <c r="FD38" s="2695"/>
      <c r="FE38" s="2696"/>
      <c r="FF38" s="2697"/>
      <c r="FG38" s="2698"/>
      <c r="FH38" s="2699"/>
      <c r="FI38" s="2700"/>
      <c r="FJ38" s="2701"/>
      <c r="FK38" s="2702"/>
      <c r="FL38" s="2703"/>
      <c r="FM38" s="2704"/>
      <c r="FN38" s="2705"/>
      <c r="FO38" s="2706"/>
      <c r="FP38" s="2707"/>
      <c r="FQ38" s="2708"/>
      <c r="FR38" s="2709"/>
      <c r="FS38" s="2710"/>
      <c r="FT38" s="2711"/>
      <c r="FU38" s="2712"/>
      <c r="FV38" s="2713"/>
      <c r="FW38" s="2714"/>
      <c r="FX38" s="1714"/>
      <c r="FY38" s="988"/>
      <c r="FZ38" s="988"/>
      <c r="GA38" s="988"/>
      <c r="GB38" s="988"/>
    </row>
    <row r="39" spans="1:184" s="852" customFormat="1" ht="21" customHeight="1">
      <c r="A39" s="1246" t="s">
        <v>1369</v>
      </c>
      <c r="B39" s="867"/>
      <c r="E39" s="866" t="s">
        <v>9</v>
      </c>
      <c r="F39" s="1044" t="str">
        <f>INDEX(IP_MAIN_LIST_NAME_IP,MATCH(A39,IP_MAIN_LIST_IP_ID,0))&amp;" ("&amp;INDEX(IP_MAIN_START_DATE,MATCH(A39,IP_MAIN_LIST_IP_ID,0))&amp;"-"&amp;INDEX(IP_MAIN_END_DATE,MATCH(A39,IP_MAIN_LIST_IP_ID,0))&amp;")"</f>
        <v>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 (01.01.2025-31.12.2027)</v>
      </c>
      <c r="G39" s="1125"/>
      <c r="H39" s="1126"/>
      <c r="I39" s="1126"/>
      <c r="J39" s="1126"/>
      <c r="K39" s="1126"/>
      <c r="L39" s="1126"/>
      <c r="M39" s="1126"/>
      <c r="N39" s="1126"/>
      <c r="O39" s="1125"/>
      <c r="P39" s="1125"/>
      <c r="Q39" s="1125"/>
      <c r="R39" s="1125"/>
      <c r="S39" s="1125"/>
      <c r="T39" s="1125"/>
      <c r="U39" s="1127"/>
      <c r="V39" s="1127"/>
      <c r="W39" s="1127"/>
      <c r="X39" s="1127"/>
      <c r="Y39" s="1127"/>
      <c r="Z39" s="1127"/>
      <c r="AA39" s="1127"/>
      <c r="AB39" s="1125"/>
      <c r="AC39" s="1126"/>
      <c r="AD39" s="1126"/>
      <c r="AE39" s="1126"/>
      <c r="AF39" s="1126"/>
      <c r="AG39" s="1126"/>
      <c r="AH39" s="1126"/>
      <c r="AI39" s="1126"/>
      <c r="AJ39" s="1126"/>
      <c r="AK39" s="1126"/>
      <c r="AL39" s="1126"/>
      <c r="AM39" s="1126"/>
      <c r="AN39" s="1126"/>
      <c r="AO39" s="1126"/>
      <c r="AP39" s="1126"/>
      <c r="AQ39" s="1126"/>
      <c r="AR39" s="1126"/>
      <c r="AS39" s="1126"/>
      <c r="AT39" s="1126"/>
      <c r="AU39" s="1126"/>
      <c r="AV39" s="1126"/>
      <c r="AW39" s="1126"/>
      <c r="AX39" s="1126"/>
      <c r="AY39" s="1126"/>
      <c r="AZ39" s="1126"/>
      <c r="BA39" s="1126"/>
      <c r="BB39" s="1126"/>
      <c r="BC39" s="1126"/>
      <c r="BD39" s="1126"/>
      <c r="BE39" s="1126"/>
      <c r="BF39" s="1126"/>
      <c r="BG39" s="1126"/>
      <c r="BH39" s="1126"/>
      <c r="BI39" s="1126"/>
      <c r="BJ39" s="1126"/>
      <c r="BK39" s="1126"/>
      <c r="BL39" s="1126"/>
      <c r="BM39" s="1126"/>
      <c r="BN39" s="1126"/>
      <c r="BO39" s="1126"/>
      <c r="BP39" s="1126"/>
      <c r="BQ39" s="1126"/>
      <c r="BR39" s="1126"/>
      <c r="BS39" s="1126"/>
      <c r="BT39" s="1126"/>
      <c r="BU39" s="1126"/>
      <c r="BV39" s="1126"/>
      <c r="BW39" s="1126"/>
      <c r="BX39" s="1126"/>
      <c r="BY39" s="1126"/>
      <c r="BZ39" s="1126"/>
      <c r="CA39" s="1126"/>
      <c r="CB39" s="1126"/>
      <c r="CC39" s="1126"/>
      <c r="CD39" s="1126"/>
      <c r="CE39" s="1126"/>
      <c r="CF39" s="1126"/>
      <c r="CG39" s="1126"/>
      <c r="CH39" s="1126"/>
      <c r="CI39" s="1126"/>
      <c r="CJ39" s="1126"/>
      <c r="CK39" s="1126"/>
      <c r="CL39" s="1128"/>
      <c r="CM39" s="1128"/>
      <c r="CN39" s="1128"/>
      <c r="CO39" s="1128"/>
      <c r="CP39" s="1128"/>
      <c r="CQ39" s="1128"/>
      <c r="CR39" s="1128"/>
      <c r="CS39" s="1128"/>
      <c r="CT39" s="1128"/>
      <c r="CU39" s="1128"/>
      <c r="CV39" s="1128"/>
      <c r="CW39" s="1128"/>
      <c r="CX39" s="1128"/>
      <c r="CY39" s="1128"/>
      <c r="CZ39" s="1128"/>
      <c r="DA39" s="1128"/>
      <c r="DB39" s="1128"/>
      <c r="DC39" s="1128"/>
      <c r="DD39" s="1128"/>
      <c r="DE39" s="1128"/>
      <c r="DF39" s="1128"/>
      <c r="DG39" s="1128"/>
      <c r="DH39" s="1128"/>
      <c r="DI39" s="1128"/>
      <c r="DJ39" s="1128"/>
      <c r="DK39" s="1128"/>
      <c r="DL39" s="1128"/>
      <c r="DM39" s="1128"/>
      <c r="DN39" s="1128"/>
      <c r="DO39" s="1128"/>
      <c r="DP39" s="1128"/>
      <c r="DQ39" s="1128"/>
      <c r="DR39" s="1128"/>
      <c r="DS39" s="1128"/>
      <c r="DT39" s="1128"/>
      <c r="DU39" s="1128"/>
      <c r="DV39" s="1128"/>
      <c r="DW39" s="1128"/>
      <c r="DX39" s="1128"/>
      <c r="DY39" s="1128"/>
      <c r="DZ39" s="1128"/>
      <c r="EA39" s="1128"/>
      <c r="EB39" s="1128"/>
      <c r="EC39" s="1128"/>
      <c r="ED39" s="1128"/>
      <c r="EE39" s="1128"/>
      <c r="EF39" s="1128"/>
      <c r="EG39" s="1128"/>
      <c r="EH39" s="1128"/>
      <c r="EI39" s="1128"/>
      <c r="EJ39" s="1128"/>
      <c r="EK39" s="1128"/>
      <c r="EL39" s="1128"/>
      <c r="EM39" s="1128"/>
      <c r="EN39" s="1128"/>
      <c r="EO39" s="1128"/>
      <c r="EP39" s="1128"/>
      <c r="EQ39" s="1128"/>
      <c r="ER39" s="1128"/>
      <c r="ES39" s="1128"/>
      <c r="ET39" s="1128"/>
      <c r="EU39" s="1128"/>
      <c r="EV39" s="1128"/>
      <c r="EW39" s="1128"/>
      <c r="EX39" s="1128"/>
      <c r="EY39" s="1128"/>
      <c r="EZ39" s="1128"/>
      <c r="FA39" s="1128"/>
      <c r="FB39" s="1128"/>
      <c r="FC39" s="1128"/>
      <c r="FD39" s="1128"/>
      <c r="FE39" s="1128"/>
      <c r="FF39" s="1128"/>
      <c r="FG39" s="1128"/>
      <c r="FH39" s="1128"/>
      <c r="FI39" s="1128"/>
      <c r="FJ39" s="1128"/>
      <c r="FK39" s="1128"/>
      <c r="FL39" s="1128"/>
      <c r="FM39" s="1128"/>
      <c r="FN39" s="1128"/>
      <c r="FO39" s="1128"/>
      <c r="FP39" s="1128"/>
      <c r="FQ39" s="1128"/>
      <c r="FR39" s="1128"/>
      <c r="FS39" s="1128"/>
      <c r="FT39" s="1128"/>
      <c r="FU39" s="1128"/>
      <c r="FV39" s="1129"/>
      <c r="FW39" s="1123"/>
      <c r="FX39" s="1124"/>
    </row>
    <row r="40" spans="1:184" s="852" customFormat="1" ht="24.75" customHeight="1">
      <c r="A40" s="852" t="s">
        <v>1369</v>
      </c>
      <c r="B40" s="867"/>
      <c r="E40" s="1739"/>
      <c r="F40" s="1990">
        <v>1</v>
      </c>
      <c r="G40" s="1998" t="s">
        <v>1325</v>
      </c>
      <c r="H40" s="1132" t="s">
        <v>55</v>
      </c>
      <c r="I40" s="1868" t="s">
        <v>1499</v>
      </c>
      <c r="J40" s="1133"/>
      <c r="K40" s="1133"/>
      <c r="L40" s="1133"/>
      <c r="M40" s="1133"/>
      <c r="N40" s="1133"/>
      <c r="O40" s="1134">
        <v>0</v>
      </c>
      <c r="P40" s="1134">
        <v>0</v>
      </c>
      <c r="Q40" s="1134">
        <v>0</v>
      </c>
      <c r="R40" s="1134">
        <v>0</v>
      </c>
      <c r="S40" s="1134">
        <v>192.17</v>
      </c>
      <c r="T40" s="1134">
        <v>191.23</v>
      </c>
      <c r="U40" s="1134">
        <v>1.81</v>
      </c>
      <c r="V40" s="1134">
        <v>4.41</v>
      </c>
      <c r="W40" s="1134"/>
      <c r="X40" s="1134"/>
      <c r="Y40" s="1134">
        <v>76.78</v>
      </c>
      <c r="Z40" s="1134">
        <v>187.08</v>
      </c>
      <c r="AA40" s="1134"/>
      <c r="AB40" s="1134"/>
      <c r="AC40" s="1133"/>
      <c r="AD40" s="1133"/>
      <c r="AE40" s="1133"/>
      <c r="AF40" s="1133"/>
      <c r="AG40" s="1133"/>
      <c r="AH40" s="1133"/>
      <c r="AI40" s="1133"/>
      <c r="AJ40" s="1133"/>
      <c r="AK40" s="1133"/>
      <c r="AL40" s="1133"/>
      <c r="AM40" s="1133"/>
      <c r="AN40" s="1133"/>
      <c r="AO40" s="1133"/>
      <c r="AP40" s="1133"/>
      <c r="AQ40" s="1133"/>
      <c r="AR40" s="1133"/>
      <c r="AS40" s="1133"/>
      <c r="AT40" s="1133"/>
      <c r="AU40" s="1133"/>
      <c r="AV40" s="1133"/>
      <c r="AW40" s="1133"/>
      <c r="AX40" s="1133"/>
      <c r="AY40" s="1133"/>
      <c r="AZ40" s="1133"/>
      <c r="BA40" s="1133"/>
      <c r="BB40" s="1133"/>
      <c r="BC40" s="1133"/>
      <c r="BD40" s="1133"/>
      <c r="BE40" s="1133"/>
      <c r="BF40" s="1133"/>
      <c r="BG40" s="1133"/>
      <c r="BH40" s="1133"/>
      <c r="BI40" s="1133"/>
      <c r="BJ40" s="1133"/>
      <c r="BK40" s="1133"/>
      <c r="BL40" s="1133"/>
      <c r="BM40" s="1133"/>
      <c r="BN40" s="1133"/>
      <c r="BO40" s="1133"/>
      <c r="BP40" s="1133"/>
      <c r="BQ40" s="1133"/>
      <c r="BR40" s="1133"/>
      <c r="BS40" s="1133"/>
      <c r="BT40" s="1134"/>
      <c r="BU40" s="1134"/>
      <c r="BV40" s="1134"/>
      <c r="BW40" s="1134"/>
      <c r="BX40" s="1134"/>
      <c r="BY40" s="1134"/>
      <c r="BZ40" s="1134"/>
      <c r="CA40" s="1134"/>
      <c r="CB40" s="1134"/>
      <c r="CC40" s="1134"/>
      <c r="CD40" s="1134"/>
      <c r="CE40" s="1134"/>
      <c r="CF40" s="1134"/>
      <c r="CG40" s="1134"/>
      <c r="CH40" s="1134"/>
      <c r="CI40" s="1134"/>
      <c r="CJ40" s="1134"/>
      <c r="CK40" s="1134"/>
      <c r="CL40" s="1133"/>
      <c r="CM40" s="1133"/>
      <c r="CN40" s="1133"/>
      <c r="CO40" s="1133"/>
      <c r="CP40" s="1133"/>
      <c r="CQ40" s="1133"/>
      <c r="CR40" s="1133"/>
      <c r="CS40" s="1133"/>
      <c r="CT40" s="1133"/>
      <c r="CU40" s="1133"/>
      <c r="CV40" s="1133"/>
      <c r="CW40" s="1133"/>
      <c r="CX40" s="1133"/>
      <c r="CY40" s="1134"/>
      <c r="CZ40" s="1134"/>
      <c r="DA40" s="1134"/>
      <c r="DB40" s="1134"/>
      <c r="DC40" s="1134"/>
      <c r="DD40" s="1134"/>
      <c r="DE40" s="1134"/>
      <c r="DF40" s="1134"/>
      <c r="DG40" s="1134"/>
      <c r="DH40" s="1134"/>
      <c r="DI40" s="1134"/>
      <c r="DJ40" s="1134"/>
      <c r="DK40" s="1133"/>
      <c r="DL40" s="1133"/>
      <c r="DM40" s="1133"/>
      <c r="DN40" s="1133"/>
      <c r="DO40" s="1133"/>
      <c r="DP40" s="1133"/>
      <c r="DQ40" s="1133"/>
      <c r="DR40" s="1133"/>
      <c r="DS40" s="1133"/>
      <c r="DT40" s="1133"/>
      <c r="DU40" s="1133"/>
      <c r="DV40" s="1133"/>
      <c r="DW40" s="1133"/>
      <c r="DX40" s="1133"/>
      <c r="DY40" s="1133"/>
      <c r="DZ40" s="1133"/>
      <c r="EA40" s="1133"/>
      <c r="EB40" s="1133"/>
      <c r="EC40" s="1133"/>
      <c r="ED40" s="1133"/>
      <c r="EE40" s="1133"/>
      <c r="EF40" s="1133"/>
      <c r="EG40" s="1133"/>
      <c r="EH40" s="1133"/>
      <c r="EI40" s="1133"/>
      <c r="EJ40" s="1133"/>
      <c r="EK40" s="1133"/>
      <c r="EL40" s="1133"/>
      <c r="EM40" s="1133"/>
      <c r="EN40" s="1133"/>
      <c r="EO40" s="1133"/>
      <c r="EP40" s="1133"/>
      <c r="EQ40" s="1133"/>
      <c r="ER40" s="1133"/>
      <c r="ES40" s="1133"/>
      <c r="ET40" s="1133"/>
      <c r="EU40" s="1133"/>
      <c r="EV40" s="1133"/>
      <c r="EW40" s="1133"/>
      <c r="EX40" s="1133"/>
      <c r="EY40" s="1133"/>
      <c r="EZ40" s="1133"/>
      <c r="FA40" s="1133"/>
      <c r="FB40" s="1133"/>
      <c r="FC40" s="1133"/>
      <c r="FD40" s="1133"/>
      <c r="FE40" s="1133"/>
      <c r="FF40" s="1133"/>
      <c r="FG40" s="1133"/>
      <c r="FH40" s="1133"/>
      <c r="FI40" s="1133"/>
      <c r="FJ40" s="1133"/>
      <c r="FK40" s="1133"/>
      <c r="FL40" s="1133"/>
      <c r="FM40" s="1133"/>
      <c r="FN40" s="1133"/>
      <c r="FO40" s="1133"/>
      <c r="FP40" s="1133"/>
      <c r="FQ40" s="1133"/>
      <c r="FR40" s="1133"/>
      <c r="FS40" s="1133"/>
      <c r="FT40" s="1133"/>
      <c r="FU40" s="1133"/>
      <c r="FV40" s="1133"/>
      <c r="FW40" s="1133"/>
      <c r="FX40" s="1124"/>
    </row>
    <row r="41" spans="1:184" s="852" customFormat="1" ht="12" customHeight="1">
      <c r="A41" s="852" t="s">
        <v>1369</v>
      </c>
      <c r="B41" s="867"/>
      <c r="F41" s="2715"/>
      <c r="G41" s="2716" t="s">
        <v>1633</v>
      </c>
      <c r="H41" s="2717"/>
      <c r="I41" s="2718"/>
      <c r="J41" s="2719"/>
      <c r="K41" s="2720"/>
      <c r="L41" s="2721"/>
      <c r="M41" s="2722"/>
      <c r="N41" s="2723"/>
      <c r="O41" s="2724"/>
      <c r="P41" s="2725"/>
      <c r="Q41" s="2726"/>
      <c r="R41" s="2727"/>
      <c r="S41" s="2728"/>
      <c r="T41" s="2729"/>
      <c r="U41" s="2730"/>
      <c r="V41" s="2731"/>
      <c r="W41" s="2732"/>
      <c r="X41" s="2733"/>
      <c r="Y41" s="2734"/>
      <c r="Z41" s="2735"/>
      <c r="AA41" s="2736"/>
      <c r="AB41" s="2737"/>
      <c r="AC41" s="2738"/>
      <c r="AD41" s="2739"/>
      <c r="AE41" s="2740"/>
      <c r="AF41" s="2741"/>
      <c r="AG41" s="2742"/>
      <c r="AH41" s="2743"/>
      <c r="AI41" s="2744"/>
      <c r="AJ41" s="2745"/>
      <c r="AK41" s="2746"/>
      <c r="AL41" s="2747"/>
      <c r="AM41" s="2748"/>
      <c r="AN41" s="2749"/>
      <c r="AO41" s="2750"/>
      <c r="AP41" s="2751"/>
      <c r="AQ41" s="2752"/>
      <c r="AR41" s="2753"/>
      <c r="AS41" s="2754"/>
      <c r="AT41" s="2755"/>
      <c r="AU41" s="2756"/>
      <c r="AV41" s="2757"/>
      <c r="AW41" s="2758"/>
      <c r="AX41" s="2759"/>
      <c r="AY41" s="2760"/>
      <c r="AZ41" s="2761"/>
      <c r="BA41" s="2762"/>
      <c r="BB41" s="2763"/>
      <c r="BC41" s="2764"/>
      <c r="BD41" s="2765"/>
      <c r="BE41" s="2766"/>
      <c r="BF41" s="2767"/>
      <c r="BG41" s="2768"/>
      <c r="BH41" s="2769"/>
      <c r="BI41" s="2770"/>
      <c r="BJ41" s="2771"/>
      <c r="BK41" s="2772"/>
      <c r="BL41" s="2773"/>
      <c r="BM41" s="2774"/>
      <c r="BN41" s="2775"/>
      <c r="BO41" s="2776"/>
      <c r="BP41" s="2777"/>
      <c r="BQ41" s="2778"/>
      <c r="BR41" s="2779"/>
      <c r="BS41" s="2780"/>
      <c r="BT41" s="2781"/>
      <c r="BU41" s="2782"/>
      <c r="BV41" s="2783"/>
      <c r="BW41" s="2784"/>
      <c r="BX41" s="2785"/>
      <c r="BY41" s="2786"/>
      <c r="BZ41" s="2787"/>
      <c r="CA41" s="2788"/>
      <c r="CB41" s="2789"/>
      <c r="CC41" s="2790"/>
      <c r="CD41" s="2791"/>
      <c r="CE41" s="2792"/>
      <c r="CF41" s="2793"/>
      <c r="CG41" s="2794"/>
      <c r="CH41" s="2795"/>
      <c r="CI41" s="2796"/>
      <c r="CJ41" s="2797"/>
      <c r="CK41" s="2798"/>
      <c r="CL41" s="2799"/>
      <c r="CM41" s="2800"/>
      <c r="CN41" s="2801"/>
      <c r="CO41" s="2802"/>
      <c r="CP41" s="2803"/>
      <c r="CQ41" s="2804"/>
      <c r="CR41" s="2805"/>
      <c r="CS41" s="2806"/>
      <c r="CT41" s="2807"/>
      <c r="CU41" s="2808"/>
      <c r="CV41" s="2809"/>
      <c r="CW41" s="2810"/>
      <c r="CX41" s="2811"/>
      <c r="CY41" s="2812"/>
      <c r="CZ41" s="2813"/>
      <c r="DA41" s="2814"/>
      <c r="DB41" s="2815"/>
      <c r="DC41" s="2816"/>
      <c r="DD41" s="2817"/>
      <c r="DE41" s="2818"/>
      <c r="DF41" s="2819"/>
      <c r="DG41" s="2820"/>
      <c r="DH41" s="2821"/>
      <c r="DI41" s="2822"/>
      <c r="DJ41" s="2823"/>
      <c r="DK41" s="2824"/>
      <c r="DL41" s="2825"/>
      <c r="DM41" s="2826"/>
      <c r="DN41" s="2827"/>
      <c r="DO41" s="2828"/>
      <c r="DP41" s="2829"/>
      <c r="DQ41" s="2830"/>
      <c r="DR41" s="2831"/>
      <c r="DS41" s="2832"/>
      <c r="DT41" s="2833"/>
      <c r="DU41" s="2834"/>
      <c r="DV41" s="2835"/>
      <c r="DW41" s="2836"/>
      <c r="DX41" s="2837"/>
      <c r="DY41" s="2838"/>
      <c r="DZ41" s="2839"/>
      <c r="EA41" s="2840"/>
      <c r="EB41" s="2841"/>
      <c r="EC41" s="2842"/>
      <c r="ED41" s="2843"/>
      <c r="EE41" s="2844"/>
      <c r="EF41" s="2845"/>
      <c r="EG41" s="2846"/>
      <c r="EH41" s="2847"/>
      <c r="EI41" s="2848"/>
      <c r="EJ41" s="2849"/>
      <c r="EK41" s="2850"/>
      <c r="EL41" s="2851"/>
      <c r="EM41" s="2852"/>
      <c r="EN41" s="2853"/>
      <c r="EO41" s="2854"/>
      <c r="EP41" s="2855"/>
      <c r="EQ41" s="2856"/>
      <c r="ER41" s="2857"/>
      <c r="ES41" s="2858"/>
      <c r="ET41" s="2859"/>
      <c r="EU41" s="2860"/>
      <c r="EV41" s="2861"/>
      <c r="EW41" s="2862"/>
      <c r="EX41" s="2863"/>
      <c r="EY41" s="2864"/>
      <c r="EZ41" s="2865"/>
      <c r="FA41" s="2866"/>
      <c r="FB41" s="2867"/>
      <c r="FC41" s="2868"/>
      <c r="FD41" s="2869"/>
      <c r="FE41" s="2870"/>
      <c r="FF41" s="2871"/>
      <c r="FG41" s="2872"/>
      <c r="FH41" s="2873"/>
      <c r="FI41" s="2874"/>
      <c r="FJ41" s="2875"/>
      <c r="FK41" s="2876"/>
      <c r="FL41" s="2877"/>
      <c r="FM41" s="2878"/>
      <c r="FN41" s="2879"/>
      <c r="FO41" s="2880"/>
      <c r="FP41" s="2881"/>
      <c r="FQ41" s="2882"/>
      <c r="FR41" s="2883"/>
      <c r="FS41" s="2884"/>
      <c r="FT41" s="2885"/>
      <c r="FU41" s="2886"/>
      <c r="FV41" s="2887"/>
      <c r="FW41" s="2888"/>
      <c r="FX41" s="1714"/>
      <c r="FY41" s="988"/>
      <c r="FZ41" s="988"/>
      <c r="GA41" s="988"/>
      <c r="GB41" s="988"/>
    </row>
    <row r="42" spans="1:184" s="852" customFormat="1" ht="21" customHeight="1">
      <c r="A42" s="1246" t="s">
        <v>1378</v>
      </c>
      <c r="B42" s="867"/>
      <c r="E42" s="866" t="s">
        <v>9</v>
      </c>
      <c r="F42" s="1044" t="str">
        <f>INDEX(IP_MAIN_LIST_NAME_IP,MATCH(A42,IP_MAIN_LIST_IP_ID,0))&amp;" ("&amp;INDEX(IP_MAIN_START_DATE,MATCH(A42,IP_MAIN_LIST_IP_ID,0))&amp;"-"&amp;INDEX(IP_MAIN_END_DATE,MATCH(A42,IP_MAIN_LIST_IP_ID,0))&amp;")"</f>
        <v>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 (01.01.2022-31.12.2025)</v>
      </c>
      <c r="G42" s="1125"/>
      <c r="H42" s="1126"/>
      <c r="I42" s="1126"/>
      <c r="J42" s="1126"/>
      <c r="K42" s="1126"/>
      <c r="L42" s="1126"/>
      <c r="M42" s="1126"/>
      <c r="N42" s="1126"/>
      <c r="O42" s="1125"/>
      <c r="P42" s="1125"/>
      <c r="Q42" s="1125"/>
      <c r="R42" s="1125"/>
      <c r="S42" s="1125"/>
      <c r="T42" s="1125"/>
      <c r="U42" s="1127"/>
      <c r="V42" s="1127"/>
      <c r="W42" s="1127"/>
      <c r="X42" s="1127"/>
      <c r="Y42" s="1127"/>
      <c r="Z42" s="1127"/>
      <c r="AA42" s="1127"/>
      <c r="AB42" s="1125"/>
      <c r="AC42" s="1126"/>
      <c r="AD42" s="1126"/>
      <c r="AE42" s="1126"/>
      <c r="AF42" s="1126"/>
      <c r="AG42" s="1126"/>
      <c r="AH42" s="1126"/>
      <c r="AI42" s="1126"/>
      <c r="AJ42" s="1126"/>
      <c r="AK42" s="1126"/>
      <c r="AL42" s="1126"/>
      <c r="AM42" s="1126"/>
      <c r="AN42" s="1126"/>
      <c r="AO42" s="1126"/>
      <c r="AP42" s="1126"/>
      <c r="AQ42" s="1126"/>
      <c r="AR42" s="1126"/>
      <c r="AS42" s="1126"/>
      <c r="AT42" s="1126"/>
      <c r="AU42" s="1126"/>
      <c r="AV42" s="1126"/>
      <c r="AW42" s="1126"/>
      <c r="AX42" s="1126"/>
      <c r="AY42" s="1126"/>
      <c r="AZ42" s="1126"/>
      <c r="BA42" s="1126"/>
      <c r="BB42" s="1126"/>
      <c r="BC42" s="1126"/>
      <c r="BD42" s="1126"/>
      <c r="BE42" s="1126"/>
      <c r="BF42" s="1126"/>
      <c r="BG42" s="1126"/>
      <c r="BH42" s="1126"/>
      <c r="BI42" s="1126"/>
      <c r="BJ42" s="1126"/>
      <c r="BK42" s="1126"/>
      <c r="BL42" s="1126"/>
      <c r="BM42" s="1126"/>
      <c r="BN42" s="1126"/>
      <c r="BO42" s="1126"/>
      <c r="BP42" s="1126"/>
      <c r="BQ42" s="1126"/>
      <c r="BR42" s="1126"/>
      <c r="BS42" s="1126"/>
      <c r="BT42" s="1126"/>
      <c r="BU42" s="1126"/>
      <c r="BV42" s="1126"/>
      <c r="BW42" s="1126"/>
      <c r="BX42" s="1126"/>
      <c r="BY42" s="1126"/>
      <c r="BZ42" s="1126"/>
      <c r="CA42" s="1126"/>
      <c r="CB42" s="1126"/>
      <c r="CC42" s="1126"/>
      <c r="CD42" s="1126"/>
      <c r="CE42" s="1126"/>
      <c r="CF42" s="1126"/>
      <c r="CG42" s="1126"/>
      <c r="CH42" s="1126"/>
      <c r="CI42" s="1126"/>
      <c r="CJ42" s="1126"/>
      <c r="CK42" s="1126"/>
      <c r="CL42" s="1128"/>
      <c r="CM42" s="1128"/>
      <c r="CN42" s="1128"/>
      <c r="CO42" s="1128"/>
      <c r="CP42" s="1128"/>
      <c r="CQ42" s="1128"/>
      <c r="CR42" s="1128"/>
      <c r="CS42" s="1128"/>
      <c r="CT42" s="1128"/>
      <c r="CU42" s="1128"/>
      <c r="CV42" s="1128"/>
      <c r="CW42" s="1128"/>
      <c r="CX42" s="1128"/>
      <c r="CY42" s="1128"/>
      <c r="CZ42" s="1128"/>
      <c r="DA42" s="1128"/>
      <c r="DB42" s="1128"/>
      <c r="DC42" s="1128"/>
      <c r="DD42" s="1128"/>
      <c r="DE42" s="1128"/>
      <c r="DF42" s="1128"/>
      <c r="DG42" s="1128"/>
      <c r="DH42" s="1128"/>
      <c r="DI42" s="1128"/>
      <c r="DJ42" s="1128"/>
      <c r="DK42" s="1128"/>
      <c r="DL42" s="1128"/>
      <c r="DM42" s="1128"/>
      <c r="DN42" s="1128"/>
      <c r="DO42" s="1128"/>
      <c r="DP42" s="1128"/>
      <c r="DQ42" s="1128"/>
      <c r="DR42" s="1128"/>
      <c r="DS42" s="1128"/>
      <c r="DT42" s="1128"/>
      <c r="DU42" s="1128"/>
      <c r="DV42" s="1128"/>
      <c r="DW42" s="1128"/>
      <c r="DX42" s="1128"/>
      <c r="DY42" s="1128"/>
      <c r="DZ42" s="1128"/>
      <c r="EA42" s="1128"/>
      <c r="EB42" s="1128"/>
      <c r="EC42" s="1128"/>
      <c r="ED42" s="1128"/>
      <c r="EE42" s="1128"/>
      <c r="EF42" s="1128"/>
      <c r="EG42" s="1128"/>
      <c r="EH42" s="1128"/>
      <c r="EI42" s="1128"/>
      <c r="EJ42" s="1128"/>
      <c r="EK42" s="1128"/>
      <c r="EL42" s="1128"/>
      <c r="EM42" s="1128"/>
      <c r="EN42" s="1128"/>
      <c r="EO42" s="1128"/>
      <c r="EP42" s="1128"/>
      <c r="EQ42" s="1128"/>
      <c r="ER42" s="1128"/>
      <c r="ES42" s="1128"/>
      <c r="ET42" s="1128"/>
      <c r="EU42" s="1128"/>
      <c r="EV42" s="1128"/>
      <c r="EW42" s="1128"/>
      <c r="EX42" s="1128"/>
      <c r="EY42" s="1128"/>
      <c r="EZ42" s="1128"/>
      <c r="FA42" s="1128"/>
      <c r="FB42" s="1128"/>
      <c r="FC42" s="1128"/>
      <c r="FD42" s="1128"/>
      <c r="FE42" s="1128"/>
      <c r="FF42" s="1128"/>
      <c r="FG42" s="1128"/>
      <c r="FH42" s="1128"/>
      <c r="FI42" s="1128"/>
      <c r="FJ42" s="1128"/>
      <c r="FK42" s="1128"/>
      <c r="FL42" s="1128"/>
      <c r="FM42" s="1128"/>
      <c r="FN42" s="1128"/>
      <c r="FO42" s="1128"/>
      <c r="FP42" s="1128"/>
      <c r="FQ42" s="1128"/>
      <c r="FR42" s="1128"/>
      <c r="FS42" s="1128"/>
      <c r="FT42" s="1128"/>
      <c r="FU42" s="1128"/>
      <c r="FV42" s="1129"/>
      <c r="FW42" s="1123"/>
      <c r="FX42" s="1124"/>
    </row>
    <row r="43" spans="1:184" s="852" customFormat="1" ht="24.75" customHeight="1">
      <c r="A43" s="852" t="s">
        <v>1378</v>
      </c>
      <c r="B43" s="867"/>
      <c r="E43" s="1739"/>
      <c r="F43" s="1990">
        <v>1</v>
      </c>
      <c r="G43" s="1998" t="s">
        <v>1325</v>
      </c>
      <c r="H43" s="1132" t="s">
        <v>55</v>
      </c>
      <c r="I43" s="1868" t="s">
        <v>1505</v>
      </c>
      <c r="J43" s="1133"/>
      <c r="K43" s="1133"/>
      <c r="L43" s="1133"/>
      <c r="M43" s="1133"/>
      <c r="N43" s="1133"/>
      <c r="O43" s="1134">
        <v>0</v>
      </c>
      <c r="P43" s="1134">
        <v>0</v>
      </c>
      <c r="Q43" s="1134">
        <v>0</v>
      </c>
      <c r="R43" s="1134">
        <v>0</v>
      </c>
      <c r="S43" s="1134">
        <v>158.69999999999999</v>
      </c>
      <c r="T43" s="1134">
        <v>153.36000000000001</v>
      </c>
      <c r="U43" s="1134">
        <v>1.72</v>
      </c>
      <c r="V43" s="1134">
        <v>1.1000000000000001</v>
      </c>
      <c r="W43" s="1134"/>
      <c r="X43" s="1134"/>
      <c r="Y43" s="1134">
        <v>358</v>
      </c>
      <c r="Z43" s="1134">
        <v>228.8</v>
      </c>
      <c r="AA43" s="1134"/>
      <c r="AB43" s="1134"/>
      <c r="AC43" s="1133"/>
      <c r="AD43" s="1133"/>
      <c r="AE43" s="1133"/>
      <c r="AF43" s="1133"/>
      <c r="AG43" s="1133"/>
      <c r="AH43" s="1133"/>
      <c r="AI43" s="1133"/>
      <c r="AJ43" s="1133"/>
      <c r="AK43" s="1133"/>
      <c r="AL43" s="1133"/>
      <c r="AM43" s="1133"/>
      <c r="AN43" s="1133"/>
      <c r="AO43" s="1133"/>
      <c r="AP43" s="1133"/>
      <c r="AQ43" s="1133"/>
      <c r="AR43" s="1133"/>
      <c r="AS43" s="1133"/>
      <c r="AT43" s="1133"/>
      <c r="AU43" s="1133"/>
      <c r="AV43" s="1133"/>
      <c r="AW43" s="1133"/>
      <c r="AX43" s="1133"/>
      <c r="AY43" s="1133"/>
      <c r="AZ43" s="1133"/>
      <c r="BA43" s="1133"/>
      <c r="BB43" s="1133"/>
      <c r="BC43" s="1133"/>
      <c r="BD43" s="1133"/>
      <c r="BE43" s="1133"/>
      <c r="BF43" s="1133"/>
      <c r="BG43" s="1133"/>
      <c r="BH43" s="1133"/>
      <c r="BI43" s="1133"/>
      <c r="BJ43" s="1133"/>
      <c r="BK43" s="1133"/>
      <c r="BL43" s="1133"/>
      <c r="BM43" s="1133"/>
      <c r="BN43" s="1133"/>
      <c r="BO43" s="1133"/>
      <c r="BP43" s="1133"/>
      <c r="BQ43" s="1133"/>
      <c r="BR43" s="1133"/>
      <c r="BS43" s="1133"/>
      <c r="BT43" s="1134"/>
      <c r="BU43" s="1134"/>
      <c r="BV43" s="1134"/>
      <c r="BW43" s="1134"/>
      <c r="BX43" s="1134"/>
      <c r="BY43" s="1134"/>
      <c r="BZ43" s="1134"/>
      <c r="CA43" s="1134"/>
      <c r="CB43" s="1134"/>
      <c r="CC43" s="1134"/>
      <c r="CD43" s="1134"/>
      <c r="CE43" s="1134"/>
      <c r="CF43" s="1134"/>
      <c r="CG43" s="1134"/>
      <c r="CH43" s="1134"/>
      <c r="CI43" s="1134"/>
      <c r="CJ43" s="1134"/>
      <c r="CK43" s="1134"/>
      <c r="CL43" s="1133"/>
      <c r="CM43" s="1133"/>
      <c r="CN43" s="1133"/>
      <c r="CO43" s="1133"/>
      <c r="CP43" s="1133"/>
      <c r="CQ43" s="1133"/>
      <c r="CR43" s="1133"/>
      <c r="CS43" s="1133"/>
      <c r="CT43" s="1133"/>
      <c r="CU43" s="1133"/>
      <c r="CV43" s="1133"/>
      <c r="CW43" s="1133"/>
      <c r="CX43" s="1133"/>
      <c r="CY43" s="1134"/>
      <c r="CZ43" s="1134"/>
      <c r="DA43" s="1134"/>
      <c r="DB43" s="1134"/>
      <c r="DC43" s="1134"/>
      <c r="DD43" s="1134"/>
      <c r="DE43" s="1134"/>
      <c r="DF43" s="1134"/>
      <c r="DG43" s="1134"/>
      <c r="DH43" s="1134"/>
      <c r="DI43" s="1134"/>
      <c r="DJ43" s="1134"/>
      <c r="DK43" s="1133"/>
      <c r="DL43" s="1133"/>
      <c r="DM43" s="1133"/>
      <c r="DN43" s="1133"/>
      <c r="DO43" s="1133"/>
      <c r="DP43" s="1133"/>
      <c r="DQ43" s="1133"/>
      <c r="DR43" s="1133"/>
      <c r="DS43" s="1133"/>
      <c r="DT43" s="1133"/>
      <c r="DU43" s="1133"/>
      <c r="DV43" s="1133"/>
      <c r="DW43" s="1133"/>
      <c r="DX43" s="1133"/>
      <c r="DY43" s="1133"/>
      <c r="DZ43" s="1133"/>
      <c r="EA43" s="1133"/>
      <c r="EB43" s="1133"/>
      <c r="EC43" s="1133"/>
      <c r="ED43" s="1133"/>
      <c r="EE43" s="1133"/>
      <c r="EF43" s="1133"/>
      <c r="EG43" s="1133"/>
      <c r="EH43" s="1133"/>
      <c r="EI43" s="1133"/>
      <c r="EJ43" s="1133"/>
      <c r="EK43" s="1133"/>
      <c r="EL43" s="1133"/>
      <c r="EM43" s="1133"/>
      <c r="EN43" s="1133"/>
      <c r="EO43" s="1133"/>
      <c r="EP43" s="1133"/>
      <c r="EQ43" s="1133"/>
      <c r="ER43" s="1133"/>
      <c r="ES43" s="1133"/>
      <c r="ET43" s="1133"/>
      <c r="EU43" s="1133"/>
      <c r="EV43" s="1133"/>
      <c r="EW43" s="1133"/>
      <c r="EX43" s="1133"/>
      <c r="EY43" s="1133"/>
      <c r="EZ43" s="1133"/>
      <c r="FA43" s="1133"/>
      <c r="FB43" s="1133"/>
      <c r="FC43" s="1133"/>
      <c r="FD43" s="1133"/>
      <c r="FE43" s="1133"/>
      <c r="FF43" s="1133"/>
      <c r="FG43" s="1133"/>
      <c r="FH43" s="1133"/>
      <c r="FI43" s="1133"/>
      <c r="FJ43" s="1133"/>
      <c r="FK43" s="1133"/>
      <c r="FL43" s="1133"/>
      <c r="FM43" s="1133"/>
      <c r="FN43" s="1133"/>
      <c r="FO43" s="1133"/>
      <c r="FP43" s="1133"/>
      <c r="FQ43" s="1133"/>
      <c r="FR43" s="1133"/>
      <c r="FS43" s="1133"/>
      <c r="FT43" s="1133"/>
      <c r="FU43" s="1133"/>
      <c r="FV43" s="1133"/>
      <c r="FW43" s="1133"/>
      <c r="FX43" s="1124"/>
    </row>
    <row r="44" spans="1:184" s="852" customFormat="1" ht="12" customHeight="1">
      <c r="A44" s="852" t="s">
        <v>1378</v>
      </c>
      <c r="B44" s="867"/>
      <c r="F44" s="2889"/>
      <c r="G44" s="2890" t="s">
        <v>1633</v>
      </c>
      <c r="H44" s="2891"/>
      <c r="I44" s="2892"/>
      <c r="J44" s="2893"/>
      <c r="K44" s="2894"/>
      <c r="L44" s="2895"/>
      <c r="M44" s="2896"/>
      <c r="N44" s="2897"/>
      <c r="O44" s="2898"/>
      <c r="P44" s="2899"/>
      <c r="Q44" s="2900"/>
      <c r="R44" s="2901"/>
      <c r="S44" s="2902"/>
      <c r="T44" s="2903"/>
      <c r="U44" s="2904"/>
      <c r="V44" s="2905"/>
      <c r="W44" s="2906"/>
      <c r="X44" s="2907"/>
      <c r="Y44" s="2908"/>
      <c r="Z44" s="2909"/>
      <c r="AA44" s="2910"/>
      <c r="AB44" s="2911"/>
      <c r="AC44" s="2912"/>
      <c r="AD44" s="2913"/>
      <c r="AE44" s="2914"/>
      <c r="AF44" s="2915"/>
      <c r="AG44" s="2916"/>
      <c r="AH44" s="2917"/>
      <c r="AI44" s="2918"/>
      <c r="AJ44" s="2919"/>
      <c r="AK44" s="2920"/>
      <c r="AL44" s="2921"/>
      <c r="AM44" s="2922"/>
      <c r="AN44" s="2923"/>
      <c r="AO44" s="2924"/>
      <c r="AP44" s="2925"/>
      <c r="AQ44" s="2926"/>
      <c r="AR44" s="2927"/>
      <c r="AS44" s="2928"/>
      <c r="AT44" s="2929"/>
      <c r="AU44" s="2930"/>
      <c r="AV44" s="2931"/>
      <c r="AW44" s="2932"/>
      <c r="AX44" s="2933"/>
      <c r="AY44" s="2934"/>
      <c r="AZ44" s="2935"/>
      <c r="BA44" s="2936"/>
      <c r="BB44" s="2937"/>
      <c r="BC44" s="2938"/>
      <c r="BD44" s="2939"/>
      <c r="BE44" s="2940"/>
      <c r="BF44" s="2941"/>
      <c r="BG44" s="2942"/>
      <c r="BH44" s="2943"/>
      <c r="BI44" s="2944"/>
      <c r="BJ44" s="2945"/>
      <c r="BK44" s="2946"/>
      <c r="BL44" s="2947"/>
      <c r="BM44" s="2948"/>
      <c r="BN44" s="2949"/>
      <c r="BO44" s="2950"/>
      <c r="BP44" s="2951"/>
      <c r="BQ44" s="2952"/>
      <c r="BR44" s="2953"/>
      <c r="BS44" s="2954"/>
      <c r="BT44" s="2955"/>
      <c r="BU44" s="2956"/>
      <c r="BV44" s="2957"/>
      <c r="BW44" s="2958"/>
      <c r="BX44" s="2959"/>
      <c r="BY44" s="2960"/>
      <c r="BZ44" s="2961"/>
      <c r="CA44" s="2962"/>
      <c r="CB44" s="2963"/>
      <c r="CC44" s="2964"/>
      <c r="CD44" s="2965"/>
      <c r="CE44" s="2966"/>
      <c r="CF44" s="2967"/>
      <c r="CG44" s="2968"/>
      <c r="CH44" s="2969"/>
      <c r="CI44" s="2970"/>
      <c r="CJ44" s="2971"/>
      <c r="CK44" s="2972"/>
      <c r="CL44" s="2973"/>
      <c r="CM44" s="2974"/>
      <c r="CN44" s="2975"/>
      <c r="CO44" s="2976"/>
      <c r="CP44" s="2977"/>
      <c r="CQ44" s="2978"/>
      <c r="CR44" s="2979"/>
      <c r="CS44" s="2980"/>
      <c r="CT44" s="2981"/>
      <c r="CU44" s="2982"/>
      <c r="CV44" s="2983"/>
      <c r="CW44" s="2984"/>
      <c r="CX44" s="2985"/>
      <c r="CY44" s="2986"/>
      <c r="CZ44" s="2987"/>
      <c r="DA44" s="2988"/>
      <c r="DB44" s="2989"/>
      <c r="DC44" s="2990"/>
      <c r="DD44" s="2991"/>
      <c r="DE44" s="2992"/>
      <c r="DF44" s="2993"/>
      <c r="DG44" s="2994"/>
      <c r="DH44" s="2995"/>
      <c r="DI44" s="2996"/>
      <c r="DJ44" s="2997"/>
      <c r="DK44" s="2998"/>
      <c r="DL44" s="2999"/>
      <c r="DM44" s="3000"/>
      <c r="DN44" s="3001"/>
      <c r="DO44" s="3002"/>
      <c r="DP44" s="3003"/>
      <c r="DQ44" s="3004"/>
      <c r="DR44" s="3005"/>
      <c r="DS44" s="3006"/>
      <c r="DT44" s="3007"/>
      <c r="DU44" s="3008"/>
      <c r="DV44" s="3009"/>
      <c r="DW44" s="3010"/>
      <c r="DX44" s="3011"/>
      <c r="DY44" s="3012"/>
      <c r="DZ44" s="3013"/>
      <c r="EA44" s="3014"/>
      <c r="EB44" s="3015"/>
      <c r="EC44" s="3016"/>
      <c r="ED44" s="3017"/>
      <c r="EE44" s="3018"/>
      <c r="EF44" s="3019"/>
      <c r="EG44" s="3020"/>
      <c r="EH44" s="3021"/>
      <c r="EI44" s="3022"/>
      <c r="EJ44" s="3023"/>
      <c r="EK44" s="3024"/>
      <c r="EL44" s="3025"/>
      <c r="EM44" s="3026"/>
      <c r="EN44" s="3027"/>
      <c r="EO44" s="3028"/>
      <c r="EP44" s="3029"/>
      <c r="EQ44" s="3030"/>
      <c r="ER44" s="3031"/>
      <c r="ES44" s="3032"/>
      <c r="ET44" s="3033"/>
      <c r="EU44" s="3034"/>
      <c r="EV44" s="3035"/>
      <c r="EW44" s="3036"/>
      <c r="EX44" s="3037"/>
      <c r="EY44" s="3038"/>
      <c r="EZ44" s="3039"/>
      <c r="FA44" s="3040"/>
      <c r="FB44" s="3041"/>
      <c r="FC44" s="3042"/>
      <c r="FD44" s="3043"/>
      <c r="FE44" s="3044"/>
      <c r="FF44" s="3045"/>
      <c r="FG44" s="3046"/>
      <c r="FH44" s="3047"/>
      <c r="FI44" s="3048"/>
      <c r="FJ44" s="3049"/>
      <c r="FK44" s="3050"/>
      <c r="FL44" s="3051"/>
      <c r="FM44" s="3052"/>
      <c r="FN44" s="3053"/>
      <c r="FO44" s="3054"/>
      <c r="FP44" s="3055"/>
      <c r="FQ44" s="3056"/>
      <c r="FR44" s="3057"/>
      <c r="FS44" s="3058"/>
      <c r="FT44" s="3059"/>
      <c r="FU44" s="3060"/>
      <c r="FV44" s="3061"/>
      <c r="FW44" s="3062"/>
      <c r="FX44" s="1714"/>
      <c r="FY44" s="988"/>
      <c r="FZ44" s="988"/>
      <c r="GA44" s="988"/>
      <c r="GB44" s="988"/>
    </row>
    <row r="45" spans="1:184" s="852" customFormat="1" ht="21" customHeight="1">
      <c r="A45" s="1246" t="s">
        <v>1386</v>
      </c>
      <c r="B45" s="867"/>
      <c r="E45" s="866" t="s">
        <v>9</v>
      </c>
      <c r="F45" s="1044" t="str">
        <f>INDEX(IP_MAIN_LIST_NAME_IP,MATCH(A45,IP_MAIN_LIST_IP_ID,0))&amp;" ("&amp;INDEX(IP_MAIN_START_DATE,MATCH(A45,IP_MAIN_LIST_IP_ID,0))&amp;"-"&amp;INDEX(IP_MAIN_END_DATE,MATCH(A45,IP_MAIN_LIST_IP_ID,0))&amp;")"</f>
        <v>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 (01.01.2024-31.12.2026)</v>
      </c>
      <c r="G45" s="1125"/>
      <c r="H45" s="1126"/>
      <c r="I45" s="1126"/>
      <c r="J45" s="1126"/>
      <c r="K45" s="1126"/>
      <c r="L45" s="1126"/>
      <c r="M45" s="1126"/>
      <c r="N45" s="1126"/>
      <c r="O45" s="1125"/>
      <c r="P45" s="1125"/>
      <c r="Q45" s="1125"/>
      <c r="R45" s="1125"/>
      <c r="S45" s="1125"/>
      <c r="T45" s="1125"/>
      <c r="U45" s="1127"/>
      <c r="V45" s="1127"/>
      <c r="W45" s="1127"/>
      <c r="X45" s="1127"/>
      <c r="Y45" s="1127"/>
      <c r="Z45" s="1127"/>
      <c r="AA45" s="1127"/>
      <c r="AB45" s="1125"/>
      <c r="AC45" s="1126"/>
      <c r="AD45" s="1126"/>
      <c r="AE45" s="1126"/>
      <c r="AF45" s="1126"/>
      <c r="AG45" s="1126"/>
      <c r="AH45" s="1126"/>
      <c r="AI45" s="1126"/>
      <c r="AJ45" s="1126"/>
      <c r="AK45" s="1126"/>
      <c r="AL45" s="1126"/>
      <c r="AM45" s="1126"/>
      <c r="AN45" s="1126"/>
      <c r="AO45" s="1126"/>
      <c r="AP45" s="1126"/>
      <c r="AQ45" s="1126"/>
      <c r="AR45" s="1126"/>
      <c r="AS45" s="1126"/>
      <c r="AT45" s="1126"/>
      <c r="AU45" s="1126"/>
      <c r="AV45" s="1126"/>
      <c r="AW45" s="1126"/>
      <c r="AX45" s="1126"/>
      <c r="AY45" s="1126"/>
      <c r="AZ45" s="1126"/>
      <c r="BA45" s="1126"/>
      <c r="BB45" s="1126"/>
      <c r="BC45" s="1126"/>
      <c r="BD45" s="1126"/>
      <c r="BE45" s="1126"/>
      <c r="BF45" s="1126"/>
      <c r="BG45" s="1126"/>
      <c r="BH45" s="1126"/>
      <c r="BI45" s="1126"/>
      <c r="BJ45" s="1126"/>
      <c r="BK45" s="1126"/>
      <c r="BL45" s="1126"/>
      <c r="BM45" s="1126"/>
      <c r="BN45" s="1126"/>
      <c r="BO45" s="1126"/>
      <c r="BP45" s="1126"/>
      <c r="BQ45" s="1126"/>
      <c r="BR45" s="1126"/>
      <c r="BS45" s="1126"/>
      <c r="BT45" s="1126"/>
      <c r="BU45" s="1126"/>
      <c r="BV45" s="1126"/>
      <c r="BW45" s="1126"/>
      <c r="BX45" s="1126"/>
      <c r="BY45" s="1126"/>
      <c r="BZ45" s="1126"/>
      <c r="CA45" s="1126"/>
      <c r="CB45" s="1126"/>
      <c r="CC45" s="1126"/>
      <c r="CD45" s="1126"/>
      <c r="CE45" s="1126"/>
      <c r="CF45" s="1126"/>
      <c r="CG45" s="1126"/>
      <c r="CH45" s="1126"/>
      <c r="CI45" s="1126"/>
      <c r="CJ45" s="1126"/>
      <c r="CK45" s="1126"/>
      <c r="CL45" s="1128"/>
      <c r="CM45" s="1128"/>
      <c r="CN45" s="1128"/>
      <c r="CO45" s="1128"/>
      <c r="CP45" s="1128"/>
      <c r="CQ45" s="1128"/>
      <c r="CR45" s="1128"/>
      <c r="CS45" s="1128"/>
      <c r="CT45" s="1128"/>
      <c r="CU45" s="1128"/>
      <c r="CV45" s="1128"/>
      <c r="CW45" s="1128"/>
      <c r="CX45" s="1128"/>
      <c r="CY45" s="1128"/>
      <c r="CZ45" s="1128"/>
      <c r="DA45" s="1128"/>
      <c r="DB45" s="1128"/>
      <c r="DC45" s="1128"/>
      <c r="DD45" s="1128"/>
      <c r="DE45" s="1128"/>
      <c r="DF45" s="1128"/>
      <c r="DG45" s="1128"/>
      <c r="DH45" s="1128"/>
      <c r="DI45" s="1128"/>
      <c r="DJ45" s="1128"/>
      <c r="DK45" s="1128"/>
      <c r="DL45" s="1128"/>
      <c r="DM45" s="1128"/>
      <c r="DN45" s="1128"/>
      <c r="DO45" s="1128"/>
      <c r="DP45" s="1128"/>
      <c r="DQ45" s="1128"/>
      <c r="DR45" s="1128"/>
      <c r="DS45" s="1128"/>
      <c r="DT45" s="1128"/>
      <c r="DU45" s="1128"/>
      <c r="DV45" s="1128"/>
      <c r="DW45" s="1128"/>
      <c r="DX45" s="1128"/>
      <c r="DY45" s="1128"/>
      <c r="DZ45" s="1128"/>
      <c r="EA45" s="1128"/>
      <c r="EB45" s="1128"/>
      <c r="EC45" s="1128"/>
      <c r="ED45" s="1128"/>
      <c r="EE45" s="1128"/>
      <c r="EF45" s="1128"/>
      <c r="EG45" s="1128"/>
      <c r="EH45" s="1128"/>
      <c r="EI45" s="1128"/>
      <c r="EJ45" s="1128"/>
      <c r="EK45" s="1128"/>
      <c r="EL45" s="1128"/>
      <c r="EM45" s="1128"/>
      <c r="EN45" s="1128"/>
      <c r="EO45" s="1128"/>
      <c r="EP45" s="1128"/>
      <c r="EQ45" s="1128"/>
      <c r="ER45" s="1128"/>
      <c r="ES45" s="1128"/>
      <c r="ET45" s="1128"/>
      <c r="EU45" s="1128"/>
      <c r="EV45" s="1128"/>
      <c r="EW45" s="1128"/>
      <c r="EX45" s="1128"/>
      <c r="EY45" s="1128"/>
      <c r="EZ45" s="1128"/>
      <c r="FA45" s="1128"/>
      <c r="FB45" s="1128"/>
      <c r="FC45" s="1128"/>
      <c r="FD45" s="1128"/>
      <c r="FE45" s="1128"/>
      <c r="FF45" s="1128"/>
      <c r="FG45" s="1128"/>
      <c r="FH45" s="1128"/>
      <c r="FI45" s="1128"/>
      <c r="FJ45" s="1128"/>
      <c r="FK45" s="1128"/>
      <c r="FL45" s="1128"/>
      <c r="FM45" s="1128"/>
      <c r="FN45" s="1128"/>
      <c r="FO45" s="1128"/>
      <c r="FP45" s="1128"/>
      <c r="FQ45" s="1128"/>
      <c r="FR45" s="1128"/>
      <c r="FS45" s="1128"/>
      <c r="FT45" s="1128"/>
      <c r="FU45" s="1128"/>
      <c r="FV45" s="1129"/>
      <c r="FW45" s="1123"/>
      <c r="FX45" s="1124"/>
    </row>
    <row r="46" spans="1:184" s="852" customFormat="1" ht="24.75" customHeight="1">
      <c r="A46" s="852" t="s">
        <v>1386</v>
      </c>
      <c r="B46" s="867"/>
      <c r="E46" s="1739"/>
      <c r="F46" s="1990">
        <v>1</v>
      </c>
      <c r="G46" s="1998" t="s">
        <v>1325</v>
      </c>
      <c r="H46" s="1132" t="s">
        <v>55</v>
      </c>
      <c r="I46" s="1868" t="s">
        <v>1515</v>
      </c>
      <c r="J46" s="1133"/>
      <c r="K46" s="1133"/>
      <c r="L46" s="1133"/>
      <c r="M46" s="1133"/>
      <c r="N46" s="1133"/>
      <c r="O46" s="1134">
        <v>0</v>
      </c>
      <c r="P46" s="1134">
        <v>0</v>
      </c>
      <c r="Q46" s="1134">
        <v>0</v>
      </c>
      <c r="R46" s="1134">
        <v>0</v>
      </c>
      <c r="S46" s="1134">
        <v>162.47</v>
      </c>
      <c r="T46" s="1134">
        <v>162.44</v>
      </c>
      <c r="U46" s="1134">
        <v>1.19</v>
      </c>
      <c r="V46" s="1134">
        <v>1.55</v>
      </c>
      <c r="W46" s="1134"/>
      <c r="X46" s="1134"/>
      <c r="Y46" s="1134">
        <v>1248</v>
      </c>
      <c r="Z46" s="1134">
        <v>1621.73</v>
      </c>
      <c r="AA46" s="1134"/>
      <c r="AB46" s="1134"/>
      <c r="AC46" s="1133"/>
      <c r="AD46" s="1133"/>
      <c r="AE46" s="1133"/>
      <c r="AF46" s="1133"/>
      <c r="AG46" s="1133"/>
      <c r="AH46" s="1133"/>
      <c r="AI46" s="1133"/>
      <c r="AJ46" s="1133"/>
      <c r="AK46" s="1133"/>
      <c r="AL46" s="1133"/>
      <c r="AM46" s="1133"/>
      <c r="AN46" s="1133"/>
      <c r="AO46" s="1133"/>
      <c r="AP46" s="1133"/>
      <c r="AQ46" s="1133"/>
      <c r="AR46" s="1133"/>
      <c r="AS46" s="1133"/>
      <c r="AT46" s="1133"/>
      <c r="AU46" s="1133"/>
      <c r="AV46" s="1133"/>
      <c r="AW46" s="1133"/>
      <c r="AX46" s="1133"/>
      <c r="AY46" s="1133"/>
      <c r="AZ46" s="1133"/>
      <c r="BA46" s="1133"/>
      <c r="BB46" s="1133"/>
      <c r="BC46" s="1133"/>
      <c r="BD46" s="1133"/>
      <c r="BE46" s="1133"/>
      <c r="BF46" s="1133"/>
      <c r="BG46" s="1133"/>
      <c r="BH46" s="1133"/>
      <c r="BI46" s="1133"/>
      <c r="BJ46" s="1133"/>
      <c r="BK46" s="1133"/>
      <c r="BL46" s="1133"/>
      <c r="BM46" s="1133"/>
      <c r="BN46" s="1133"/>
      <c r="BO46" s="1133"/>
      <c r="BP46" s="1133"/>
      <c r="BQ46" s="1133"/>
      <c r="BR46" s="1133"/>
      <c r="BS46" s="1133"/>
      <c r="BT46" s="1134"/>
      <c r="BU46" s="1134"/>
      <c r="BV46" s="1134"/>
      <c r="BW46" s="1134"/>
      <c r="BX46" s="1134"/>
      <c r="BY46" s="1134"/>
      <c r="BZ46" s="1134"/>
      <c r="CA46" s="1134"/>
      <c r="CB46" s="1134"/>
      <c r="CC46" s="1134"/>
      <c r="CD46" s="1134"/>
      <c r="CE46" s="1134"/>
      <c r="CF46" s="1134"/>
      <c r="CG46" s="1134"/>
      <c r="CH46" s="1134"/>
      <c r="CI46" s="1134"/>
      <c r="CJ46" s="1134"/>
      <c r="CK46" s="1134"/>
      <c r="CL46" s="1133"/>
      <c r="CM46" s="1133"/>
      <c r="CN46" s="1133"/>
      <c r="CO46" s="1133"/>
      <c r="CP46" s="1133"/>
      <c r="CQ46" s="1133"/>
      <c r="CR46" s="1133"/>
      <c r="CS46" s="1133"/>
      <c r="CT46" s="1133"/>
      <c r="CU46" s="1133"/>
      <c r="CV46" s="1133"/>
      <c r="CW46" s="1133"/>
      <c r="CX46" s="1133"/>
      <c r="CY46" s="1134"/>
      <c r="CZ46" s="1134"/>
      <c r="DA46" s="1134"/>
      <c r="DB46" s="1134"/>
      <c r="DC46" s="1134"/>
      <c r="DD46" s="1134"/>
      <c r="DE46" s="1134"/>
      <c r="DF46" s="1134"/>
      <c r="DG46" s="1134"/>
      <c r="DH46" s="1134"/>
      <c r="DI46" s="1134"/>
      <c r="DJ46" s="1134"/>
      <c r="DK46" s="1133"/>
      <c r="DL46" s="1133"/>
      <c r="DM46" s="1133"/>
      <c r="DN46" s="1133"/>
      <c r="DO46" s="1133"/>
      <c r="DP46" s="1133"/>
      <c r="DQ46" s="1133"/>
      <c r="DR46" s="1133"/>
      <c r="DS46" s="1133"/>
      <c r="DT46" s="1133"/>
      <c r="DU46" s="1133"/>
      <c r="DV46" s="1133"/>
      <c r="DW46" s="1133"/>
      <c r="DX46" s="1133"/>
      <c r="DY46" s="1133"/>
      <c r="DZ46" s="1133"/>
      <c r="EA46" s="1133"/>
      <c r="EB46" s="1133"/>
      <c r="EC46" s="1133"/>
      <c r="ED46" s="1133"/>
      <c r="EE46" s="1133"/>
      <c r="EF46" s="1133"/>
      <c r="EG46" s="1133"/>
      <c r="EH46" s="1133"/>
      <c r="EI46" s="1133"/>
      <c r="EJ46" s="1133"/>
      <c r="EK46" s="1133"/>
      <c r="EL46" s="1133"/>
      <c r="EM46" s="1133"/>
      <c r="EN46" s="1133"/>
      <c r="EO46" s="1133"/>
      <c r="EP46" s="1133"/>
      <c r="EQ46" s="1133"/>
      <c r="ER46" s="1133"/>
      <c r="ES46" s="1133"/>
      <c r="ET46" s="1133"/>
      <c r="EU46" s="1133"/>
      <c r="EV46" s="1133"/>
      <c r="EW46" s="1133"/>
      <c r="EX46" s="1133"/>
      <c r="EY46" s="1133"/>
      <c r="EZ46" s="1133"/>
      <c r="FA46" s="1133"/>
      <c r="FB46" s="1133"/>
      <c r="FC46" s="1133"/>
      <c r="FD46" s="1133"/>
      <c r="FE46" s="1133"/>
      <c r="FF46" s="1133"/>
      <c r="FG46" s="1133"/>
      <c r="FH46" s="1133"/>
      <c r="FI46" s="1133"/>
      <c r="FJ46" s="1133"/>
      <c r="FK46" s="1133"/>
      <c r="FL46" s="1133"/>
      <c r="FM46" s="1133"/>
      <c r="FN46" s="1133"/>
      <c r="FO46" s="1133"/>
      <c r="FP46" s="1133"/>
      <c r="FQ46" s="1133"/>
      <c r="FR46" s="1133"/>
      <c r="FS46" s="1133"/>
      <c r="FT46" s="1133"/>
      <c r="FU46" s="1133"/>
      <c r="FV46" s="1133"/>
      <c r="FW46" s="1133"/>
      <c r="FX46" s="1124"/>
    </row>
    <row r="47" spans="1:184" s="852" customFormat="1" ht="12" customHeight="1">
      <c r="A47" s="852" t="s">
        <v>1386</v>
      </c>
      <c r="B47" s="867"/>
      <c r="F47" s="3063"/>
      <c r="G47" s="3064" t="s">
        <v>1633</v>
      </c>
      <c r="H47" s="3065"/>
      <c r="I47" s="3066"/>
      <c r="J47" s="3067"/>
      <c r="K47" s="3068"/>
      <c r="L47" s="3069"/>
      <c r="M47" s="3070"/>
      <c r="N47" s="3071"/>
      <c r="O47" s="3072"/>
      <c r="P47" s="3073"/>
      <c r="Q47" s="3074"/>
      <c r="R47" s="3075"/>
      <c r="S47" s="3076"/>
      <c r="T47" s="3077"/>
      <c r="U47" s="3078"/>
      <c r="V47" s="3079"/>
      <c r="W47" s="3080"/>
      <c r="X47" s="3081"/>
      <c r="Y47" s="3082"/>
      <c r="Z47" s="3083"/>
      <c r="AA47" s="3084"/>
      <c r="AB47" s="3085"/>
      <c r="AC47" s="3086"/>
      <c r="AD47" s="3087"/>
      <c r="AE47" s="3088"/>
      <c r="AF47" s="3089"/>
      <c r="AG47" s="3090"/>
      <c r="AH47" s="3091"/>
      <c r="AI47" s="3092"/>
      <c r="AJ47" s="3093"/>
      <c r="AK47" s="3094"/>
      <c r="AL47" s="3095"/>
      <c r="AM47" s="3096"/>
      <c r="AN47" s="3097"/>
      <c r="AO47" s="3098"/>
      <c r="AP47" s="3099"/>
      <c r="AQ47" s="3100"/>
      <c r="AR47" s="3101"/>
      <c r="AS47" s="3102"/>
      <c r="AT47" s="3103"/>
      <c r="AU47" s="3104"/>
      <c r="AV47" s="3105"/>
      <c r="AW47" s="3106"/>
      <c r="AX47" s="3107"/>
      <c r="AY47" s="3108"/>
      <c r="AZ47" s="3109"/>
      <c r="BA47" s="3110"/>
      <c r="BB47" s="3111"/>
      <c r="BC47" s="3112"/>
      <c r="BD47" s="3113"/>
      <c r="BE47" s="3114"/>
      <c r="BF47" s="3115"/>
      <c r="BG47" s="3116"/>
      <c r="BH47" s="3117"/>
      <c r="BI47" s="3118"/>
      <c r="BJ47" s="3119"/>
      <c r="BK47" s="3120"/>
      <c r="BL47" s="3121"/>
      <c r="BM47" s="3122"/>
      <c r="BN47" s="3123"/>
      <c r="BO47" s="3124"/>
      <c r="BP47" s="3125"/>
      <c r="BQ47" s="3126"/>
      <c r="BR47" s="3127"/>
      <c r="BS47" s="3128"/>
      <c r="BT47" s="3129"/>
      <c r="BU47" s="3130"/>
      <c r="BV47" s="3131"/>
      <c r="BW47" s="3132"/>
      <c r="BX47" s="3133"/>
      <c r="BY47" s="3134"/>
      <c r="BZ47" s="3135"/>
      <c r="CA47" s="3136"/>
      <c r="CB47" s="3137"/>
      <c r="CC47" s="3138"/>
      <c r="CD47" s="3139"/>
      <c r="CE47" s="3140"/>
      <c r="CF47" s="3141"/>
      <c r="CG47" s="3142"/>
      <c r="CH47" s="3143"/>
      <c r="CI47" s="3144"/>
      <c r="CJ47" s="3145"/>
      <c r="CK47" s="3146"/>
      <c r="CL47" s="3147"/>
      <c r="CM47" s="3148"/>
      <c r="CN47" s="3149"/>
      <c r="CO47" s="3150"/>
      <c r="CP47" s="3151"/>
      <c r="CQ47" s="3152"/>
      <c r="CR47" s="3153"/>
      <c r="CS47" s="3154"/>
      <c r="CT47" s="3155"/>
      <c r="CU47" s="3156"/>
      <c r="CV47" s="3157"/>
      <c r="CW47" s="3158"/>
      <c r="CX47" s="3159"/>
      <c r="CY47" s="3160"/>
      <c r="CZ47" s="3161"/>
      <c r="DA47" s="3162"/>
      <c r="DB47" s="3163"/>
      <c r="DC47" s="3164"/>
      <c r="DD47" s="3165"/>
      <c r="DE47" s="3166"/>
      <c r="DF47" s="3167"/>
      <c r="DG47" s="3168"/>
      <c r="DH47" s="3169"/>
      <c r="DI47" s="3170"/>
      <c r="DJ47" s="3171"/>
      <c r="DK47" s="3172"/>
      <c r="DL47" s="3173"/>
      <c r="DM47" s="3174"/>
      <c r="DN47" s="3175"/>
      <c r="DO47" s="3176"/>
      <c r="DP47" s="3177"/>
      <c r="DQ47" s="3178"/>
      <c r="DR47" s="3179"/>
      <c r="DS47" s="3180"/>
      <c r="DT47" s="3181"/>
      <c r="DU47" s="3182"/>
      <c r="DV47" s="3183"/>
      <c r="DW47" s="3184"/>
      <c r="DX47" s="3185"/>
      <c r="DY47" s="3186"/>
      <c r="DZ47" s="3187"/>
      <c r="EA47" s="3188"/>
      <c r="EB47" s="3189"/>
      <c r="EC47" s="3190"/>
      <c r="ED47" s="3191"/>
      <c r="EE47" s="3192"/>
      <c r="EF47" s="3193"/>
      <c r="EG47" s="3194"/>
      <c r="EH47" s="3195"/>
      <c r="EI47" s="3196"/>
      <c r="EJ47" s="3197"/>
      <c r="EK47" s="3198"/>
      <c r="EL47" s="3199"/>
      <c r="EM47" s="3200"/>
      <c r="EN47" s="3201"/>
      <c r="EO47" s="3202"/>
      <c r="EP47" s="3203"/>
      <c r="EQ47" s="3204"/>
      <c r="ER47" s="3205"/>
      <c r="ES47" s="3206"/>
      <c r="ET47" s="3207"/>
      <c r="EU47" s="3208"/>
      <c r="EV47" s="3209"/>
      <c r="EW47" s="3210"/>
      <c r="EX47" s="3211"/>
      <c r="EY47" s="3212"/>
      <c r="EZ47" s="3213"/>
      <c r="FA47" s="3214"/>
      <c r="FB47" s="3215"/>
      <c r="FC47" s="3216"/>
      <c r="FD47" s="3217"/>
      <c r="FE47" s="3218"/>
      <c r="FF47" s="3219"/>
      <c r="FG47" s="3220"/>
      <c r="FH47" s="3221"/>
      <c r="FI47" s="3222"/>
      <c r="FJ47" s="3223"/>
      <c r="FK47" s="3224"/>
      <c r="FL47" s="3225"/>
      <c r="FM47" s="3226"/>
      <c r="FN47" s="3227"/>
      <c r="FO47" s="3228"/>
      <c r="FP47" s="3229"/>
      <c r="FQ47" s="3230"/>
      <c r="FR47" s="3231"/>
      <c r="FS47" s="3232"/>
      <c r="FT47" s="3233"/>
      <c r="FU47" s="3234"/>
      <c r="FV47" s="3235"/>
      <c r="FW47" s="3236"/>
      <c r="FX47" s="1714"/>
      <c r="FY47" s="988"/>
      <c r="FZ47" s="988"/>
      <c r="GA47" s="988"/>
      <c r="GB47" s="988"/>
    </row>
    <row r="48" spans="1:184" s="852" customFormat="1" ht="21" customHeight="1">
      <c r="A48" s="1246" t="s">
        <v>1395</v>
      </c>
      <c r="B48" s="867"/>
      <c r="E48" s="866" t="s">
        <v>9</v>
      </c>
      <c r="F48" s="1044" t="str">
        <f>INDEX(IP_MAIN_LIST_NAME_IP,MATCH(A48,IP_MAIN_LIST_IP_ID,0))&amp;" ("&amp;INDEX(IP_MAIN_START_DATE,MATCH(A48,IP_MAIN_LIST_IP_ID,0))&amp;"-"&amp;INDEX(IP_MAIN_END_DATE,MATCH(A48,IP_MAIN_LIST_IP_ID,0))&amp;")"</f>
        <v>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 (18.03.2021-31.12.2035)</v>
      </c>
      <c r="G48" s="1125"/>
      <c r="H48" s="1126"/>
      <c r="I48" s="1126"/>
      <c r="J48" s="1126"/>
      <c r="K48" s="1126"/>
      <c r="L48" s="1126"/>
      <c r="M48" s="1126"/>
      <c r="N48" s="1126"/>
      <c r="O48" s="1125"/>
      <c r="P48" s="1125"/>
      <c r="Q48" s="1125"/>
      <c r="R48" s="1125"/>
      <c r="S48" s="1125"/>
      <c r="T48" s="1125"/>
      <c r="U48" s="1127"/>
      <c r="V48" s="1127"/>
      <c r="W48" s="1127"/>
      <c r="X48" s="1127"/>
      <c r="Y48" s="1127"/>
      <c r="Z48" s="1127"/>
      <c r="AA48" s="1127"/>
      <c r="AB48" s="1125"/>
      <c r="AC48" s="1126"/>
      <c r="AD48" s="1126"/>
      <c r="AE48" s="1126"/>
      <c r="AF48" s="1126"/>
      <c r="AG48" s="1126"/>
      <c r="AH48" s="1126"/>
      <c r="AI48" s="1126"/>
      <c r="AJ48" s="1126"/>
      <c r="AK48" s="1126"/>
      <c r="AL48" s="1126"/>
      <c r="AM48" s="1126"/>
      <c r="AN48" s="1126"/>
      <c r="AO48" s="1126"/>
      <c r="AP48" s="1126"/>
      <c r="AQ48" s="1126"/>
      <c r="AR48" s="1126"/>
      <c r="AS48" s="1126"/>
      <c r="AT48" s="1126"/>
      <c r="AU48" s="1126"/>
      <c r="AV48" s="1126"/>
      <c r="AW48" s="1126"/>
      <c r="AX48" s="1126"/>
      <c r="AY48" s="1126"/>
      <c r="AZ48" s="1126"/>
      <c r="BA48" s="1126"/>
      <c r="BB48" s="1126"/>
      <c r="BC48" s="1126"/>
      <c r="BD48" s="1126"/>
      <c r="BE48" s="1126"/>
      <c r="BF48" s="1126"/>
      <c r="BG48" s="1126"/>
      <c r="BH48" s="1126"/>
      <c r="BI48" s="1126"/>
      <c r="BJ48" s="1126"/>
      <c r="BK48" s="1126"/>
      <c r="BL48" s="1126"/>
      <c r="BM48" s="1126"/>
      <c r="BN48" s="1126"/>
      <c r="BO48" s="1126"/>
      <c r="BP48" s="1126"/>
      <c r="BQ48" s="1126"/>
      <c r="BR48" s="1126"/>
      <c r="BS48" s="1126"/>
      <c r="BT48" s="1126"/>
      <c r="BU48" s="1126"/>
      <c r="BV48" s="1126"/>
      <c r="BW48" s="1126"/>
      <c r="BX48" s="1126"/>
      <c r="BY48" s="1126"/>
      <c r="BZ48" s="1126"/>
      <c r="CA48" s="1126"/>
      <c r="CB48" s="1126"/>
      <c r="CC48" s="1126"/>
      <c r="CD48" s="1126"/>
      <c r="CE48" s="1126"/>
      <c r="CF48" s="1126"/>
      <c r="CG48" s="1126"/>
      <c r="CH48" s="1126"/>
      <c r="CI48" s="1126"/>
      <c r="CJ48" s="1126"/>
      <c r="CK48" s="1126"/>
      <c r="CL48" s="1128"/>
      <c r="CM48" s="1128"/>
      <c r="CN48" s="1128"/>
      <c r="CO48" s="1128"/>
      <c r="CP48" s="1128"/>
      <c r="CQ48" s="1128"/>
      <c r="CR48" s="1128"/>
      <c r="CS48" s="1128"/>
      <c r="CT48" s="1128"/>
      <c r="CU48" s="1128"/>
      <c r="CV48" s="1128"/>
      <c r="CW48" s="1128"/>
      <c r="CX48" s="1128"/>
      <c r="CY48" s="1128"/>
      <c r="CZ48" s="1128"/>
      <c r="DA48" s="1128"/>
      <c r="DB48" s="1128"/>
      <c r="DC48" s="1128"/>
      <c r="DD48" s="1128"/>
      <c r="DE48" s="1128"/>
      <c r="DF48" s="1128"/>
      <c r="DG48" s="1128"/>
      <c r="DH48" s="1128"/>
      <c r="DI48" s="1128"/>
      <c r="DJ48" s="1128"/>
      <c r="DK48" s="1128"/>
      <c r="DL48" s="1128"/>
      <c r="DM48" s="1128"/>
      <c r="DN48" s="1128"/>
      <c r="DO48" s="1128"/>
      <c r="DP48" s="1128"/>
      <c r="DQ48" s="1128"/>
      <c r="DR48" s="1128"/>
      <c r="DS48" s="1128"/>
      <c r="DT48" s="1128"/>
      <c r="DU48" s="1128"/>
      <c r="DV48" s="1128"/>
      <c r="DW48" s="1128"/>
      <c r="DX48" s="1128"/>
      <c r="DY48" s="1128"/>
      <c r="DZ48" s="1128"/>
      <c r="EA48" s="1128"/>
      <c r="EB48" s="1128"/>
      <c r="EC48" s="1128"/>
      <c r="ED48" s="1128"/>
      <c r="EE48" s="1128"/>
      <c r="EF48" s="1128"/>
      <c r="EG48" s="1128"/>
      <c r="EH48" s="1128"/>
      <c r="EI48" s="1128"/>
      <c r="EJ48" s="1128"/>
      <c r="EK48" s="1128"/>
      <c r="EL48" s="1128"/>
      <c r="EM48" s="1128"/>
      <c r="EN48" s="1128"/>
      <c r="EO48" s="1128"/>
      <c r="EP48" s="1128"/>
      <c r="EQ48" s="1128"/>
      <c r="ER48" s="1128"/>
      <c r="ES48" s="1128"/>
      <c r="ET48" s="1128"/>
      <c r="EU48" s="1128"/>
      <c r="EV48" s="1128"/>
      <c r="EW48" s="1128"/>
      <c r="EX48" s="1128"/>
      <c r="EY48" s="1128"/>
      <c r="EZ48" s="1128"/>
      <c r="FA48" s="1128"/>
      <c r="FB48" s="1128"/>
      <c r="FC48" s="1128"/>
      <c r="FD48" s="1128"/>
      <c r="FE48" s="1128"/>
      <c r="FF48" s="1128"/>
      <c r="FG48" s="1128"/>
      <c r="FH48" s="1128"/>
      <c r="FI48" s="1128"/>
      <c r="FJ48" s="1128"/>
      <c r="FK48" s="1128"/>
      <c r="FL48" s="1128"/>
      <c r="FM48" s="1128"/>
      <c r="FN48" s="1128"/>
      <c r="FO48" s="1128"/>
      <c r="FP48" s="1128"/>
      <c r="FQ48" s="1128"/>
      <c r="FR48" s="1128"/>
      <c r="FS48" s="1128"/>
      <c r="FT48" s="1128"/>
      <c r="FU48" s="1128"/>
      <c r="FV48" s="1129"/>
      <c r="FW48" s="1123"/>
      <c r="FX48" s="1124"/>
    </row>
    <row r="49" spans="1:185" s="852" customFormat="1" ht="24.75" customHeight="1">
      <c r="A49" s="852" t="s">
        <v>1395</v>
      </c>
      <c r="B49" s="867"/>
      <c r="E49" s="1739"/>
      <c r="F49" s="1990">
        <v>1</v>
      </c>
      <c r="G49" s="1998" t="s">
        <v>1325</v>
      </c>
      <c r="H49" s="1132" t="s">
        <v>55</v>
      </c>
      <c r="I49" s="1868" t="s">
        <v>1521</v>
      </c>
      <c r="J49" s="1133"/>
      <c r="K49" s="1133"/>
      <c r="L49" s="1133"/>
      <c r="M49" s="1133"/>
      <c r="N49" s="1133"/>
      <c r="O49" s="1134">
        <v>0</v>
      </c>
      <c r="P49" s="1134">
        <v>0</v>
      </c>
      <c r="Q49" s="1134">
        <v>0</v>
      </c>
      <c r="R49" s="1134">
        <v>0</v>
      </c>
      <c r="S49" s="1134">
        <v>155.5</v>
      </c>
      <c r="T49" s="1134">
        <v>134.59</v>
      </c>
      <c r="U49" s="1134">
        <v>1.69</v>
      </c>
      <c r="V49" s="1134">
        <v>1.42</v>
      </c>
      <c r="W49" s="1134"/>
      <c r="X49" s="1134"/>
      <c r="Y49" s="1134">
        <v>435.5</v>
      </c>
      <c r="Z49" s="1134">
        <v>365.88</v>
      </c>
      <c r="AA49" s="1134"/>
      <c r="AB49" s="1134"/>
      <c r="AC49" s="1133"/>
      <c r="AD49" s="1133"/>
      <c r="AE49" s="1133"/>
      <c r="AF49" s="1133"/>
      <c r="AG49" s="1133"/>
      <c r="AH49" s="1133"/>
      <c r="AI49" s="1133"/>
      <c r="AJ49" s="1133"/>
      <c r="AK49" s="1133"/>
      <c r="AL49" s="1133"/>
      <c r="AM49" s="1133"/>
      <c r="AN49" s="1133"/>
      <c r="AO49" s="1133"/>
      <c r="AP49" s="1133"/>
      <c r="AQ49" s="1133"/>
      <c r="AR49" s="1133"/>
      <c r="AS49" s="1133"/>
      <c r="AT49" s="1133"/>
      <c r="AU49" s="1133"/>
      <c r="AV49" s="1133"/>
      <c r="AW49" s="1133"/>
      <c r="AX49" s="1133"/>
      <c r="AY49" s="1133"/>
      <c r="AZ49" s="1133"/>
      <c r="BA49" s="1133"/>
      <c r="BB49" s="1133"/>
      <c r="BC49" s="1133"/>
      <c r="BD49" s="1133"/>
      <c r="BE49" s="1133"/>
      <c r="BF49" s="1133"/>
      <c r="BG49" s="1133"/>
      <c r="BH49" s="1133"/>
      <c r="BI49" s="1133"/>
      <c r="BJ49" s="1133"/>
      <c r="BK49" s="1133"/>
      <c r="BL49" s="1133"/>
      <c r="BM49" s="1133"/>
      <c r="BN49" s="1133"/>
      <c r="BO49" s="1133"/>
      <c r="BP49" s="1133"/>
      <c r="BQ49" s="1133"/>
      <c r="BR49" s="1133"/>
      <c r="BS49" s="1133"/>
      <c r="BT49" s="1134"/>
      <c r="BU49" s="1134"/>
      <c r="BV49" s="1134"/>
      <c r="BW49" s="1134"/>
      <c r="BX49" s="1134"/>
      <c r="BY49" s="1134"/>
      <c r="BZ49" s="1134"/>
      <c r="CA49" s="1134"/>
      <c r="CB49" s="1134"/>
      <c r="CC49" s="1134"/>
      <c r="CD49" s="1134"/>
      <c r="CE49" s="1134"/>
      <c r="CF49" s="1134"/>
      <c r="CG49" s="1134"/>
      <c r="CH49" s="1134"/>
      <c r="CI49" s="1134"/>
      <c r="CJ49" s="1134"/>
      <c r="CK49" s="1134"/>
      <c r="CL49" s="1133"/>
      <c r="CM49" s="1133"/>
      <c r="CN49" s="1133"/>
      <c r="CO49" s="1133"/>
      <c r="CP49" s="1133"/>
      <c r="CQ49" s="1133"/>
      <c r="CR49" s="1133"/>
      <c r="CS49" s="1133"/>
      <c r="CT49" s="1133"/>
      <c r="CU49" s="1133"/>
      <c r="CV49" s="1133"/>
      <c r="CW49" s="1133"/>
      <c r="CX49" s="1133"/>
      <c r="CY49" s="1134"/>
      <c r="CZ49" s="1134"/>
      <c r="DA49" s="1134"/>
      <c r="DB49" s="1134"/>
      <c r="DC49" s="1134"/>
      <c r="DD49" s="1134"/>
      <c r="DE49" s="1134"/>
      <c r="DF49" s="1134"/>
      <c r="DG49" s="1134"/>
      <c r="DH49" s="1134"/>
      <c r="DI49" s="1134"/>
      <c r="DJ49" s="1134"/>
      <c r="DK49" s="1133"/>
      <c r="DL49" s="1133"/>
      <c r="DM49" s="1133"/>
      <c r="DN49" s="1133"/>
      <c r="DO49" s="1133"/>
      <c r="DP49" s="1133"/>
      <c r="DQ49" s="1133"/>
      <c r="DR49" s="1133"/>
      <c r="DS49" s="1133"/>
      <c r="DT49" s="1133"/>
      <c r="DU49" s="1133"/>
      <c r="DV49" s="1133"/>
      <c r="DW49" s="1133"/>
      <c r="DX49" s="1133"/>
      <c r="DY49" s="1133"/>
      <c r="DZ49" s="1133"/>
      <c r="EA49" s="1133"/>
      <c r="EB49" s="1133"/>
      <c r="EC49" s="1133"/>
      <c r="ED49" s="1133"/>
      <c r="EE49" s="1133"/>
      <c r="EF49" s="1133"/>
      <c r="EG49" s="1133"/>
      <c r="EH49" s="1133"/>
      <c r="EI49" s="1133"/>
      <c r="EJ49" s="1133"/>
      <c r="EK49" s="1133"/>
      <c r="EL49" s="1133"/>
      <c r="EM49" s="1133"/>
      <c r="EN49" s="1133"/>
      <c r="EO49" s="1133"/>
      <c r="EP49" s="1133"/>
      <c r="EQ49" s="1133"/>
      <c r="ER49" s="1133"/>
      <c r="ES49" s="1133"/>
      <c r="ET49" s="1133"/>
      <c r="EU49" s="1133"/>
      <c r="EV49" s="1133"/>
      <c r="EW49" s="1133"/>
      <c r="EX49" s="1133"/>
      <c r="EY49" s="1133"/>
      <c r="EZ49" s="1133"/>
      <c r="FA49" s="1133"/>
      <c r="FB49" s="1133"/>
      <c r="FC49" s="1133"/>
      <c r="FD49" s="1133"/>
      <c r="FE49" s="1133"/>
      <c r="FF49" s="1133"/>
      <c r="FG49" s="1133"/>
      <c r="FH49" s="1133"/>
      <c r="FI49" s="1133"/>
      <c r="FJ49" s="1133"/>
      <c r="FK49" s="1133"/>
      <c r="FL49" s="1133"/>
      <c r="FM49" s="1133"/>
      <c r="FN49" s="1133"/>
      <c r="FO49" s="1133"/>
      <c r="FP49" s="1133"/>
      <c r="FQ49" s="1133"/>
      <c r="FR49" s="1133"/>
      <c r="FS49" s="1133"/>
      <c r="FT49" s="1133"/>
      <c r="FU49" s="1133"/>
      <c r="FV49" s="1133"/>
      <c r="FW49" s="1133"/>
      <c r="FX49" s="1124"/>
    </row>
    <row r="50" spans="1:185" s="852" customFormat="1" ht="12" customHeight="1">
      <c r="A50" s="852" t="s">
        <v>1395</v>
      </c>
      <c r="B50" s="867"/>
      <c r="F50" s="3237"/>
      <c r="G50" s="3238" t="s">
        <v>1633</v>
      </c>
      <c r="H50" s="3239"/>
      <c r="I50" s="3240"/>
      <c r="J50" s="3241"/>
      <c r="K50" s="3242"/>
      <c r="L50" s="3243"/>
      <c r="M50" s="3244"/>
      <c r="N50" s="3245"/>
      <c r="O50" s="3246"/>
      <c r="P50" s="3247"/>
      <c r="Q50" s="3248"/>
      <c r="R50" s="3249"/>
      <c r="S50" s="3250"/>
      <c r="T50" s="3251"/>
      <c r="U50" s="3252"/>
      <c r="V50" s="3253"/>
      <c r="W50" s="3254"/>
      <c r="X50" s="3255"/>
      <c r="Y50" s="3256"/>
      <c r="Z50" s="3257"/>
      <c r="AA50" s="3258"/>
      <c r="AB50" s="3259"/>
      <c r="AC50" s="3260"/>
      <c r="AD50" s="3261"/>
      <c r="AE50" s="3262"/>
      <c r="AF50" s="3263"/>
      <c r="AG50" s="3264"/>
      <c r="AH50" s="3265"/>
      <c r="AI50" s="3266"/>
      <c r="AJ50" s="3267"/>
      <c r="AK50" s="3268"/>
      <c r="AL50" s="3269"/>
      <c r="AM50" s="3270"/>
      <c r="AN50" s="3271"/>
      <c r="AO50" s="3272"/>
      <c r="AP50" s="3273"/>
      <c r="AQ50" s="3274"/>
      <c r="AR50" s="3275"/>
      <c r="AS50" s="3276"/>
      <c r="AT50" s="3277"/>
      <c r="AU50" s="3278"/>
      <c r="AV50" s="3279"/>
      <c r="AW50" s="3280"/>
      <c r="AX50" s="3281"/>
      <c r="AY50" s="3282"/>
      <c r="AZ50" s="3283"/>
      <c r="BA50" s="3284"/>
      <c r="BB50" s="3285"/>
      <c r="BC50" s="3286"/>
      <c r="BD50" s="3287"/>
      <c r="BE50" s="3288"/>
      <c r="BF50" s="3289"/>
      <c r="BG50" s="3290"/>
      <c r="BH50" s="3291"/>
      <c r="BI50" s="3292"/>
      <c r="BJ50" s="3293"/>
      <c r="BK50" s="3294"/>
      <c r="BL50" s="3295"/>
      <c r="BM50" s="3296"/>
      <c r="BN50" s="3297"/>
      <c r="BO50" s="3298"/>
      <c r="BP50" s="3299"/>
      <c r="BQ50" s="3300"/>
      <c r="BR50" s="3301"/>
      <c r="BS50" s="3302"/>
      <c r="BT50" s="3303"/>
      <c r="BU50" s="3304"/>
      <c r="BV50" s="3305"/>
      <c r="BW50" s="3306"/>
      <c r="BX50" s="3307"/>
      <c r="BY50" s="3308"/>
      <c r="BZ50" s="3309"/>
      <c r="CA50" s="3310"/>
      <c r="CB50" s="3311"/>
      <c r="CC50" s="3312"/>
      <c r="CD50" s="3313"/>
      <c r="CE50" s="3314"/>
      <c r="CF50" s="3315"/>
      <c r="CG50" s="3316"/>
      <c r="CH50" s="3317"/>
      <c r="CI50" s="3318"/>
      <c r="CJ50" s="3319"/>
      <c r="CK50" s="3320"/>
      <c r="CL50" s="3321"/>
      <c r="CM50" s="3322"/>
      <c r="CN50" s="3323"/>
      <c r="CO50" s="3324"/>
      <c r="CP50" s="3325"/>
      <c r="CQ50" s="3326"/>
      <c r="CR50" s="3327"/>
      <c r="CS50" s="3328"/>
      <c r="CT50" s="3329"/>
      <c r="CU50" s="3330"/>
      <c r="CV50" s="3331"/>
      <c r="CW50" s="3332"/>
      <c r="CX50" s="3333"/>
      <c r="CY50" s="3334"/>
      <c r="CZ50" s="3335"/>
      <c r="DA50" s="3336"/>
      <c r="DB50" s="3337"/>
      <c r="DC50" s="3338"/>
      <c r="DD50" s="3339"/>
      <c r="DE50" s="3340"/>
      <c r="DF50" s="3341"/>
      <c r="DG50" s="3342"/>
      <c r="DH50" s="3343"/>
      <c r="DI50" s="3344"/>
      <c r="DJ50" s="3345"/>
      <c r="DK50" s="3346"/>
      <c r="DL50" s="3347"/>
      <c r="DM50" s="3348"/>
      <c r="DN50" s="3349"/>
      <c r="DO50" s="3350"/>
      <c r="DP50" s="3351"/>
      <c r="DQ50" s="3352"/>
      <c r="DR50" s="3353"/>
      <c r="DS50" s="3354"/>
      <c r="DT50" s="3355"/>
      <c r="DU50" s="3356"/>
      <c r="DV50" s="3357"/>
      <c r="DW50" s="3358"/>
      <c r="DX50" s="3359"/>
      <c r="DY50" s="3360"/>
      <c r="DZ50" s="3361"/>
      <c r="EA50" s="3362"/>
      <c r="EB50" s="3363"/>
      <c r="EC50" s="3364"/>
      <c r="ED50" s="3365"/>
      <c r="EE50" s="3366"/>
      <c r="EF50" s="3367"/>
      <c r="EG50" s="3368"/>
      <c r="EH50" s="3369"/>
      <c r="EI50" s="3370"/>
      <c r="EJ50" s="3371"/>
      <c r="EK50" s="3372"/>
      <c r="EL50" s="3373"/>
      <c r="EM50" s="3374"/>
      <c r="EN50" s="3375"/>
      <c r="EO50" s="3376"/>
      <c r="EP50" s="3377"/>
      <c r="EQ50" s="3378"/>
      <c r="ER50" s="3379"/>
      <c r="ES50" s="3380"/>
      <c r="ET50" s="3381"/>
      <c r="EU50" s="3382"/>
      <c r="EV50" s="3383"/>
      <c r="EW50" s="3384"/>
      <c r="EX50" s="3385"/>
      <c r="EY50" s="3386"/>
      <c r="EZ50" s="3387"/>
      <c r="FA50" s="3388"/>
      <c r="FB50" s="3389"/>
      <c r="FC50" s="3390"/>
      <c r="FD50" s="3391"/>
      <c r="FE50" s="3392"/>
      <c r="FF50" s="3393"/>
      <c r="FG50" s="3394"/>
      <c r="FH50" s="3395"/>
      <c r="FI50" s="3396"/>
      <c r="FJ50" s="3397"/>
      <c r="FK50" s="3398"/>
      <c r="FL50" s="3399"/>
      <c r="FM50" s="3400"/>
      <c r="FN50" s="3401"/>
      <c r="FO50" s="3402"/>
      <c r="FP50" s="3403"/>
      <c r="FQ50" s="3404"/>
      <c r="FR50" s="3405"/>
      <c r="FS50" s="3406"/>
      <c r="FT50" s="3407"/>
      <c r="FU50" s="3408"/>
      <c r="FV50" s="3409"/>
      <c r="FW50" s="3410"/>
      <c r="FX50" s="1714"/>
      <c r="FY50" s="988"/>
      <c r="FZ50" s="988"/>
      <c r="GA50" s="988"/>
      <c r="GB50" s="988"/>
    </row>
    <row r="51" spans="1:185" s="852" customFormat="1" ht="21" customHeight="1">
      <c r="A51" s="1246" t="s">
        <v>1403</v>
      </c>
      <c r="B51" s="867"/>
      <c r="E51" s="866" t="s">
        <v>9</v>
      </c>
      <c r="F51" s="1044" t="str">
        <f>INDEX(IP_MAIN_LIST_NAME_IP,MATCH(A51,IP_MAIN_LIST_IP_ID,0))&amp;" ("&amp;INDEX(IP_MAIN_START_DATE,MATCH(A51,IP_MAIN_LIST_IP_ID,0))&amp;"-"&amp;INDEX(IP_MAIN_END_DATE,MATCH(A51,IP_MAIN_LIST_IP_ID,0))&amp;")"</f>
        <v>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 (01.01.2023-31.12.2025)</v>
      </c>
      <c r="G51" s="1125"/>
      <c r="H51" s="1126"/>
      <c r="I51" s="1126"/>
      <c r="J51" s="1126"/>
      <c r="K51" s="1126"/>
      <c r="L51" s="1126"/>
      <c r="M51" s="1126"/>
      <c r="N51" s="1126"/>
      <c r="O51" s="1125"/>
      <c r="P51" s="1125"/>
      <c r="Q51" s="1125"/>
      <c r="R51" s="1125"/>
      <c r="S51" s="1125"/>
      <c r="T51" s="1125"/>
      <c r="U51" s="1127"/>
      <c r="V51" s="1127"/>
      <c r="W51" s="1127"/>
      <c r="X51" s="1127"/>
      <c r="Y51" s="1127"/>
      <c r="Z51" s="1127"/>
      <c r="AA51" s="1127"/>
      <c r="AB51" s="1125"/>
      <c r="AC51" s="1126"/>
      <c r="AD51" s="1126"/>
      <c r="AE51" s="1126"/>
      <c r="AF51" s="1126"/>
      <c r="AG51" s="1126"/>
      <c r="AH51" s="1126"/>
      <c r="AI51" s="1126"/>
      <c r="AJ51" s="1126"/>
      <c r="AK51" s="1126"/>
      <c r="AL51" s="1126"/>
      <c r="AM51" s="1126"/>
      <c r="AN51" s="1126"/>
      <c r="AO51" s="1126"/>
      <c r="AP51" s="1126"/>
      <c r="AQ51" s="1126"/>
      <c r="AR51" s="1126"/>
      <c r="AS51" s="1126"/>
      <c r="AT51" s="1126"/>
      <c r="AU51" s="1126"/>
      <c r="AV51" s="1126"/>
      <c r="AW51" s="1126"/>
      <c r="AX51" s="1126"/>
      <c r="AY51" s="1126"/>
      <c r="AZ51" s="1126"/>
      <c r="BA51" s="1126"/>
      <c r="BB51" s="1126"/>
      <c r="BC51" s="1126"/>
      <c r="BD51" s="1126"/>
      <c r="BE51" s="1126"/>
      <c r="BF51" s="1126"/>
      <c r="BG51" s="1126"/>
      <c r="BH51" s="1126"/>
      <c r="BI51" s="1126"/>
      <c r="BJ51" s="1126"/>
      <c r="BK51" s="1126"/>
      <c r="BL51" s="1126"/>
      <c r="BM51" s="1126"/>
      <c r="BN51" s="1126"/>
      <c r="BO51" s="1126"/>
      <c r="BP51" s="1126"/>
      <c r="BQ51" s="1126"/>
      <c r="BR51" s="1126"/>
      <c r="BS51" s="1126"/>
      <c r="BT51" s="1126"/>
      <c r="BU51" s="1126"/>
      <c r="BV51" s="1126"/>
      <c r="BW51" s="1126"/>
      <c r="BX51" s="1126"/>
      <c r="BY51" s="1126"/>
      <c r="BZ51" s="1126"/>
      <c r="CA51" s="1126"/>
      <c r="CB51" s="1126"/>
      <c r="CC51" s="1126"/>
      <c r="CD51" s="1126"/>
      <c r="CE51" s="1126"/>
      <c r="CF51" s="1126"/>
      <c r="CG51" s="1126"/>
      <c r="CH51" s="1126"/>
      <c r="CI51" s="1126"/>
      <c r="CJ51" s="1126"/>
      <c r="CK51" s="1126"/>
      <c r="CL51" s="1128"/>
      <c r="CM51" s="1128"/>
      <c r="CN51" s="1128"/>
      <c r="CO51" s="1128"/>
      <c r="CP51" s="1128"/>
      <c r="CQ51" s="1128"/>
      <c r="CR51" s="1128"/>
      <c r="CS51" s="1128"/>
      <c r="CT51" s="1128"/>
      <c r="CU51" s="1128"/>
      <c r="CV51" s="1128"/>
      <c r="CW51" s="1128"/>
      <c r="CX51" s="1128"/>
      <c r="CY51" s="1128"/>
      <c r="CZ51" s="1128"/>
      <c r="DA51" s="1128"/>
      <c r="DB51" s="1128"/>
      <c r="DC51" s="1128"/>
      <c r="DD51" s="1128"/>
      <c r="DE51" s="1128"/>
      <c r="DF51" s="1128"/>
      <c r="DG51" s="1128"/>
      <c r="DH51" s="1128"/>
      <c r="DI51" s="1128"/>
      <c r="DJ51" s="1128"/>
      <c r="DK51" s="1128"/>
      <c r="DL51" s="1128"/>
      <c r="DM51" s="1128"/>
      <c r="DN51" s="1128"/>
      <c r="DO51" s="1128"/>
      <c r="DP51" s="1128"/>
      <c r="DQ51" s="1128"/>
      <c r="DR51" s="1128"/>
      <c r="DS51" s="1128"/>
      <c r="DT51" s="1128"/>
      <c r="DU51" s="1128"/>
      <c r="DV51" s="1128"/>
      <c r="DW51" s="1128"/>
      <c r="DX51" s="1128"/>
      <c r="DY51" s="1128"/>
      <c r="DZ51" s="1128"/>
      <c r="EA51" s="1128"/>
      <c r="EB51" s="1128"/>
      <c r="EC51" s="1128"/>
      <c r="ED51" s="1128"/>
      <c r="EE51" s="1128"/>
      <c r="EF51" s="1128"/>
      <c r="EG51" s="1128"/>
      <c r="EH51" s="1128"/>
      <c r="EI51" s="1128"/>
      <c r="EJ51" s="1128"/>
      <c r="EK51" s="1128"/>
      <c r="EL51" s="1128"/>
      <c r="EM51" s="1128"/>
      <c r="EN51" s="1128"/>
      <c r="EO51" s="1128"/>
      <c r="EP51" s="1128"/>
      <c r="EQ51" s="1128"/>
      <c r="ER51" s="1128"/>
      <c r="ES51" s="1128"/>
      <c r="ET51" s="1128"/>
      <c r="EU51" s="1128"/>
      <c r="EV51" s="1128"/>
      <c r="EW51" s="1128"/>
      <c r="EX51" s="1128"/>
      <c r="EY51" s="1128"/>
      <c r="EZ51" s="1128"/>
      <c r="FA51" s="1128"/>
      <c r="FB51" s="1128"/>
      <c r="FC51" s="1128"/>
      <c r="FD51" s="1128"/>
      <c r="FE51" s="1128"/>
      <c r="FF51" s="1128"/>
      <c r="FG51" s="1128"/>
      <c r="FH51" s="1128"/>
      <c r="FI51" s="1128"/>
      <c r="FJ51" s="1128"/>
      <c r="FK51" s="1128"/>
      <c r="FL51" s="1128"/>
      <c r="FM51" s="1128"/>
      <c r="FN51" s="1128"/>
      <c r="FO51" s="1128"/>
      <c r="FP51" s="1128"/>
      <c r="FQ51" s="1128"/>
      <c r="FR51" s="1128"/>
      <c r="FS51" s="1128"/>
      <c r="FT51" s="1128"/>
      <c r="FU51" s="1128"/>
      <c r="FV51" s="1129"/>
      <c r="FW51" s="1123"/>
      <c r="FX51" s="1124"/>
    </row>
    <row r="52" spans="1:185" s="852" customFormat="1" ht="24.75" customHeight="1">
      <c r="A52" s="852" t="s">
        <v>1403</v>
      </c>
      <c r="B52" s="867"/>
      <c r="E52" s="1739"/>
      <c r="F52" s="1990">
        <v>1</v>
      </c>
      <c r="G52" s="1998" t="s">
        <v>1325</v>
      </c>
      <c r="H52" s="1132" t="s">
        <v>55</v>
      </c>
      <c r="I52" s="1868" t="s">
        <v>1526</v>
      </c>
      <c r="J52" s="1133"/>
      <c r="K52" s="1133"/>
      <c r="L52" s="1133"/>
      <c r="M52" s="1133"/>
      <c r="N52" s="1133"/>
      <c r="O52" s="1134"/>
      <c r="P52" s="1134">
        <v>0</v>
      </c>
      <c r="Q52" s="1134">
        <v>0</v>
      </c>
      <c r="R52" s="1134">
        <v>0</v>
      </c>
      <c r="S52" s="1134">
        <v>157.80000000000001</v>
      </c>
      <c r="T52" s="1134">
        <v>157.53</v>
      </c>
      <c r="U52" s="1134">
        <v>1.47</v>
      </c>
      <c r="V52" s="1134">
        <v>1.39</v>
      </c>
      <c r="W52" s="1134"/>
      <c r="X52" s="1134"/>
      <c r="Y52" s="1134">
        <v>566.59</v>
      </c>
      <c r="Z52" s="1134">
        <v>535.70000000000005</v>
      </c>
      <c r="AA52" s="1134"/>
      <c r="AB52" s="1134"/>
      <c r="AC52" s="1133"/>
      <c r="AD52" s="1133"/>
      <c r="AE52" s="1133"/>
      <c r="AF52" s="1133"/>
      <c r="AG52" s="1133"/>
      <c r="AH52" s="1133"/>
      <c r="AI52" s="1133"/>
      <c r="AJ52" s="1133"/>
      <c r="AK52" s="1133"/>
      <c r="AL52" s="1133"/>
      <c r="AM52" s="1133"/>
      <c r="AN52" s="1133"/>
      <c r="AO52" s="1133"/>
      <c r="AP52" s="1133"/>
      <c r="AQ52" s="1133"/>
      <c r="AR52" s="1133"/>
      <c r="AS52" s="1133"/>
      <c r="AT52" s="1133"/>
      <c r="AU52" s="1133"/>
      <c r="AV52" s="1133"/>
      <c r="AW52" s="1133"/>
      <c r="AX52" s="1133"/>
      <c r="AY52" s="1133"/>
      <c r="AZ52" s="1133"/>
      <c r="BA52" s="1133"/>
      <c r="BB52" s="1133"/>
      <c r="BC52" s="1133"/>
      <c r="BD52" s="1133"/>
      <c r="BE52" s="1133"/>
      <c r="BF52" s="1133"/>
      <c r="BG52" s="1133"/>
      <c r="BH52" s="1133"/>
      <c r="BI52" s="1133"/>
      <c r="BJ52" s="1133"/>
      <c r="BK52" s="1133"/>
      <c r="BL52" s="1133"/>
      <c r="BM52" s="1133"/>
      <c r="BN52" s="1133"/>
      <c r="BO52" s="1133"/>
      <c r="BP52" s="1133"/>
      <c r="BQ52" s="1133"/>
      <c r="BR52" s="1133"/>
      <c r="BS52" s="1133"/>
      <c r="BT52" s="1134"/>
      <c r="BU52" s="1134"/>
      <c r="BV52" s="1134"/>
      <c r="BW52" s="1134"/>
      <c r="BX52" s="1134"/>
      <c r="BY52" s="1134"/>
      <c r="BZ52" s="1134"/>
      <c r="CA52" s="1134"/>
      <c r="CB52" s="1134"/>
      <c r="CC52" s="1134"/>
      <c r="CD52" s="1134"/>
      <c r="CE52" s="1134"/>
      <c r="CF52" s="1134"/>
      <c r="CG52" s="1134"/>
      <c r="CH52" s="1134"/>
      <c r="CI52" s="1134"/>
      <c r="CJ52" s="1134"/>
      <c r="CK52" s="1134"/>
      <c r="CL52" s="1133"/>
      <c r="CM52" s="1133"/>
      <c r="CN52" s="1133"/>
      <c r="CO52" s="1133"/>
      <c r="CP52" s="1133"/>
      <c r="CQ52" s="1133"/>
      <c r="CR52" s="1133"/>
      <c r="CS52" s="1133"/>
      <c r="CT52" s="1133"/>
      <c r="CU52" s="1133"/>
      <c r="CV52" s="1133"/>
      <c r="CW52" s="1133"/>
      <c r="CX52" s="1133"/>
      <c r="CY52" s="1134"/>
      <c r="CZ52" s="1134"/>
      <c r="DA52" s="1134"/>
      <c r="DB52" s="1134"/>
      <c r="DC52" s="1134"/>
      <c r="DD52" s="1134"/>
      <c r="DE52" s="1134"/>
      <c r="DF52" s="1134"/>
      <c r="DG52" s="1134"/>
      <c r="DH52" s="1134"/>
      <c r="DI52" s="1134"/>
      <c r="DJ52" s="1134"/>
      <c r="DK52" s="1133"/>
      <c r="DL52" s="1133"/>
      <c r="DM52" s="1133"/>
      <c r="DN52" s="1133"/>
      <c r="DO52" s="1133"/>
      <c r="DP52" s="1133"/>
      <c r="DQ52" s="1133"/>
      <c r="DR52" s="1133"/>
      <c r="DS52" s="1133"/>
      <c r="DT52" s="1133"/>
      <c r="DU52" s="1133"/>
      <c r="DV52" s="1133"/>
      <c r="DW52" s="1133"/>
      <c r="DX52" s="1133"/>
      <c r="DY52" s="1133"/>
      <c r="DZ52" s="1133"/>
      <c r="EA52" s="1133"/>
      <c r="EB52" s="1133"/>
      <c r="EC52" s="1133"/>
      <c r="ED52" s="1133"/>
      <c r="EE52" s="1133"/>
      <c r="EF52" s="1133"/>
      <c r="EG52" s="1133"/>
      <c r="EH52" s="1133"/>
      <c r="EI52" s="1133"/>
      <c r="EJ52" s="1133"/>
      <c r="EK52" s="1133"/>
      <c r="EL52" s="1133"/>
      <c r="EM52" s="1133"/>
      <c r="EN52" s="1133"/>
      <c r="EO52" s="1133"/>
      <c r="EP52" s="1133"/>
      <c r="EQ52" s="1133"/>
      <c r="ER52" s="1133"/>
      <c r="ES52" s="1133"/>
      <c r="ET52" s="1133"/>
      <c r="EU52" s="1133"/>
      <c r="EV52" s="1133"/>
      <c r="EW52" s="1133"/>
      <c r="EX52" s="1133"/>
      <c r="EY52" s="1133"/>
      <c r="EZ52" s="1133"/>
      <c r="FA52" s="1133"/>
      <c r="FB52" s="1133"/>
      <c r="FC52" s="1133"/>
      <c r="FD52" s="1133"/>
      <c r="FE52" s="1133"/>
      <c r="FF52" s="1133"/>
      <c r="FG52" s="1133"/>
      <c r="FH52" s="1133"/>
      <c r="FI52" s="1133"/>
      <c r="FJ52" s="1133"/>
      <c r="FK52" s="1133"/>
      <c r="FL52" s="1133"/>
      <c r="FM52" s="1133"/>
      <c r="FN52" s="1133"/>
      <c r="FO52" s="1133"/>
      <c r="FP52" s="1133"/>
      <c r="FQ52" s="1133"/>
      <c r="FR52" s="1133"/>
      <c r="FS52" s="1133"/>
      <c r="FT52" s="1133"/>
      <c r="FU52" s="1133"/>
      <c r="FV52" s="1133"/>
      <c r="FW52" s="1133"/>
      <c r="FX52" s="1124"/>
    </row>
    <row r="53" spans="1:185" s="852" customFormat="1" ht="12" customHeight="1">
      <c r="A53" s="852" t="s">
        <v>1403</v>
      </c>
      <c r="B53" s="867"/>
      <c r="F53" s="3414"/>
      <c r="G53" s="3415" t="s">
        <v>1633</v>
      </c>
      <c r="H53" s="3416"/>
      <c r="I53" s="3417"/>
      <c r="J53" s="3418"/>
      <c r="K53" s="3419"/>
      <c r="L53" s="3420"/>
      <c r="M53" s="3421"/>
      <c r="N53" s="3422"/>
      <c r="O53" s="3423"/>
      <c r="P53" s="3424"/>
      <c r="Q53" s="3425"/>
      <c r="R53" s="3426"/>
      <c r="S53" s="3427"/>
      <c r="T53" s="3428"/>
      <c r="U53" s="3429"/>
      <c r="V53" s="3430"/>
      <c r="W53" s="3431"/>
      <c r="X53" s="3432"/>
      <c r="Y53" s="3433"/>
      <c r="Z53" s="3434"/>
      <c r="AA53" s="3435"/>
      <c r="AB53" s="3436"/>
      <c r="AC53" s="3437"/>
      <c r="AD53" s="3438"/>
      <c r="AE53" s="3439"/>
      <c r="AF53" s="3440"/>
      <c r="AG53" s="3441"/>
      <c r="AH53" s="3442"/>
      <c r="AI53" s="3443"/>
      <c r="AJ53" s="3444"/>
      <c r="AK53" s="3445"/>
      <c r="AL53" s="3446"/>
      <c r="AM53" s="3447"/>
      <c r="AN53" s="3448"/>
      <c r="AO53" s="3449"/>
      <c r="AP53" s="3450"/>
      <c r="AQ53" s="3451"/>
      <c r="AR53" s="3452"/>
      <c r="AS53" s="3453"/>
      <c r="AT53" s="3454"/>
      <c r="AU53" s="3455"/>
      <c r="AV53" s="3456"/>
      <c r="AW53" s="3457"/>
      <c r="AX53" s="3458"/>
      <c r="AY53" s="3459"/>
      <c r="AZ53" s="3460"/>
      <c r="BA53" s="3461"/>
      <c r="BB53" s="3462"/>
      <c r="BC53" s="3463"/>
      <c r="BD53" s="3464"/>
      <c r="BE53" s="3465"/>
      <c r="BF53" s="3466"/>
      <c r="BG53" s="3467"/>
      <c r="BH53" s="3468"/>
      <c r="BI53" s="3469"/>
      <c r="BJ53" s="3470"/>
      <c r="BK53" s="3471"/>
      <c r="BL53" s="3472"/>
      <c r="BM53" s="3473"/>
      <c r="BN53" s="3474"/>
      <c r="BO53" s="3475"/>
      <c r="BP53" s="3476"/>
      <c r="BQ53" s="3477"/>
      <c r="BR53" s="3478"/>
      <c r="BS53" s="3479"/>
      <c r="BT53" s="3480"/>
      <c r="BU53" s="3481"/>
      <c r="BV53" s="3482"/>
      <c r="BW53" s="3483"/>
      <c r="BX53" s="3484"/>
      <c r="BY53" s="3485"/>
      <c r="BZ53" s="3486"/>
      <c r="CA53" s="3487"/>
      <c r="CB53" s="3488"/>
      <c r="CC53" s="3489"/>
      <c r="CD53" s="3490"/>
      <c r="CE53" s="3491"/>
      <c r="CF53" s="3492"/>
      <c r="CG53" s="3493"/>
      <c r="CH53" s="3494"/>
      <c r="CI53" s="3495"/>
      <c r="CJ53" s="3496"/>
      <c r="CK53" s="3497"/>
      <c r="CL53" s="3498"/>
      <c r="CM53" s="3499"/>
      <c r="CN53" s="3500"/>
      <c r="CO53" s="3501"/>
      <c r="CP53" s="3502"/>
      <c r="CQ53" s="3503"/>
      <c r="CR53" s="3504"/>
      <c r="CS53" s="3505"/>
      <c r="CT53" s="3506"/>
      <c r="CU53" s="3507"/>
      <c r="CV53" s="3508"/>
      <c r="CW53" s="3509"/>
      <c r="CX53" s="3510"/>
      <c r="CY53" s="3511"/>
      <c r="CZ53" s="3512"/>
      <c r="DA53" s="3513"/>
      <c r="DB53" s="3514"/>
      <c r="DC53" s="3515"/>
      <c r="DD53" s="3516"/>
      <c r="DE53" s="3517"/>
      <c r="DF53" s="3518"/>
      <c r="DG53" s="3519"/>
      <c r="DH53" s="3520"/>
      <c r="DI53" s="3521"/>
      <c r="DJ53" s="3522"/>
      <c r="DK53" s="3523"/>
      <c r="DL53" s="3524"/>
      <c r="DM53" s="3525"/>
      <c r="DN53" s="3526"/>
      <c r="DO53" s="3527"/>
      <c r="DP53" s="3528"/>
      <c r="DQ53" s="3529"/>
      <c r="DR53" s="3530"/>
      <c r="DS53" s="3531"/>
      <c r="DT53" s="3532"/>
      <c r="DU53" s="3533"/>
      <c r="DV53" s="3534"/>
      <c r="DW53" s="3535"/>
      <c r="DX53" s="3536"/>
      <c r="DY53" s="3537"/>
      <c r="DZ53" s="3538"/>
      <c r="EA53" s="3539"/>
      <c r="EB53" s="3540"/>
      <c r="EC53" s="3541"/>
      <c r="ED53" s="3542"/>
      <c r="EE53" s="3543"/>
      <c r="EF53" s="3544"/>
      <c r="EG53" s="3545"/>
      <c r="EH53" s="3546"/>
      <c r="EI53" s="3547"/>
      <c r="EJ53" s="3548"/>
      <c r="EK53" s="3549"/>
      <c r="EL53" s="3550"/>
      <c r="EM53" s="3551"/>
      <c r="EN53" s="3552"/>
      <c r="EO53" s="3553"/>
      <c r="EP53" s="3554"/>
      <c r="EQ53" s="3555"/>
      <c r="ER53" s="3556"/>
      <c r="ES53" s="3557"/>
      <c r="ET53" s="3558"/>
      <c r="EU53" s="3559"/>
      <c r="EV53" s="3560"/>
      <c r="EW53" s="3561"/>
      <c r="EX53" s="3562"/>
      <c r="EY53" s="3563"/>
      <c r="EZ53" s="3564"/>
      <c r="FA53" s="3565"/>
      <c r="FB53" s="3566"/>
      <c r="FC53" s="3567"/>
      <c r="FD53" s="3568"/>
      <c r="FE53" s="3569"/>
      <c r="FF53" s="3570"/>
      <c r="FG53" s="3571"/>
      <c r="FH53" s="3572"/>
      <c r="FI53" s="3573"/>
      <c r="FJ53" s="3574"/>
      <c r="FK53" s="3575"/>
      <c r="FL53" s="3576"/>
      <c r="FM53" s="3577"/>
      <c r="FN53" s="3578"/>
      <c r="FO53" s="3579"/>
      <c r="FP53" s="3580"/>
      <c r="FQ53" s="3581"/>
      <c r="FR53" s="3582"/>
      <c r="FS53" s="3583"/>
      <c r="FT53" s="3584"/>
      <c r="FU53" s="3585"/>
      <c r="FV53" s="3586"/>
      <c r="FW53" s="3587"/>
      <c r="FX53" s="1714"/>
      <c r="FY53" s="988"/>
      <c r="FZ53" s="988"/>
      <c r="GA53" s="988"/>
      <c r="GB53" s="988"/>
    </row>
    <row r="54" spans="1:185" s="852" customFormat="1" ht="12.75" customHeight="1">
      <c r="A54" s="868"/>
      <c r="B54" s="868"/>
      <c r="C54" s="868"/>
      <c r="D54" s="868"/>
      <c r="E54" s="868"/>
      <c r="F54" s="866"/>
      <c r="G54" s="866"/>
      <c r="H54" s="866"/>
      <c r="I54" s="866"/>
      <c r="J54" s="866"/>
      <c r="K54" s="866"/>
      <c r="L54" s="866"/>
      <c r="M54" s="866"/>
      <c r="N54" s="866"/>
      <c r="O54" s="866"/>
      <c r="P54" s="866"/>
      <c r="Q54" s="866"/>
      <c r="R54" s="866"/>
      <c r="S54" s="869"/>
      <c r="T54" s="869"/>
      <c r="U54" s="866"/>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866"/>
      <c r="BX54" s="866"/>
      <c r="BY54" s="866"/>
      <c r="BZ54" s="866"/>
      <c r="CA54" s="866"/>
      <c r="CB54" s="866"/>
      <c r="CC54" s="866"/>
      <c r="CD54" s="866"/>
      <c r="CE54" s="866"/>
      <c r="CF54" s="866"/>
      <c r="CG54" s="866"/>
      <c r="CH54" s="866"/>
      <c r="CI54" s="866"/>
      <c r="CJ54" s="866"/>
      <c r="CK54" s="866"/>
      <c r="CL54" s="866"/>
      <c r="CM54" s="866"/>
      <c r="CN54" s="866"/>
      <c r="CO54" s="866"/>
      <c r="CP54" s="866"/>
      <c r="CQ54" s="866"/>
      <c r="CR54" s="866"/>
      <c r="CS54" s="866"/>
      <c r="CT54" s="866"/>
      <c r="CU54" s="866"/>
      <c r="CV54" s="866"/>
      <c r="CW54" s="866"/>
      <c r="CX54" s="866"/>
      <c r="CY54" s="866"/>
      <c r="CZ54" s="866"/>
      <c r="DA54" s="866"/>
      <c r="DB54" s="866"/>
      <c r="DC54" s="866"/>
      <c r="DD54" s="866"/>
      <c r="DE54" s="866"/>
      <c r="DF54" s="866"/>
      <c r="DG54" s="866"/>
      <c r="DH54" s="866"/>
      <c r="DI54" s="866"/>
      <c r="DJ54" s="866"/>
      <c r="DK54" s="866"/>
      <c r="DL54" s="866"/>
      <c r="DM54" s="866"/>
      <c r="DN54" s="866"/>
      <c r="DO54" s="866"/>
      <c r="DP54" s="866"/>
      <c r="DQ54" s="866"/>
      <c r="DR54" s="866"/>
      <c r="DS54" s="866"/>
      <c r="DT54" s="866"/>
      <c r="DU54" s="866"/>
      <c r="DV54" s="866"/>
      <c r="DW54" s="866"/>
      <c r="DX54" s="866"/>
      <c r="DY54" s="866"/>
      <c r="DZ54" s="866"/>
      <c r="EA54" s="866"/>
      <c r="EB54" s="866"/>
      <c r="EC54" s="866"/>
      <c r="ED54" s="866"/>
      <c r="EE54" s="866"/>
      <c r="EF54" s="866"/>
      <c r="EG54" s="866"/>
      <c r="EH54" s="866"/>
      <c r="EI54" s="866"/>
      <c r="EJ54" s="866"/>
      <c r="EK54" s="866"/>
      <c r="EL54" s="866"/>
      <c r="EM54" s="866"/>
      <c r="EN54" s="866"/>
      <c r="EO54" s="866"/>
      <c r="EP54" s="866"/>
      <c r="EQ54" s="866"/>
      <c r="ER54" s="866"/>
      <c r="ES54" s="866"/>
      <c r="ET54" s="866"/>
      <c r="EU54" s="866"/>
      <c r="EV54" s="866"/>
      <c r="EW54" s="866"/>
      <c r="EX54" s="866"/>
      <c r="EY54" s="866"/>
      <c r="EZ54" s="866"/>
      <c r="FA54" s="866"/>
      <c r="FB54" s="866"/>
      <c r="FC54" s="866"/>
      <c r="FD54" s="866"/>
      <c r="FE54" s="866"/>
      <c r="FF54" s="866"/>
      <c r="FG54" s="866"/>
      <c r="FH54" s="866"/>
      <c r="FI54" s="866"/>
      <c r="FJ54" s="866"/>
      <c r="FK54" s="866"/>
      <c r="FL54" s="866"/>
      <c r="FM54" s="866"/>
      <c r="FN54" s="866"/>
      <c r="FO54" s="866"/>
      <c r="FP54" s="866"/>
      <c r="FQ54" s="866"/>
      <c r="FR54" s="866"/>
      <c r="FS54" s="866"/>
      <c r="FT54" s="866"/>
      <c r="FU54" s="866"/>
      <c r="FV54" s="866"/>
      <c r="FW54" s="866"/>
      <c r="FX54" s="868"/>
      <c r="FY54" s="868"/>
      <c r="FZ54" s="868"/>
      <c r="GA54" s="868"/>
      <c r="GB54" s="868"/>
      <c r="GC54" s="849">
        <v>12</v>
      </c>
    </row>
    <row r="55" spans="1:185" s="852" customFormat="1" ht="12.75" customHeight="1">
      <c r="A55" s="868"/>
      <c r="B55" s="868"/>
      <c r="C55" s="868"/>
      <c r="D55" s="868"/>
      <c r="E55" s="868"/>
      <c r="FX55" s="868"/>
      <c r="FY55" s="868"/>
      <c r="FZ55" s="868"/>
      <c r="GA55" s="868"/>
      <c r="GB55" s="868"/>
      <c r="GC55" s="849">
        <v>12</v>
      </c>
    </row>
    <row r="56" spans="1:185" s="989" customFormat="1" ht="12.75" customHeight="1">
      <c r="A56" s="988"/>
      <c r="B56" s="988"/>
      <c r="C56" s="988"/>
      <c r="D56" s="988"/>
      <c r="E56" s="988"/>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0"/>
      <c r="AR56" s="990"/>
      <c r="AS56" s="990"/>
      <c r="AT56" s="990"/>
      <c r="AU56" s="990"/>
      <c r="AV56" s="990"/>
      <c r="AW56" s="990"/>
      <c r="AX56" s="990"/>
      <c r="AY56" s="990"/>
      <c r="AZ56" s="990"/>
      <c r="BA56" s="990"/>
      <c r="BB56" s="990"/>
      <c r="BC56" s="990"/>
      <c r="BD56" s="990"/>
      <c r="BE56" s="990"/>
      <c r="BF56" s="990"/>
      <c r="BG56" s="990"/>
      <c r="BH56" s="990"/>
      <c r="BI56" s="990"/>
      <c r="BJ56" s="990"/>
      <c r="BK56" s="990"/>
      <c r="BL56" s="990"/>
      <c r="BM56" s="990"/>
      <c r="BN56" s="990"/>
      <c r="BO56" s="990"/>
      <c r="BP56" s="990"/>
      <c r="BQ56" s="990"/>
      <c r="BR56" s="990"/>
      <c r="BS56" s="990"/>
      <c r="BT56" s="991"/>
      <c r="BU56" s="991"/>
      <c r="BV56" s="991"/>
      <c r="BW56" s="991"/>
      <c r="BX56" s="991"/>
      <c r="BY56" s="991"/>
      <c r="BZ56" s="991"/>
      <c r="CA56" s="991"/>
      <c r="CB56" s="991"/>
      <c r="CC56" s="991"/>
      <c r="CD56" s="991"/>
      <c r="CE56" s="991"/>
      <c r="CF56" s="991"/>
      <c r="CG56" s="991"/>
      <c r="CH56" s="991"/>
      <c r="CI56" s="991"/>
      <c r="CJ56" s="991"/>
      <c r="CK56" s="991"/>
      <c r="CL56" s="991"/>
      <c r="CM56" s="991"/>
      <c r="CN56" s="991"/>
      <c r="CO56" s="991"/>
      <c r="CP56" s="991"/>
      <c r="CQ56" s="991"/>
      <c r="CR56" s="991"/>
      <c r="CS56" s="991"/>
      <c r="CT56" s="991"/>
      <c r="CU56" s="991"/>
      <c r="CV56" s="991"/>
      <c r="CW56" s="991"/>
      <c r="CX56" s="991"/>
      <c r="CY56" s="991"/>
      <c r="CZ56" s="991"/>
      <c r="DA56" s="991"/>
      <c r="DB56" s="991"/>
      <c r="DC56" s="991"/>
      <c r="DD56" s="991"/>
      <c r="DE56" s="991"/>
      <c r="DF56" s="991"/>
      <c r="DG56" s="991"/>
      <c r="DH56" s="991"/>
      <c r="DI56" s="991"/>
      <c r="DJ56" s="991"/>
      <c r="DK56" s="991"/>
      <c r="DL56" s="991"/>
      <c r="DM56" s="991"/>
      <c r="DN56" s="991"/>
      <c r="DO56" s="991"/>
      <c r="DP56" s="991"/>
      <c r="DQ56" s="991"/>
      <c r="DR56" s="991"/>
      <c r="DS56" s="991"/>
      <c r="DT56" s="991"/>
      <c r="DU56" s="991"/>
      <c r="DV56" s="991"/>
      <c r="DW56" s="991"/>
      <c r="DX56" s="991"/>
      <c r="FX56" s="988"/>
      <c r="FY56" s="988"/>
      <c r="FZ56" s="988"/>
      <c r="GA56" s="988"/>
      <c r="GB56" s="988"/>
      <c r="GC56" s="989">
        <v>12</v>
      </c>
    </row>
    <row r="57" spans="1:185" ht="12.75" customHeight="1">
      <c r="S57" s="865"/>
      <c r="T57" s="865"/>
      <c r="U57" s="865"/>
      <c r="V57" s="865"/>
      <c r="W57" s="865"/>
      <c r="X57" s="865"/>
      <c r="Y57" s="865"/>
      <c r="Z57" s="865"/>
      <c r="AA57" s="865"/>
      <c r="AB57" s="865"/>
      <c r="FX57" s="865"/>
      <c r="FY57" s="865"/>
      <c r="FZ57" s="865"/>
      <c r="GA57" s="865"/>
      <c r="GB57" s="865"/>
      <c r="GC57" s="853">
        <v>12</v>
      </c>
    </row>
    <row r="58" spans="1:185" ht="12" hidden="1" customHeight="1">
      <c r="A58" s="853" t="s">
        <v>70</v>
      </c>
      <c r="B58" s="863">
        <v>0</v>
      </c>
      <c r="C58" s="853">
        <v>0</v>
      </c>
      <c r="D58" s="853">
        <v>0</v>
      </c>
      <c r="E58" s="853">
        <v>3</v>
      </c>
      <c r="F58" s="853">
        <v>6</v>
      </c>
      <c r="G58" s="853">
        <v>18</v>
      </c>
      <c r="H58" s="853">
        <v>27</v>
      </c>
      <c r="I58" s="853">
        <v>18</v>
      </c>
      <c r="J58" s="853">
        <v>0</v>
      </c>
      <c r="K58" s="853">
        <v>0</v>
      </c>
      <c r="L58" s="853">
        <v>0</v>
      </c>
      <c r="M58" s="853">
        <v>0</v>
      </c>
      <c r="N58" s="853">
        <v>0</v>
      </c>
      <c r="O58" s="853">
        <v>0</v>
      </c>
      <c r="P58" s="853">
        <v>0</v>
      </c>
      <c r="Q58" s="853">
        <v>0</v>
      </c>
      <c r="R58" s="853">
        <v>0</v>
      </c>
      <c r="S58" s="853">
        <v>0</v>
      </c>
      <c r="T58" s="853">
        <v>0</v>
      </c>
      <c r="U58" s="853">
        <v>0</v>
      </c>
      <c r="V58" s="853">
        <v>0</v>
      </c>
      <c r="W58" s="853">
        <v>0</v>
      </c>
      <c r="X58" s="853">
        <v>0</v>
      </c>
      <c r="Y58" s="853">
        <v>0</v>
      </c>
      <c r="Z58" s="853">
        <v>0</v>
      </c>
      <c r="AA58" s="853">
        <v>0</v>
      </c>
      <c r="AB58" s="853">
        <v>0</v>
      </c>
      <c r="AC58" s="853">
        <v>0</v>
      </c>
      <c r="AD58" s="853">
        <v>0</v>
      </c>
      <c r="AE58" s="853">
        <v>0</v>
      </c>
      <c r="AF58" s="853">
        <v>0</v>
      </c>
      <c r="AG58" s="853">
        <v>0</v>
      </c>
      <c r="AH58" s="853">
        <v>0</v>
      </c>
      <c r="AI58" s="853">
        <v>0</v>
      </c>
      <c r="AJ58" s="853">
        <v>0</v>
      </c>
      <c r="AK58" s="853">
        <v>0</v>
      </c>
      <c r="AL58" s="853">
        <v>0</v>
      </c>
      <c r="AM58" s="853">
        <v>0</v>
      </c>
      <c r="AN58" s="853">
        <v>0</v>
      </c>
      <c r="AO58" s="853">
        <v>0</v>
      </c>
      <c r="AP58" s="853">
        <v>0</v>
      </c>
      <c r="AQ58" s="853">
        <v>0</v>
      </c>
      <c r="AR58" s="853">
        <v>0</v>
      </c>
      <c r="AS58" s="853">
        <v>0</v>
      </c>
      <c r="AT58" s="853">
        <v>0</v>
      </c>
      <c r="AU58" s="853">
        <v>0</v>
      </c>
      <c r="AV58" s="853">
        <v>0</v>
      </c>
      <c r="AW58" s="853">
        <v>0</v>
      </c>
      <c r="AX58" s="853">
        <v>0</v>
      </c>
      <c r="AY58" s="853">
        <v>0</v>
      </c>
      <c r="AZ58" s="853">
        <v>0</v>
      </c>
      <c r="BA58" s="853">
        <v>0</v>
      </c>
      <c r="BB58" s="853">
        <v>0</v>
      </c>
      <c r="BC58" s="853">
        <v>0</v>
      </c>
      <c r="BD58" s="853">
        <v>0</v>
      </c>
      <c r="BE58" s="853">
        <v>0</v>
      </c>
      <c r="BF58" s="853">
        <v>0</v>
      </c>
      <c r="BG58" s="853">
        <v>0</v>
      </c>
      <c r="BH58" s="853">
        <v>0</v>
      </c>
      <c r="BI58" s="853">
        <v>0</v>
      </c>
      <c r="BJ58" s="853">
        <v>0</v>
      </c>
      <c r="BK58" s="853">
        <v>0</v>
      </c>
      <c r="BL58" s="853">
        <v>0</v>
      </c>
      <c r="BM58" s="853">
        <v>0</v>
      </c>
      <c r="BN58" s="853">
        <v>0</v>
      </c>
      <c r="BO58" s="853">
        <v>0</v>
      </c>
      <c r="BP58" s="853">
        <v>0</v>
      </c>
      <c r="BQ58" s="853">
        <v>0</v>
      </c>
      <c r="BR58" s="853">
        <v>0</v>
      </c>
      <c r="BS58" s="853">
        <v>0</v>
      </c>
      <c r="BT58" s="853">
        <v>0</v>
      </c>
      <c r="BU58" s="853">
        <v>0</v>
      </c>
      <c r="BV58" s="853">
        <v>0</v>
      </c>
      <c r="BW58" s="853">
        <v>0</v>
      </c>
      <c r="BX58" s="853">
        <v>0</v>
      </c>
      <c r="BY58" s="853">
        <v>0</v>
      </c>
      <c r="BZ58" s="853">
        <v>0</v>
      </c>
      <c r="CA58" s="853">
        <v>0</v>
      </c>
      <c r="CB58" s="853">
        <v>0</v>
      </c>
      <c r="CC58" s="853">
        <v>0</v>
      </c>
      <c r="CD58" s="853">
        <v>0</v>
      </c>
      <c r="CE58" s="853">
        <v>0</v>
      </c>
      <c r="CF58" s="853">
        <v>0</v>
      </c>
      <c r="CG58" s="853">
        <v>0</v>
      </c>
      <c r="CH58" s="853">
        <v>0</v>
      </c>
      <c r="CI58" s="853">
        <v>0</v>
      </c>
      <c r="CJ58" s="853">
        <v>0</v>
      </c>
      <c r="CK58" s="853">
        <v>0</v>
      </c>
      <c r="CL58" s="853">
        <v>0</v>
      </c>
      <c r="CM58" s="853">
        <v>0</v>
      </c>
      <c r="CN58" s="853">
        <v>0</v>
      </c>
      <c r="CO58" s="853">
        <v>0</v>
      </c>
      <c r="CP58" s="853">
        <v>0</v>
      </c>
      <c r="CQ58" s="853">
        <v>0</v>
      </c>
      <c r="CR58" s="853">
        <v>0</v>
      </c>
      <c r="CS58" s="853">
        <v>0</v>
      </c>
      <c r="CT58" s="853">
        <v>0</v>
      </c>
      <c r="CU58" s="853">
        <v>0</v>
      </c>
      <c r="CV58" s="853">
        <v>0</v>
      </c>
      <c r="CW58" s="853">
        <v>0</v>
      </c>
      <c r="CX58" s="853">
        <v>0</v>
      </c>
      <c r="CY58" s="853">
        <v>0</v>
      </c>
      <c r="CZ58" s="853">
        <v>0</v>
      </c>
      <c r="DA58" s="853">
        <v>0</v>
      </c>
      <c r="DB58" s="853">
        <v>0</v>
      </c>
      <c r="DC58" s="853">
        <v>0</v>
      </c>
      <c r="DD58" s="853">
        <v>0</v>
      </c>
      <c r="DE58" s="853">
        <v>0</v>
      </c>
      <c r="DF58" s="853">
        <v>0</v>
      </c>
      <c r="DG58" s="853">
        <v>0</v>
      </c>
      <c r="DH58" s="853">
        <v>0</v>
      </c>
      <c r="DI58" s="853">
        <v>0</v>
      </c>
      <c r="DJ58" s="853">
        <v>0</v>
      </c>
      <c r="DK58" s="853">
        <v>0</v>
      </c>
      <c r="DL58" s="853">
        <v>0</v>
      </c>
      <c r="DM58" s="853">
        <v>0</v>
      </c>
      <c r="DN58" s="853">
        <v>0</v>
      </c>
      <c r="DO58" s="853">
        <v>0</v>
      </c>
      <c r="DP58" s="853">
        <v>0</v>
      </c>
      <c r="DQ58" s="853">
        <v>0</v>
      </c>
      <c r="DR58" s="853">
        <v>0</v>
      </c>
      <c r="DS58" s="853">
        <v>0</v>
      </c>
      <c r="DT58" s="853">
        <v>0</v>
      </c>
      <c r="DU58" s="853">
        <v>0</v>
      </c>
      <c r="DV58" s="853">
        <v>0</v>
      </c>
      <c r="DW58" s="853">
        <v>0</v>
      </c>
      <c r="DX58" s="853">
        <v>0</v>
      </c>
      <c r="DY58" s="853">
        <v>0</v>
      </c>
      <c r="DZ58" s="853">
        <v>0</v>
      </c>
      <c r="EA58" s="853">
        <v>0</v>
      </c>
      <c r="EB58" s="853">
        <v>0</v>
      </c>
      <c r="EC58" s="853">
        <v>0</v>
      </c>
      <c r="ED58" s="853">
        <v>0</v>
      </c>
      <c r="EE58" s="853">
        <v>0</v>
      </c>
      <c r="EF58" s="853">
        <v>0</v>
      </c>
      <c r="EG58" s="853">
        <v>0</v>
      </c>
      <c r="EH58" s="853">
        <v>0</v>
      </c>
      <c r="EI58" s="853">
        <v>0</v>
      </c>
      <c r="EJ58" s="853">
        <v>0</v>
      </c>
      <c r="EK58" s="853">
        <v>0</v>
      </c>
      <c r="EL58" s="853">
        <v>0</v>
      </c>
      <c r="EM58" s="853">
        <v>0</v>
      </c>
      <c r="EN58" s="853">
        <v>0</v>
      </c>
      <c r="EO58" s="853">
        <v>0</v>
      </c>
      <c r="EP58" s="853">
        <v>0</v>
      </c>
      <c r="EQ58" s="853">
        <v>0</v>
      </c>
      <c r="ER58" s="853">
        <v>0</v>
      </c>
      <c r="ES58" s="853">
        <v>0</v>
      </c>
      <c r="ET58" s="853">
        <v>0</v>
      </c>
      <c r="EU58" s="853">
        <v>0</v>
      </c>
      <c r="EV58" s="853">
        <v>0</v>
      </c>
      <c r="EW58" s="853">
        <v>0</v>
      </c>
      <c r="EX58" s="853">
        <v>0</v>
      </c>
      <c r="EY58" s="853">
        <v>0</v>
      </c>
      <c r="EZ58" s="853">
        <v>0</v>
      </c>
      <c r="FA58" s="853">
        <v>0</v>
      </c>
      <c r="FB58" s="853">
        <v>0</v>
      </c>
      <c r="FC58" s="853">
        <v>0</v>
      </c>
      <c r="FD58" s="853">
        <v>0</v>
      </c>
      <c r="FE58" s="853">
        <v>0</v>
      </c>
      <c r="FF58" s="853">
        <v>0</v>
      </c>
      <c r="FG58" s="853">
        <v>0</v>
      </c>
      <c r="FH58" s="853">
        <v>0</v>
      </c>
      <c r="FI58" s="853">
        <v>0</v>
      </c>
      <c r="FJ58" s="853">
        <v>0</v>
      </c>
      <c r="FK58" s="853">
        <v>0</v>
      </c>
      <c r="FL58" s="853">
        <v>0</v>
      </c>
      <c r="FM58" s="853">
        <v>0</v>
      </c>
      <c r="FN58" s="853">
        <v>0</v>
      </c>
      <c r="FO58" s="853">
        <v>0</v>
      </c>
      <c r="FP58" s="853">
        <v>0</v>
      </c>
      <c r="FQ58" s="853">
        <v>0</v>
      </c>
      <c r="FR58" s="853">
        <v>0</v>
      </c>
      <c r="FS58" s="853">
        <v>0</v>
      </c>
      <c r="FT58" s="853">
        <v>0</v>
      </c>
      <c r="FU58" s="853">
        <v>0</v>
      </c>
      <c r="FV58" s="853">
        <v>0</v>
      </c>
      <c r="FW58" s="853">
        <v>0</v>
      </c>
      <c r="FX58" s="853">
        <v>8</v>
      </c>
      <c r="FY58" s="853">
        <v>8</v>
      </c>
      <c r="FZ58" s="853">
        <v>8</v>
      </c>
      <c r="GA58" s="853">
        <v>8</v>
      </c>
      <c r="GB58" s="853">
        <v>8</v>
      </c>
      <c r="GC58" s="853">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691">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30">
      <formula1>-9.99999999999999E+23</formula1>
      <formula2>9.99999999999999E+23</formula2>
    </dataValidation>
    <dataValidation type="decimal" allowBlank="1" showErrorMessage="1" errorTitle="Ошибка" error="Допускается ввод только действительных чисел!" sqref="DI30">
      <formula1>-9.99999999999999E+23</formula1>
      <formula2>9.99999999999999E+23</formula2>
    </dataValidation>
    <dataValidation type="decimal" allowBlank="1" showErrorMessage="1" errorTitle="Ошибка" error="Допускается ввод только действительных чисел!" sqref="DH30">
      <formula1>-9.99999999999999E+23</formula1>
      <formula2>9.99999999999999E+23</formula2>
    </dataValidation>
    <dataValidation type="decimal" allowBlank="1" showErrorMessage="1" errorTitle="Ошибка" error="Допускается ввод только действительных чисел!" sqref="DG30">
      <formula1>-9.99999999999999E+23</formula1>
      <formula2>9.99999999999999E+23</formula2>
    </dataValidation>
    <dataValidation type="decimal" allowBlank="1" showErrorMessage="1" errorTitle="Ошибка" error="Допускается ввод только действительных чисел!" sqref="DF30">
      <formula1>-9.99999999999999E+23</formula1>
      <formula2>9.99999999999999E+23</formula2>
    </dataValidation>
    <dataValidation type="decimal" allowBlank="1" showErrorMessage="1" errorTitle="Ошибка" error="Допускается ввод только действительных чисел!" sqref="DE30">
      <formula1>-9.99999999999999E+23</formula1>
      <formula2>9.99999999999999E+23</formula2>
    </dataValidation>
    <dataValidation type="decimal" allowBlank="1" showErrorMessage="1" errorTitle="Ошибка" error="Допускается ввод только действительных чисел!" sqref="DD30">
      <formula1>-9.99999999999999E+23</formula1>
      <formula2>9.99999999999999E+23</formula2>
    </dataValidation>
    <dataValidation type="decimal" allowBlank="1" showErrorMessage="1" errorTitle="Ошибка" error="Допускается ввод только действительных чисел!" sqref="DC30">
      <formula1>-9.99999999999999E+23</formula1>
      <formula2>9.99999999999999E+23</formula2>
    </dataValidation>
    <dataValidation type="decimal" allowBlank="1" showErrorMessage="1" errorTitle="Ошибка" error="Допускается ввод только действительных чисел!" sqref="DB30">
      <formula1>-9.99999999999999E+23</formula1>
      <formula2>9.99999999999999E+23</formula2>
    </dataValidation>
    <dataValidation type="decimal" allowBlank="1" showErrorMessage="1" errorTitle="Ошибка" error="Допускается ввод только действительных чисел!" sqref="DA30">
      <formula1>-9.99999999999999E+23</formula1>
      <formula2>9.99999999999999E+23</formula2>
    </dataValidation>
    <dataValidation type="decimal" allowBlank="1" showErrorMessage="1" errorTitle="Ошибка" error="Допускается ввод только действительных чисел!" sqref="CZ30">
      <formula1>-9.99999999999999E+23</formula1>
      <formula2>9.99999999999999E+23</formula2>
    </dataValidation>
    <dataValidation type="decimal" allowBlank="1" showErrorMessage="1" errorTitle="Ошибка" error="Допускается ввод только действительных чисел!" sqref="CY30">
      <formula1>-9.99999999999999E+23</formula1>
      <formula2>9.99999999999999E+23</formula2>
    </dataValidation>
    <dataValidation type="decimal" allowBlank="1" showErrorMessage="1" errorTitle="Ошибка" error="Допускается ввод только действительных чисел!" sqref="CK30">
      <formula1>-9.99999999999999E+23</formula1>
      <formula2>9.99999999999999E+23</formula2>
    </dataValidation>
    <dataValidation type="decimal" allowBlank="1" showErrorMessage="1" errorTitle="Ошибка" error="Допускается ввод только действительных чисел!" sqref="CJ30">
      <formula1>-9.99999999999999E+23</formula1>
      <formula2>9.99999999999999E+23</formula2>
    </dataValidation>
    <dataValidation type="decimal" allowBlank="1" showErrorMessage="1" errorTitle="Ошибка" error="Допускается ввод только действительных чисел!" sqref="CI30">
      <formula1>-9.99999999999999E+23</formula1>
      <formula2>9.99999999999999E+23</formula2>
    </dataValidation>
    <dataValidation type="decimal" allowBlank="1" showErrorMessage="1" errorTitle="Ошибка" error="Допускается ввод только действительных чисел!" sqref="CH30">
      <formula1>-9.99999999999999E+23</formula1>
      <formula2>9.99999999999999E+23</formula2>
    </dataValidation>
    <dataValidation type="decimal" allowBlank="1" showErrorMessage="1" errorTitle="Ошибка" error="Допускается ввод только действительных чисел!" sqref="CG30">
      <formula1>-9.99999999999999E+23</formula1>
      <formula2>9.99999999999999E+23</formula2>
    </dataValidation>
    <dataValidation type="decimal" allowBlank="1" showErrorMessage="1" errorTitle="Ошибка" error="Допускается ввод только действительных чисел!" sqref="CF30">
      <formula1>-9.99999999999999E+23</formula1>
      <formula2>9.99999999999999E+23</formula2>
    </dataValidation>
    <dataValidation type="decimal" allowBlank="1" showErrorMessage="1" errorTitle="Ошибка" error="Допускается ввод только действительных чисел!" sqref="CE30">
      <formula1>-9.99999999999999E+23</formula1>
      <formula2>9.99999999999999E+23</formula2>
    </dataValidation>
    <dataValidation type="decimal" allowBlank="1" showErrorMessage="1" errorTitle="Ошибка" error="Допускается ввод только действительных чисел!" sqref="CD30">
      <formula1>-9.99999999999999E+23</formula1>
      <formula2>9.99999999999999E+23</formula2>
    </dataValidation>
    <dataValidation type="decimal" allowBlank="1" showErrorMessage="1" errorTitle="Ошибка" error="Допускается ввод только действительных чисел!" sqref="CC30">
      <formula1>-9.99999999999999E+23</formula1>
      <formula2>9.99999999999999E+23</formula2>
    </dataValidation>
    <dataValidation type="decimal" allowBlank="1" showErrorMessage="1" errorTitle="Ошибка" error="Допускается ввод только действительных чисел!" sqref="CB30">
      <formula1>-9.99999999999999E+23</formula1>
      <formula2>9.99999999999999E+23</formula2>
    </dataValidation>
    <dataValidation type="decimal" allowBlank="1" showErrorMessage="1" errorTitle="Ошибка" error="Допускается ввод только действительных чисел!" sqref="CA30">
      <formula1>-9.99999999999999E+23</formula1>
      <formula2>9.99999999999999E+23</formula2>
    </dataValidation>
    <dataValidation type="decimal" allowBlank="1" showErrorMessage="1" errorTitle="Ошибка" error="Допускается ввод только действительных чисел!" sqref="BZ30">
      <formula1>-9.99999999999999E+23</formula1>
      <formula2>9.99999999999999E+23</formula2>
    </dataValidation>
    <dataValidation type="decimal" allowBlank="1" showErrorMessage="1" errorTitle="Ошибка" error="Допускается ввод только действительных чисел!" sqref="BY30">
      <formula1>-9.99999999999999E+23</formula1>
      <formula2>9.99999999999999E+23</formula2>
    </dataValidation>
    <dataValidation type="decimal" allowBlank="1" showErrorMessage="1" errorTitle="Ошибка" error="Допускается ввод только действительных чисел!" sqref="BX30">
      <formula1>-9.99999999999999E+23</formula1>
      <formula2>9.99999999999999E+23</formula2>
    </dataValidation>
    <dataValidation type="decimal" allowBlank="1" showErrorMessage="1" errorTitle="Ошибка" error="Допускается ввод только действительных чисел!" sqref="BW30">
      <formula1>-9.99999999999999E+23</formula1>
      <formula2>9.99999999999999E+23</formula2>
    </dataValidation>
    <dataValidation type="decimal" allowBlank="1" showErrorMessage="1" errorTitle="Ошибка" error="Допускается ввод только действительных чисел!" sqref="BV30">
      <formula1>-9.99999999999999E+23</formula1>
      <formula2>9.99999999999999E+23</formula2>
    </dataValidation>
    <dataValidation type="decimal" allowBlank="1" showErrorMessage="1" errorTitle="Ошибка" error="Допускается ввод только действительных чисел!" sqref="BU30">
      <formula1>-9.99999999999999E+23</formula1>
      <formula2>9.99999999999999E+23</formula2>
    </dataValidation>
    <dataValidation type="decimal" allowBlank="1" showErrorMessage="1" errorTitle="Ошибка" error="Допускается ввод только действительных чисел!" sqref="BT30">
      <formula1>-9.99999999999999E+23</formula1>
      <formula2>9.99999999999999E+23</formula2>
    </dataValidation>
    <dataValidation type="decimal" allowBlank="1" showErrorMessage="1" errorTitle="Ошибка" error="Допускается ввод только действительных чисел!" sqref="AB30">
      <formula1>-9.99999999999999E+23</formula1>
      <formula2>9.99999999999999E+23</formula2>
    </dataValidation>
    <dataValidation type="decimal" allowBlank="1" showErrorMessage="1" errorTitle="Ошибка" error="Допускается ввод только действительных чисел!" sqref="AA30">
      <formula1>-9.99999999999999E+23</formula1>
      <formula2>9.99999999999999E+23</formula2>
    </dataValidation>
    <dataValidation type="decimal" allowBlank="1" showErrorMessage="1" errorTitle="Ошибка" error="Допускается ввод только действительных чисел!" sqref="Z30">
      <formula1>-9.99999999999999E+23</formula1>
      <formula2>9.99999999999999E+23</formula2>
    </dataValidation>
    <dataValidation type="decimal" allowBlank="1" showErrorMessage="1" errorTitle="Ошибка" error="Допускается ввод только действительных чисел!" sqref="Y30">
      <formula1>-9.99999999999999E+23</formula1>
      <formula2>9.99999999999999E+23</formula2>
    </dataValidation>
    <dataValidation type="decimal" allowBlank="1" showErrorMessage="1" errorTitle="Ошибка" error="Допускается ввод только действительных чисел!" sqref="X30">
      <formula1>-9.99999999999999E+23</formula1>
      <formula2>9.99999999999999E+23</formula2>
    </dataValidation>
    <dataValidation type="decimal" allowBlank="1" showErrorMessage="1" errorTitle="Ошибка" error="Допускается ввод только действительных чисел!" sqref="W30">
      <formula1>-9.99999999999999E+23</formula1>
      <formula2>9.99999999999999E+23</formula2>
    </dataValidation>
    <dataValidation type="decimal" allowBlank="1" showErrorMessage="1" errorTitle="Ошибка" error="Допускается ввод только действительных чисел!" sqref="V30">
      <formula1>-9.99999999999999E+23</formula1>
      <formula2>9.99999999999999E+23</formula2>
    </dataValidation>
    <dataValidation type="decimal" allowBlank="1" showErrorMessage="1" errorTitle="Ошибка" error="Допускается ввод только действительных чисел!" sqref="U30">
      <formula1>-9.99999999999999E+23</formula1>
      <formula2>9.99999999999999E+23</formula2>
    </dataValidation>
    <dataValidation type="decimal" allowBlank="1" showErrorMessage="1" errorTitle="Ошибка" error="Допускается ввод только действительных чисел!" sqref="T30">
      <formula1>-9.99999999999999E+23</formula1>
      <formula2>9.99999999999999E+23</formula2>
    </dataValidation>
    <dataValidation type="decimal" allowBlank="1" showErrorMessage="1" errorTitle="Ошибка" error="Допускается ввод только действительных чисел!" sqref="S30">
      <formula1>-9.99999999999999E+23</formula1>
      <formula2>9.99999999999999E+23</formula2>
    </dataValidation>
    <dataValidation type="decimal" allowBlank="1" showErrorMessage="1" errorTitle="Ошибка" error="Допускается ввод только действительных чисел!" sqref="R30">
      <formula1>-9.99999999999999E+23</formula1>
      <formula2>9.99999999999999E+23</formula2>
    </dataValidation>
    <dataValidation type="decimal" allowBlank="1" showErrorMessage="1" errorTitle="Ошибка" error="Допускается ввод только действительных чисел!" sqref="Q30">
      <formula1>-9.99999999999999E+23</formula1>
      <formula2>9.99999999999999E+23</formula2>
    </dataValidation>
    <dataValidation type="decimal" allowBlank="1" showErrorMessage="1" errorTitle="Ошибка" error="Допускается ввод только действительных чисел!" sqref="P30">
      <formula1>-9.99999999999999E+23</formula1>
      <formula2>9.99999999999999E+23</formula2>
    </dataValidation>
    <dataValidation type="decimal" allowBlank="1" showErrorMessage="1" errorTitle="Ошибка" error="Допускается ввод только действительных чисел!" sqref="O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0">
      <formula1>900</formula1>
    </dataValidation>
    <dataValidation type="list" allowBlank="1" showInputMessage="1" showErrorMessage="1" errorTitle="Ошибка" error="Выберите значение из списка" prompt="Выберите значение из списка" sqref="H30">
      <formula1>QRE_METHOD_LIST</formula1>
    </dataValidation>
    <dataValidation type="decimal" allowBlank="1" showErrorMessage="1" errorTitle="Ошибка" error="Допускается ввод только действительных чисел!" sqref="DJ29">
      <formula1>-9.99999999999999E+23</formula1>
      <formula2>9.99999999999999E+23</formula2>
    </dataValidation>
    <dataValidation type="decimal" allowBlank="1" showErrorMessage="1" errorTitle="Ошибка" error="Допускается ввод только действительных чисел!" sqref="DI29">
      <formula1>-9.99999999999999E+23</formula1>
      <formula2>9.99999999999999E+23</formula2>
    </dataValidation>
    <dataValidation type="decimal" allowBlank="1" showErrorMessage="1" errorTitle="Ошибка" error="Допускается ввод только действительных чисел!" sqref="DH29">
      <formula1>-9.99999999999999E+23</formula1>
      <formula2>9.99999999999999E+23</formula2>
    </dataValidation>
    <dataValidation type="decimal" allowBlank="1" showErrorMessage="1" errorTitle="Ошибка" error="Допускается ввод только действительных чисел!" sqref="DG29">
      <formula1>-9.99999999999999E+23</formula1>
      <formula2>9.99999999999999E+23</formula2>
    </dataValidation>
    <dataValidation type="decimal" allowBlank="1" showErrorMessage="1" errorTitle="Ошибка" error="Допускается ввод только действительных чисел!" sqref="DF29">
      <formula1>-9.99999999999999E+23</formula1>
      <formula2>9.99999999999999E+23</formula2>
    </dataValidation>
    <dataValidation type="decimal" allowBlank="1" showErrorMessage="1" errorTitle="Ошибка" error="Допускается ввод только действительных чисел!" sqref="DE29">
      <formula1>-9.99999999999999E+23</formula1>
      <formula2>9.99999999999999E+23</formula2>
    </dataValidation>
    <dataValidation type="decimal" allowBlank="1" showErrorMessage="1" errorTitle="Ошибка" error="Допускается ввод только действительных чисел!" sqref="DD29">
      <formula1>-9.99999999999999E+23</formula1>
      <formula2>9.99999999999999E+23</formula2>
    </dataValidation>
    <dataValidation type="decimal" allowBlank="1" showErrorMessage="1" errorTitle="Ошибка" error="Допускается ввод только действительных чисел!" sqref="DC29">
      <formula1>-9.99999999999999E+23</formula1>
      <formula2>9.99999999999999E+23</formula2>
    </dataValidation>
    <dataValidation type="decimal" allowBlank="1" showErrorMessage="1" errorTitle="Ошибка" error="Допускается ввод только действительных чисел!" sqref="DB29">
      <formula1>-9.99999999999999E+23</formula1>
      <formula2>9.99999999999999E+23</formula2>
    </dataValidation>
    <dataValidation type="decimal" allowBlank="1" showErrorMessage="1" errorTitle="Ошибка" error="Допускается ввод только действительных чисел!" sqref="DA29">
      <formula1>-9.99999999999999E+23</formula1>
      <formula2>9.99999999999999E+23</formula2>
    </dataValidation>
    <dataValidation type="decimal" allowBlank="1" showErrorMessage="1" errorTitle="Ошибка" error="Допускается ввод только действительных чисел!" sqref="CZ29">
      <formula1>-9.99999999999999E+23</formula1>
      <formula2>9.99999999999999E+23</formula2>
    </dataValidation>
    <dataValidation type="decimal" allowBlank="1" showErrorMessage="1" errorTitle="Ошибка" error="Допускается ввод только действительных чисел!" sqref="CY29">
      <formula1>-9.99999999999999E+23</formula1>
      <formula2>9.99999999999999E+23</formula2>
    </dataValidation>
    <dataValidation type="decimal" allowBlank="1" showErrorMessage="1" errorTitle="Ошибка" error="Допускается ввод только действительных чисел!" sqref="CK29">
      <formula1>-9.99999999999999E+23</formula1>
      <formula2>9.99999999999999E+23</formula2>
    </dataValidation>
    <dataValidation type="decimal" allowBlank="1" showErrorMessage="1" errorTitle="Ошибка" error="Допускается ввод только действительных чисел!" sqref="CJ29">
      <formula1>-9.99999999999999E+23</formula1>
      <formula2>9.99999999999999E+23</formula2>
    </dataValidation>
    <dataValidation type="decimal" allowBlank="1" showErrorMessage="1" errorTitle="Ошибка" error="Допускается ввод только действительных чисел!" sqref="CI29">
      <formula1>-9.99999999999999E+23</formula1>
      <formula2>9.99999999999999E+23</formula2>
    </dataValidation>
    <dataValidation type="decimal" allowBlank="1" showErrorMessage="1" errorTitle="Ошибка" error="Допускается ввод только действительных чисел!" sqref="CH29">
      <formula1>-9.99999999999999E+23</formula1>
      <formula2>9.99999999999999E+23</formula2>
    </dataValidation>
    <dataValidation type="decimal" allowBlank="1" showErrorMessage="1" errorTitle="Ошибка" error="Допускается ввод только действительных чисел!" sqref="CG29">
      <formula1>-9.99999999999999E+23</formula1>
      <formula2>9.99999999999999E+23</formula2>
    </dataValidation>
    <dataValidation type="decimal" allowBlank="1" showErrorMessage="1" errorTitle="Ошибка" error="Допускается ввод только действительных чисел!" sqref="CF29">
      <formula1>-9.99999999999999E+23</formula1>
      <formula2>9.99999999999999E+23</formula2>
    </dataValidation>
    <dataValidation type="decimal" allowBlank="1" showErrorMessage="1" errorTitle="Ошибка" error="Допускается ввод только действительных чисел!" sqref="CE29">
      <formula1>-9.99999999999999E+23</formula1>
      <formula2>9.99999999999999E+23</formula2>
    </dataValidation>
    <dataValidation type="decimal" allowBlank="1" showErrorMessage="1" errorTitle="Ошибка" error="Допускается ввод только действительных чисел!" sqref="CD29">
      <formula1>-9.99999999999999E+23</formula1>
      <formula2>9.99999999999999E+23</formula2>
    </dataValidation>
    <dataValidation type="decimal" allowBlank="1" showErrorMessage="1" errorTitle="Ошибка" error="Допускается ввод только действительных чисел!" sqref="CC29">
      <formula1>-9.99999999999999E+23</formula1>
      <formula2>9.99999999999999E+23</formula2>
    </dataValidation>
    <dataValidation type="decimal" allowBlank="1" showErrorMessage="1" errorTitle="Ошибка" error="Допускается ввод только действительных чисел!" sqref="CB29">
      <formula1>-9.99999999999999E+23</formula1>
      <formula2>9.99999999999999E+23</formula2>
    </dataValidation>
    <dataValidation type="decimal" allowBlank="1" showErrorMessage="1" errorTitle="Ошибка" error="Допускается ввод только действительных чисел!" sqref="CA29">
      <formula1>-9.99999999999999E+23</formula1>
      <formula2>9.99999999999999E+23</formula2>
    </dataValidation>
    <dataValidation type="decimal" allowBlank="1" showErrorMessage="1" errorTitle="Ошибка" error="Допускается ввод только действительных чисел!" sqref="BZ29">
      <formula1>-9.99999999999999E+23</formula1>
      <formula2>9.99999999999999E+23</formula2>
    </dataValidation>
    <dataValidation type="decimal" allowBlank="1" showErrorMessage="1" errorTitle="Ошибка" error="Допускается ввод только действительных чисел!" sqref="BY29">
      <formula1>-9.99999999999999E+23</formula1>
      <formula2>9.99999999999999E+23</formula2>
    </dataValidation>
    <dataValidation type="decimal" allowBlank="1" showErrorMessage="1" errorTitle="Ошибка" error="Допускается ввод только действительных чисел!" sqref="BX29">
      <formula1>-9.99999999999999E+23</formula1>
      <formula2>9.99999999999999E+23</formula2>
    </dataValidation>
    <dataValidation type="decimal" allowBlank="1" showErrorMessage="1" errorTitle="Ошибка" error="Допускается ввод только действительных чисел!" sqref="BW29">
      <formula1>-9.99999999999999E+23</formula1>
      <formula2>9.99999999999999E+23</formula2>
    </dataValidation>
    <dataValidation type="decimal" allowBlank="1" showErrorMessage="1" errorTitle="Ошибка" error="Допускается ввод только действительных чисел!" sqref="BV29">
      <formula1>-9.99999999999999E+23</formula1>
      <formula2>9.99999999999999E+23</formula2>
    </dataValidation>
    <dataValidation type="decimal" allowBlank="1" showErrorMessage="1" errorTitle="Ошибка" error="Допускается ввод только действительных чисел!" sqref="BU29">
      <formula1>-9.99999999999999E+23</formula1>
      <formula2>9.99999999999999E+23</formula2>
    </dataValidation>
    <dataValidation type="decimal" allowBlank="1" showErrorMessage="1" errorTitle="Ошибка" error="Допускается ввод только действительных чисел!" sqref="BT29">
      <formula1>-9.99999999999999E+23</formula1>
      <formula2>9.99999999999999E+23</formula2>
    </dataValidation>
    <dataValidation type="decimal" allowBlank="1" showErrorMessage="1" errorTitle="Ошибка" error="Допускается ввод только действительных чисел!" sqref="AB29">
      <formula1>-9.99999999999999E+23</formula1>
      <formula2>9.99999999999999E+23</formula2>
    </dataValidation>
    <dataValidation type="decimal" allowBlank="1" showErrorMessage="1" errorTitle="Ошибка" error="Допускается ввод только действительных чисел!" sqref="AA29">
      <formula1>-9.99999999999999E+23</formula1>
      <formula2>9.99999999999999E+23</formula2>
    </dataValidation>
    <dataValidation type="decimal" allowBlank="1" showErrorMessage="1" errorTitle="Ошибка" error="Допускается ввод только действительных чисел!" sqref="Z29">
      <formula1>-9.99999999999999E+23</formula1>
      <formula2>9.99999999999999E+23</formula2>
    </dataValidation>
    <dataValidation type="decimal" allowBlank="1" showErrorMessage="1" errorTitle="Ошибка" error="Допускается ввод только действительных чисел!" sqref="Y29">
      <formula1>-9.99999999999999E+23</formula1>
      <formula2>9.99999999999999E+23</formula2>
    </dataValidation>
    <dataValidation type="decimal" allowBlank="1" showErrorMessage="1" errorTitle="Ошибка" error="Допускается ввод только действительных чисел!" sqref="X29">
      <formula1>-9.99999999999999E+23</formula1>
      <formula2>9.99999999999999E+23</formula2>
    </dataValidation>
    <dataValidation type="decimal" allowBlank="1" showErrorMessage="1" errorTitle="Ошибка" error="Допускается ввод только действительных чисел!" sqref="W29">
      <formula1>-9.99999999999999E+23</formula1>
      <formula2>9.99999999999999E+23</formula2>
    </dataValidation>
    <dataValidation type="decimal" allowBlank="1" showErrorMessage="1" errorTitle="Ошибка" error="Допускается ввод только действительных чисел!" sqref="V29">
      <formula1>-9.99999999999999E+23</formula1>
      <formula2>9.99999999999999E+23</formula2>
    </dataValidation>
    <dataValidation type="decimal" allowBlank="1" showErrorMessage="1" errorTitle="Ошибка" error="Допускается ввод только действительных чисел!" sqref="U29">
      <formula1>-9.99999999999999E+23</formula1>
      <formula2>9.99999999999999E+23</formula2>
    </dataValidation>
    <dataValidation type="decimal" allowBlank="1" showErrorMessage="1" errorTitle="Ошибка" error="Допускается ввод только действительных чисел!" sqref="T29">
      <formula1>-9.99999999999999E+23</formula1>
      <formula2>9.99999999999999E+23</formula2>
    </dataValidation>
    <dataValidation type="decimal" allowBlank="1" showErrorMessage="1" errorTitle="Ошибка" error="Допускается ввод только действительных чисел!" sqref="S29">
      <formula1>-9.99999999999999E+23</formula1>
      <formula2>9.99999999999999E+23</formula2>
    </dataValidation>
    <dataValidation type="decimal" allowBlank="1" showErrorMessage="1" errorTitle="Ошибка" error="Допускается ввод только действительных чисел!" sqref="R29">
      <formula1>-9.99999999999999E+23</formula1>
      <formula2>9.99999999999999E+23</formula2>
    </dataValidation>
    <dataValidation type="decimal" allowBlank="1" showErrorMessage="1" errorTitle="Ошибка" error="Допускается ввод только действительных чисел!" sqref="Q29">
      <formula1>-9.99999999999999E+23</formula1>
      <formula2>9.99999999999999E+23</formula2>
    </dataValidation>
    <dataValidation type="decimal" allowBlank="1" showErrorMessage="1" errorTitle="Ошибка" error="Допускается ввод только действительных чисел!" sqref="P29">
      <formula1>-9.99999999999999E+23</formula1>
      <formula2>9.99999999999999E+23</formula2>
    </dataValidation>
    <dataValidation type="decimal" allowBlank="1" showErrorMessage="1" errorTitle="Ошибка" error="Допускается ввод только действительных чисел!" sqref="O2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9">
      <formula1>900</formula1>
    </dataValidation>
    <dataValidation type="list" allowBlank="1" showInputMessage="1" showErrorMessage="1" errorTitle="Ошибка" error="Выберите значение из списка" prompt="Выберите значение из списка" sqref="H29">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4">
      <formula1>-9.99999999999999E+23</formula1>
      <formula2>9.99999999999999E+23</formula2>
    </dataValidation>
    <dataValidation type="decimal" allowBlank="1" showErrorMessage="1" errorTitle="Ошибка" error="Допускается ввод только действительных чисел!" sqref="DI24">
      <formula1>-9.99999999999999E+23</formula1>
      <formula2>9.99999999999999E+23</formula2>
    </dataValidation>
    <dataValidation type="decimal" allowBlank="1" showErrorMessage="1" errorTitle="Ошибка" error="Допускается ввод только действительных чисел!" sqref="DH24">
      <formula1>-9.99999999999999E+23</formula1>
      <formula2>9.99999999999999E+23</formula2>
    </dataValidation>
    <dataValidation type="decimal" allowBlank="1" showErrorMessage="1" errorTitle="Ошибка" error="Допускается ввод только действительных чисел!" sqref="DG24">
      <formula1>-9.99999999999999E+23</formula1>
      <formula2>9.99999999999999E+23</formula2>
    </dataValidation>
    <dataValidation type="decimal" allowBlank="1" showErrorMessage="1" errorTitle="Ошибка" error="Допускается ввод только действительных чисел!" sqref="DF24">
      <formula1>-9.99999999999999E+23</formula1>
      <formula2>9.99999999999999E+23</formula2>
    </dataValidation>
    <dataValidation type="decimal" allowBlank="1" showErrorMessage="1" errorTitle="Ошибка" error="Допускается ввод только действительных чисел!" sqref="DE24">
      <formula1>-9.99999999999999E+23</formula1>
      <formula2>9.99999999999999E+23</formula2>
    </dataValidation>
    <dataValidation type="decimal" allowBlank="1" showErrorMessage="1" errorTitle="Ошибка" error="Допускается ввод только действительных чисел!" sqref="DD24">
      <formula1>-9.99999999999999E+23</formula1>
      <formula2>9.99999999999999E+23</formula2>
    </dataValidation>
    <dataValidation type="decimal" allowBlank="1" showErrorMessage="1" errorTitle="Ошибка" error="Допускается ввод только действительных чисел!" sqref="DC24">
      <formula1>-9.99999999999999E+23</formula1>
      <formula2>9.99999999999999E+23</formula2>
    </dataValidation>
    <dataValidation type="decimal" allowBlank="1" showErrorMessage="1" errorTitle="Ошибка" error="Допускается ввод только действительных чисел!" sqref="DB24">
      <formula1>-9.99999999999999E+23</formula1>
      <formula2>9.99999999999999E+23</formula2>
    </dataValidation>
    <dataValidation type="decimal" allowBlank="1" showErrorMessage="1" errorTitle="Ошибка" error="Допускается ввод только действительных чисел!" sqref="DA24">
      <formula1>-9.99999999999999E+23</formula1>
      <formula2>9.99999999999999E+23</formula2>
    </dataValidation>
    <dataValidation type="decimal" allowBlank="1" showErrorMessage="1" errorTitle="Ошибка" error="Допускается ввод только действительных чисел!" sqref="CZ24">
      <formula1>-9.99999999999999E+23</formula1>
      <formula2>9.99999999999999E+23</formula2>
    </dataValidation>
    <dataValidation type="decimal" allowBlank="1" showErrorMessage="1" errorTitle="Ошибка" error="Допускается ввод только действительных чисел!" sqref="CY24">
      <formula1>-9.99999999999999E+23</formula1>
      <formula2>9.99999999999999E+23</formula2>
    </dataValidation>
    <dataValidation type="decimal" allowBlank="1" showErrorMessage="1" errorTitle="Ошибка" error="Допускается ввод только действительных чисел!" sqref="CK24">
      <formula1>-9.99999999999999E+23</formula1>
      <formula2>9.99999999999999E+23</formula2>
    </dataValidation>
    <dataValidation type="decimal" allowBlank="1" showErrorMessage="1" errorTitle="Ошибка" error="Допускается ввод только действительных чисел!" sqref="CJ24">
      <formula1>-9.99999999999999E+23</formula1>
      <formula2>9.99999999999999E+23</formula2>
    </dataValidation>
    <dataValidation type="decimal" allowBlank="1" showErrorMessage="1" errorTitle="Ошибка" error="Допускается ввод только действительных чисел!" sqref="CI24">
      <formula1>-9.99999999999999E+23</formula1>
      <formula2>9.99999999999999E+23</formula2>
    </dataValidation>
    <dataValidation type="decimal" allowBlank="1" showErrorMessage="1" errorTitle="Ошибка" error="Допускается ввод только действительных чисел!" sqref="CH24">
      <formula1>-9.99999999999999E+23</formula1>
      <formula2>9.99999999999999E+23</formula2>
    </dataValidation>
    <dataValidation type="decimal" allowBlank="1" showErrorMessage="1" errorTitle="Ошибка" error="Допускается ввод только действительных чисел!" sqref="CG24">
      <formula1>-9.99999999999999E+23</formula1>
      <formula2>9.99999999999999E+23</formula2>
    </dataValidation>
    <dataValidation type="decimal" allowBlank="1" showErrorMessage="1" errorTitle="Ошибка" error="Допускается ввод только действительных чисел!" sqref="CF24">
      <formula1>-9.99999999999999E+23</formula1>
      <formula2>9.99999999999999E+23</formula2>
    </dataValidation>
    <dataValidation type="decimal" allowBlank="1" showErrorMessage="1" errorTitle="Ошибка" error="Допускается ввод только действительных чисел!" sqref="CE24">
      <formula1>-9.99999999999999E+23</formula1>
      <formula2>9.99999999999999E+23</formula2>
    </dataValidation>
    <dataValidation type="decimal" allowBlank="1" showErrorMessage="1" errorTitle="Ошибка" error="Допускается ввод только действительных чисел!" sqref="CD24">
      <formula1>-9.99999999999999E+23</formula1>
      <formula2>9.99999999999999E+23</formula2>
    </dataValidation>
    <dataValidation type="decimal" allowBlank="1" showErrorMessage="1" errorTitle="Ошибка" error="Допускается ввод только действительных чисел!" sqref="CC24">
      <formula1>-9.99999999999999E+23</formula1>
      <formula2>9.99999999999999E+23</formula2>
    </dataValidation>
    <dataValidation type="decimal" allowBlank="1" showErrorMessage="1" errorTitle="Ошибка" error="Допускается ввод только действительных чисел!" sqref="CB24">
      <formula1>-9.99999999999999E+23</formula1>
      <formula2>9.99999999999999E+23</formula2>
    </dataValidation>
    <dataValidation type="decimal" allowBlank="1" showErrorMessage="1" errorTitle="Ошибка" error="Допускается ввод только действительных чисел!" sqref="CA24">
      <formula1>-9.99999999999999E+23</formula1>
      <formula2>9.99999999999999E+23</formula2>
    </dataValidation>
    <dataValidation type="decimal" allowBlank="1" showErrorMessage="1" errorTitle="Ошибка" error="Допускается ввод только действительных чисел!" sqref="BZ24">
      <formula1>-9.99999999999999E+23</formula1>
      <formula2>9.99999999999999E+23</formula2>
    </dataValidation>
    <dataValidation type="decimal" allowBlank="1" showErrorMessage="1" errorTitle="Ошибка" error="Допускается ввод только действительных чисел!" sqref="BY24">
      <formula1>-9.99999999999999E+23</formula1>
      <formula2>9.99999999999999E+23</formula2>
    </dataValidation>
    <dataValidation type="decimal" allowBlank="1" showErrorMessage="1" errorTitle="Ошибка" error="Допускается ввод только действительных чисел!" sqref="BX24">
      <formula1>-9.99999999999999E+23</formula1>
      <formula2>9.99999999999999E+23</formula2>
    </dataValidation>
    <dataValidation type="decimal" allowBlank="1" showErrorMessage="1" errorTitle="Ошибка" error="Допускается ввод только действительных чисел!" sqref="BW24">
      <formula1>-9.99999999999999E+23</formula1>
      <formula2>9.99999999999999E+23</formula2>
    </dataValidation>
    <dataValidation type="decimal" allowBlank="1" showErrorMessage="1" errorTitle="Ошибка" error="Допускается ввод только действительных чисел!" sqref="BV24">
      <formula1>-9.99999999999999E+23</formula1>
      <formula2>9.99999999999999E+23</formula2>
    </dataValidation>
    <dataValidation type="decimal" allowBlank="1" showErrorMessage="1" errorTitle="Ошибка" error="Допускается ввод только действительных чисел!" sqref="BU24">
      <formula1>-9.99999999999999E+23</formula1>
      <formula2>9.99999999999999E+23</formula2>
    </dataValidation>
    <dataValidation type="decimal" allowBlank="1" showErrorMessage="1" errorTitle="Ошибка" error="Допускается ввод только действительных чисел!" sqref="BT24">
      <formula1>-9.99999999999999E+23</formula1>
      <formula2>9.99999999999999E+23</formula2>
    </dataValidation>
    <dataValidation type="decimal" allowBlank="1" showErrorMessage="1" errorTitle="Ошибка" error="Допускается ввод только действительных чисел!" sqref="AB24">
      <formula1>-9.99999999999999E+23</formula1>
      <formula2>9.99999999999999E+23</formula2>
    </dataValidation>
    <dataValidation type="decimal" allowBlank="1" showErrorMessage="1" errorTitle="Ошибка" error="Допускается ввод только действительных чисел!" sqref="AA24">
      <formula1>-9.99999999999999E+23</formula1>
      <formula2>9.99999999999999E+23</formula2>
    </dataValidation>
    <dataValidation type="decimal" allowBlank="1" showErrorMessage="1" errorTitle="Ошибка" error="Допускается ввод только действительных чисел!" sqref="Z24">
      <formula1>-9.99999999999999E+23</formula1>
      <formula2>9.99999999999999E+23</formula2>
    </dataValidation>
    <dataValidation type="decimal" allowBlank="1" showErrorMessage="1" errorTitle="Ошибка" error="Допускается ввод только действительных чисел!" sqref="Y24">
      <formula1>-9.99999999999999E+23</formula1>
      <formula2>9.99999999999999E+23</formula2>
    </dataValidation>
    <dataValidation type="decimal" allowBlank="1" showErrorMessage="1" errorTitle="Ошибка" error="Допускается ввод только действительных чисел!" sqref="X24">
      <formula1>-9.99999999999999E+23</formula1>
      <formula2>9.99999999999999E+23</formula2>
    </dataValidation>
    <dataValidation type="decimal" allowBlank="1" showErrorMessage="1" errorTitle="Ошибка" error="Допускается ввод только действительных чисел!" sqref="W24">
      <formula1>-9.99999999999999E+23</formula1>
      <formula2>9.99999999999999E+23</formula2>
    </dataValidation>
    <dataValidation type="decimal" allowBlank="1" showErrorMessage="1" errorTitle="Ошибка" error="Допускается ввод только действительных чисел!" sqref="V24">
      <formula1>-9.99999999999999E+23</formula1>
      <formula2>9.99999999999999E+23</formula2>
    </dataValidation>
    <dataValidation type="decimal" allowBlank="1" showErrorMessage="1" errorTitle="Ошибка" error="Допускается ввод только действительных чисел!" sqref="U24">
      <formula1>-9.99999999999999E+23</formula1>
      <formula2>9.99999999999999E+23</formula2>
    </dataValidation>
    <dataValidation type="decimal" allowBlank="1" showErrorMessage="1" errorTitle="Ошибка" error="Допускается ввод только действительных чисел!" sqref="T24">
      <formula1>-9.99999999999999E+23</formula1>
      <formula2>9.99999999999999E+23</formula2>
    </dataValidation>
    <dataValidation type="decimal" allowBlank="1" showErrorMessage="1" errorTitle="Ошибка" error="Допускается ввод только действительных чисел!" sqref="S24">
      <formula1>-9.99999999999999E+23</formula1>
      <formula2>9.99999999999999E+23</formula2>
    </dataValidation>
    <dataValidation type="decimal" allowBlank="1" showErrorMessage="1" errorTitle="Ошибка" error="Допускается ввод только действительных чисел!" sqref="R24">
      <formula1>-9.99999999999999E+23</formula1>
      <formula2>9.99999999999999E+23</formula2>
    </dataValidation>
    <dataValidation type="decimal" allowBlank="1" showErrorMessage="1" errorTitle="Ошибка" error="Допускается ввод только действительных чисел!" sqref="Q24">
      <formula1>-9.99999999999999E+23</formula1>
      <formula2>9.99999999999999E+23</formula2>
    </dataValidation>
    <dataValidation type="decimal" allowBlank="1" showErrorMessage="1" errorTitle="Ошибка" error="Допускается ввод только действительных чисел!" sqref="P24">
      <formula1>-9.99999999999999E+23</formula1>
      <formula2>9.99999999999999E+23</formula2>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4">
      <formula1>900</formula1>
    </dataValidation>
    <dataValidation type="list" allowBlank="1" showInputMessage="1" showErrorMessage="1" errorTitle="Ошибка" error="Выберите значение из списка" prompt="Выберите значение из списка" sqref="H24">
      <formula1>QRE_METHOD_LIST</formula1>
    </dataValidation>
    <dataValidation type="decimal" allowBlank="1" showErrorMessage="1" errorTitle="Ошибка" error="Допускается ввод только действительных чисел!" sqref="DJ52">
      <formula1>-9.99999999999999E+23</formula1>
      <formula2>9.99999999999999E+23</formula2>
    </dataValidation>
    <dataValidation type="decimal" allowBlank="1" showErrorMessage="1" errorTitle="Ошибка" error="Допускается ввод только действительных чисел!" sqref="DI52">
      <formula1>-9.99999999999999E+23</formula1>
      <formula2>9.99999999999999E+23</formula2>
    </dataValidation>
    <dataValidation type="decimal" allowBlank="1" showErrorMessage="1" errorTitle="Ошибка" error="Допускается ввод только действительных чисел!" sqref="DH52">
      <formula1>-9.99999999999999E+23</formula1>
      <formula2>9.99999999999999E+23</formula2>
    </dataValidation>
    <dataValidation type="decimal" allowBlank="1" showErrorMessage="1" errorTitle="Ошибка" error="Допускается ввод только действительных чисел!" sqref="DG52">
      <formula1>-9.99999999999999E+23</formula1>
      <formula2>9.99999999999999E+23</formula2>
    </dataValidation>
    <dataValidation type="decimal" allowBlank="1" showErrorMessage="1" errorTitle="Ошибка" error="Допускается ввод только действительных чисел!" sqref="DF52">
      <formula1>-9.99999999999999E+23</formula1>
      <formula2>9.99999999999999E+23</formula2>
    </dataValidation>
    <dataValidation type="decimal" allowBlank="1" showErrorMessage="1" errorTitle="Ошибка" error="Допускается ввод только действительных чисел!" sqref="DE52">
      <formula1>-9.99999999999999E+23</formula1>
      <formula2>9.99999999999999E+23</formula2>
    </dataValidation>
    <dataValidation type="decimal" allowBlank="1" showErrorMessage="1" errorTitle="Ошибка" error="Допускается ввод только действительных чисел!" sqref="DD52">
      <formula1>-9.99999999999999E+23</formula1>
      <formula2>9.99999999999999E+23</formula2>
    </dataValidation>
    <dataValidation type="decimal" allowBlank="1" showErrorMessage="1" errorTitle="Ошибка" error="Допускается ввод только действительных чисел!" sqref="DC52">
      <formula1>-9.99999999999999E+23</formula1>
      <formula2>9.99999999999999E+23</formula2>
    </dataValidation>
    <dataValidation type="decimal" allowBlank="1" showErrorMessage="1" errorTitle="Ошибка" error="Допускается ввод только действительных чисел!" sqref="DB52">
      <formula1>-9.99999999999999E+23</formula1>
      <formula2>9.99999999999999E+23</formula2>
    </dataValidation>
    <dataValidation type="decimal" allowBlank="1" showErrorMessage="1" errorTitle="Ошибка" error="Допускается ввод только действительных чисел!" sqref="DA52">
      <formula1>-9.99999999999999E+23</formula1>
      <formula2>9.99999999999999E+23</formula2>
    </dataValidation>
    <dataValidation type="decimal" allowBlank="1" showErrorMessage="1" errorTitle="Ошибка" error="Допускается ввод только действительных чисел!" sqref="CZ52">
      <formula1>-9.99999999999999E+23</formula1>
      <formula2>9.99999999999999E+23</formula2>
    </dataValidation>
    <dataValidation type="decimal" allowBlank="1" showErrorMessage="1" errorTitle="Ошибка" error="Допускается ввод только действительных чисел!" sqref="CY52">
      <formula1>-9.99999999999999E+23</formula1>
      <formula2>9.99999999999999E+23</formula2>
    </dataValidation>
    <dataValidation type="decimal" allowBlank="1" showErrorMessage="1" errorTitle="Ошибка" error="Допускается ввод только действительных чисел!" sqref="CK52">
      <formula1>-9.99999999999999E+23</formula1>
      <formula2>9.99999999999999E+23</formula2>
    </dataValidation>
    <dataValidation type="decimal" allowBlank="1" showErrorMessage="1" errorTitle="Ошибка" error="Допускается ввод только действительных чисел!" sqref="CJ52">
      <formula1>-9.99999999999999E+23</formula1>
      <formula2>9.99999999999999E+23</formula2>
    </dataValidation>
    <dataValidation type="decimal" allowBlank="1" showErrorMessage="1" errorTitle="Ошибка" error="Допускается ввод только действительных чисел!" sqref="CI52">
      <formula1>-9.99999999999999E+23</formula1>
      <formula2>9.99999999999999E+23</formula2>
    </dataValidation>
    <dataValidation type="decimal" allowBlank="1" showErrorMessage="1" errorTitle="Ошибка" error="Допускается ввод только действительных чисел!" sqref="CH52">
      <formula1>-9.99999999999999E+23</formula1>
      <formula2>9.99999999999999E+23</formula2>
    </dataValidation>
    <dataValidation type="decimal" allowBlank="1" showErrorMessage="1" errorTitle="Ошибка" error="Допускается ввод только действительных чисел!" sqref="CG52">
      <formula1>-9.99999999999999E+23</formula1>
      <formula2>9.99999999999999E+23</formula2>
    </dataValidation>
    <dataValidation type="decimal" allowBlank="1" showErrorMessage="1" errorTitle="Ошибка" error="Допускается ввод только действительных чисел!" sqref="CF52">
      <formula1>-9.99999999999999E+23</formula1>
      <formula2>9.99999999999999E+23</formula2>
    </dataValidation>
    <dataValidation type="decimal" allowBlank="1" showErrorMessage="1" errorTitle="Ошибка" error="Допускается ввод только действительных чисел!" sqref="CE52">
      <formula1>-9.99999999999999E+23</formula1>
      <formula2>9.99999999999999E+23</formula2>
    </dataValidation>
    <dataValidation type="decimal" allowBlank="1" showErrorMessage="1" errorTitle="Ошибка" error="Допускается ввод только действительных чисел!" sqref="CD52">
      <formula1>-9.99999999999999E+23</formula1>
      <formula2>9.99999999999999E+23</formula2>
    </dataValidation>
    <dataValidation type="decimal" allowBlank="1" showErrorMessage="1" errorTitle="Ошибка" error="Допускается ввод только действительных чисел!" sqref="CC52">
      <formula1>-9.99999999999999E+23</formula1>
      <formula2>9.99999999999999E+23</formula2>
    </dataValidation>
    <dataValidation type="decimal" allowBlank="1" showErrorMessage="1" errorTitle="Ошибка" error="Допускается ввод только действительных чисел!" sqref="CB52">
      <formula1>-9.99999999999999E+23</formula1>
      <formula2>9.99999999999999E+23</formula2>
    </dataValidation>
    <dataValidation type="decimal" allowBlank="1" showErrorMessage="1" errorTitle="Ошибка" error="Допускается ввод только действительных чисел!" sqref="CA52">
      <formula1>-9.99999999999999E+23</formula1>
      <formula2>9.99999999999999E+23</formula2>
    </dataValidation>
    <dataValidation type="decimal" allowBlank="1" showErrorMessage="1" errorTitle="Ошибка" error="Допускается ввод только действительных чисел!" sqref="BZ52">
      <formula1>-9.99999999999999E+23</formula1>
      <formula2>9.99999999999999E+23</formula2>
    </dataValidation>
    <dataValidation type="decimal" allowBlank="1" showErrorMessage="1" errorTitle="Ошибка" error="Допускается ввод только действительных чисел!" sqref="BY52">
      <formula1>-9.99999999999999E+23</formula1>
      <formula2>9.99999999999999E+23</formula2>
    </dataValidation>
    <dataValidation type="decimal" allowBlank="1" showErrorMessage="1" errorTitle="Ошибка" error="Допускается ввод только действительных чисел!" sqref="BX52">
      <formula1>-9.99999999999999E+23</formula1>
      <formula2>9.99999999999999E+23</formula2>
    </dataValidation>
    <dataValidation type="decimal" allowBlank="1" showErrorMessage="1" errorTitle="Ошибка" error="Допускается ввод только действительных чисел!" sqref="BW52">
      <formula1>-9.99999999999999E+23</formula1>
      <formula2>9.99999999999999E+23</formula2>
    </dataValidation>
    <dataValidation type="decimal" allowBlank="1" showErrorMessage="1" errorTitle="Ошибка" error="Допускается ввод только действительных чисел!" sqref="BV52">
      <formula1>-9.99999999999999E+23</formula1>
      <formula2>9.99999999999999E+23</formula2>
    </dataValidation>
    <dataValidation type="decimal" allowBlank="1" showErrorMessage="1" errorTitle="Ошибка" error="Допускается ввод только действительных чисел!" sqref="BU52">
      <formula1>-9.99999999999999E+23</formula1>
      <formula2>9.99999999999999E+23</formula2>
    </dataValidation>
    <dataValidation type="decimal" allowBlank="1" showErrorMessage="1" errorTitle="Ошибка" error="Допускается ввод только действительных чисел!" sqref="BT52">
      <formula1>-9.99999999999999E+23</formula1>
      <formula2>9.99999999999999E+23</formula2>
    </dataValidation>
    <dataValidation type="decimal" allowBlank="1" showErrorMessage="1" errorTitle="Ошибка" error="Допускается ввод только действительных чисел!" sqref="AB52">
      <formula1>-9.99999999999999E+23</formula1>
      <formula2>9.99999999999999E+23</formula2>
    </dataValidation>
    <dataValidation type="decimal" allowBlank="1" showErrorMessage="1" errorTitle="Ошибка" error="Допускается ввод только действительных чисел!" sqref="AA52">
      <formula1>-9.99999999999999E+23</formula1>
      <formula2>9.99999999999999E+23</formula2>
    </dataValidation>
    <dataValidation type="decimal" allowBlank="1" showErrorMessage="1" errorTitle="Ошибка" error="Допускается ввод только действительных чисел!" sqref="Z52">
      <formula1>-9.99999999999999E+23</formula1>
      <formula2>9.99999999999999E+23</formula2>
    </dataValidation>
    <dataValidation type="decimal" allowBlank="1" showErrorMessage="1" errorTitle="Ошибка" error="Допускается ввод только действительных чисел!" sqref="Y52">
      <formula1>-9.99999999999999E+23</formula1>
      <formula2>9.99999999999999E+23</formula2>
    </dataValidation>
    <dataValidation type="decimal" allowBlank="1" showErrorMessage="1" errorTitle="Ошибка" error="Допускается ввод только действительных чисел!" sqref="X52">
      <formula1>-9.99999999999999E+23</formula1>
      <formula2>9.99999999999999E+23</formula2>
    </dataValidation>
    <dataValidation type="decimal" allowBlank="1" showErrorMessage="1" errorTitle="Ошибка" error="Допускается ввод только действительных чисел!" sqref="W52">
      <formula1>-9.99999999999999E+23</formula1>
      <formula2>9.99999999999999E+23</formula2>
    </dataValidation>
    <dataValidation type="decimal" allowBlank="1" showErrorMessage="1" errorTitle="Ошибка" error="Допускается ввод только действительных чисел!" sqref="V52">
      <formula1>-9.99999999999999E+23</formula1>
      <formula2>9.99999999999999E+23</formula2>
    </dataValidation>
    <dataValidation type="decimal" allowBlank="1" showErrorMessage="1" errorTitle="Ошибка" error="Допускается ввод только действительных чисел!" sqref="U52">
      <formula1>-9.99999999999999E+23</formula1>
      <formula2>9.99999999999999E+23</formula2>
    </dataValidation>
    <dataValidation type="decimal" allowBlank="1" showErrorMessage="1" errorTitle="Ошибка" error="Допускается ввод только действительных чисел!" sqref="T52">
      <formula1>-9.99999999999999E+23</formula1>
      <formula2>9.99999999999999E+23</formula2>
    </dataValidation>
    <dataValidation type="decimal" allowBlank="1" showErrorMessage="1" errorTitle="Ошибка" error="Допускается ввод только действительных чисел!" sqref="S52">
      <formula1>-9.99999999999999E+23</formula1>
      <formula2>9.99999999999999E+23</formula2>
    </dataValidation>
    <dataValidation type="decimal" allowBlank="1" showErrorMessage="1" errorTitle="Ошибка" error="Допускается ввод только действительных чисел!" sqref="R52">
      <formula1>-9.99999999999999E+23</formula1>
      <formula2>9.99999999999999E+23</formula2>
    </dataValidation>
    <dataValidation type="decimal" allowBlank="1" showErrorMessage="1" errorTitle="Ошибка" error="Допускается ввод только действительных чисел!" sqref="Q52">
      <formula1>-9.99999999999999E+23</formula1>
      <formula2>9.99999999999999E+23</formula2>
    </dataValidation>
    <dataValidation type="decimal" allowBlank="1" showErrorMessage="1" errorTitle="Ошибка" error="Допускается ввод только действительных чисел!" sqref="P52">
      <formula1>-9.99999999999999E+23</formula1>
      <formula2>9.99999999999999E+23</formula2>
    </dataValidation>
    <dataValidation type="decimal" allowBlank="1" showErrorMessage="1" errorTitle="Ошибка" error="Допускается ввод только действительных чисел!" sqref="O5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52">
      <formula1>900</formula1>
    </dataValidation>
    <dataValidation type="list" allowBlank="1" showInputMessage="1" showErrorMessage="1" errorTitle="Ошибка" error="Выберите значение из списка" prompt="Выберите значение из списка" sqref="H52">
      <formula1>QRE_METHOD_LIST</formula1>
    </dataValidation>
    <dataValidation type="decimal" allowBlank="1" showErrorMessage="1" errorTitle="Ошибка" error="Допускается ввод только действительных чисел!" sqref="DJ23">
      <formula1>-9.99999999999999E+23</formula1>
      <formula2>9.99999999999999E+23</formula2>
    </dataValidation>
    <dataValidation type="decimal" allowBlank="1" showErrorMessage="1" errorTitle="Ошибка" error="Допускается ввод только действительных чисел!" sqref="DI23">
      <formula1>-9.99999999999999E+23</formula1>
      <formula2>9.99999999999999E+23</formula2>
    </dataValidation>
    <dataValidation type="decimal" allowBlank="1" showErrorMessage="1" errorTitle="Ошибка" error="Допускается ввод только действительных чисел!" sqref="DH23">
      <formula1>-9.99999999999999E+23</formula1>
      <formula2>9.99999999999999E+23</formula2>
    </dataValidation>
    <dataValidation type="decimal" allowBlank="1" showErrorMessage="1" errorTitle="Ошибка" error="Допускается ввод только действительных чисел!" sqref="DG23">
      <formula1>-9.99999999999999E+23</formula1>
      <formula2>9.99999999999999E+23</formula2>
    </dataValidation>
    <dataValidation type="decimal" allowBlank="1" showErrorMessage="1" errorTitle="Ошибка" error="Допускается ввод только действительных чисел!" sqref="DF23">
      <formula1>-9.99999999999999E+23</formula1>
      <formula2>9.99999999999999E+23</formula2>
    </dataValidation>
    <dataValidation type="decimal" allowBlank="1" showErrorMessage="1" errorTitle="Ошибка" error="Допускается ввод только действительных чисел!" sqref="DE23">
      <formula1>-9.99999999999999E+23</formula1>
      <formula2>9.99999999999999E+23</formula2>
    </dataValidation>
    <dataValidation type="decimal" allowBlank="1" showErrorMessage="1" errorTitle="Ошибка" error="Допускается ввод только действительных чисел!" sqref="DD23">
      <formula1>-9.99999999999999E+23</formula1>
      <formula2>9.99999999999999E+23</formula2>
    </dataValidation>
    <dataValidation type="decimal" allowBlank="1" showErrorMessage="1" errorTitle="Ошибка" error="Допускается ввод только действительных чисел!" sqref="DC23">
      <formula1>-9.99999999999999E+23</formula1>
      <formula2>9.99999999999999E+23</formula2>
    </dataValidation>
    <dataValidation type="decimal" allowBlank="1" showErrorMessage="1" errorTitle="Ошибка" error="Допускается ввод только действительных чисел!" sqref="DB23">
      <formula1>-9.99999999999999E+23</formula1>
      <formula2>9.99999999999999E+23</formula2>
    </dataValidation>
    <dataValidation type="decimal" allowBlank="1" showErrorMessage="1" errorTitle="Ошибка" error="Допускается ввод только действительных чисел!" sqref="DA23">
      <formula1>-9.99999999999999E+23</formula1>
      <formula2>9.99999999999999E+23</formula2>
    </dataValidation>
    <dataValidation type="decimal" allowBlank="1" showErrorMessage="1" errorTitle="Ошибка" error="Допускается ввод только действительных чисел!" sqref="CZ23">
      <formula1>-9.99999999999999E+23</formula1>
      <formula2>9.99999999999999E+23</formula2>
    </dataValidation>
    <dataValidation type="decimal" allowBlank="1" showErrorMessage="1" errorTitle="Ошибка" error="Допускается ввод только действительных чисел!" sqref="CY23">
      <formula1>-9.99999999999999E+23</formula1>
      <formula2>9.99999999999999E+23</formula2>
    </dataValidation>
    <dataValidation type="decimal" allowBlank="1" showErrorMessage="1" errorTitle="Ошибка" error="Допускается ввод только действительных чисел!" sqref="CK23">
      <formula1>-9.99999999999999E+23</formula1>
      <formula2>9.99999999999999E+23</formula2>
    </dataValidation>
    <dataValidation type="decimal" allowBlank="1" showErrorMessage="1" errorTitle="Ошибка" error="Допускается ввод только действительных чисел!" sqref="CJ23">
      <formula1>-9.99999999999999E+23</formula1>
      <formula2>9.99999999999999E+23</formula2>
    </dataValidation>
    <dataValidation type="decimal" allowBlank="1" showErrorMessage="1" errorTitle="Ошибка" error="Допускается ввод только действительных чисел!" sqref="CI23">
      <formula1>-9.99999999999999E+23</formula1>
      <formula2>9.99999999999999E+23</formula2>
    </dataValidation>
    <dataValidation type="decimal" allowBlank="1" showErrorMessage="1" errorTitle="Ошибка" error="Допускается ввод только действительных чисел!" sqref="CH23">
      <formula1>-9.99999999999999E+23</formula1>
      <formula2>9.99999999999999E+23</formula2>
    </dataValidation>
    <dataValidation type="decimal" allowBlank="1" showErrorMessage="1" errorTitle="Ошибка" error="Допускается ввод только действительных чисел!" sqref="CG23">
      <formula1>-9.99999999999999E+23</formula1>
      <formula2>9.99999999999999E+23</formula2>
    </dataValidation>
    <dataValidation type="decimal" allowBlank="1" showErrorMessage="1" errorTitle="Ошибка" error="Допускается ввод только действительных чисел!" sqref="CF23">
      <formula1>-9.99999999999999E+23</formula1>
      <formula2>9.99999999999999E+23</formula2>
    </dataValidation>
    <dataValidation type="decimal" allowBlank="1" showErrorMessage="1" errorTitle="Ошибка" error="Допускается ввод только действительных чисел!" sqref="CE23">
      <formula1>-9.99999999999999E+23</formula1>
      <formula2>9.99999999999999E+23</formula2>
    </dataValidation>
    <dataValidation type="decimal" allowBlank="1" showErrorMessage="1" errorTitle="Ошибка" error="Допускается ввод только действительных чисел!" sqref="CD23">
      <formula1>-9.99999999999999E+23</formula1>
      <formula2>9.99999999999999E+23</formula2>
    </dataValidation>
    <dataValidation type="decimal" allowBlank="1" showErrorMessage="1" errorTitle="Ошибка" error="Допускается ввод только действительных чисел!" sqref="CC23">
      <formula1>-9.99999999999999E+23</formula1>
      <formula2>9.99999999999999E+23</formula2>
    </dataValidation>
    <dataValidation type="decimal" allowBlank="1" showErrorMessage="1" errorTitle="Ошибка" error="Допускается ввод только действительных чисел!" sqref="CB23">
      <formula1>-9.99999999999999E+23</formula1>
      <formula2>9.99999999999999E+23</formula2>
    </dataValidation>
    <dataValidation type="decimal" allowBlank="1" showErrorMessage="1" errorTitle="Ошибка" error="Допускается ввод только действительных чисел!" sqref="CA23">
      <formula1>-9.99999999999999E+23</formula1>
      <formula2>9.99999999999999E+23</formula2>
    </dataValidation>
    <dataValidation type="decimal" allowBlank="1" showErrorMessage="1" errorTitle="Ошибка" error="Допускается ввод только действительных чисел!" sqref="BZ23">
      <formula1>-9.99999999999999E+23</formula1>
      <formula2>9.99999999999999E+23</formula2>
    </dataValidation>
    <dataValidation type="decimal" allowBlank="1" showErrorMessage="1" errorTitle="Ошибка" error="Допускается ввод только действительных чисел!" sqref="BY23">
      <formula1>-9.99999999999999E+23</formula1>
      <formula2>9.99999999999999E+23</formula2>
    </dataValidation>
    <dataValidation type="decimal" allowBlank="1" showErrorMessage="1" errorTitle="Ошибка" error="Допускается ввод только действительных чисел!" sqref="BX23">
      <formula1>-9.99999999999999E+23</formula1>
      <formula2>9.99999999999999E+23</formula2>
    </dataValidation>
    <dataValidation type="decimal" allowBlank="1" showErrorMessage="1" errorTitle="Ошибка" error="Допускается ввод только действительных чисел!" sqref="BW23">
      <formula1>-9.99999999999999E+23</formula1>
      <formula2>9.99999999999999E+23</formula2>
    </dataValidation>
    <dataValidation type="decimal" allowBlank="1" showErrorMessage="1" errorTitle="Ошибка" error="Допускается ввод только действительных чисел!" sqref="BV23">
      <formula1>-9.99999999999999E+23</formula1>
      <formula2>9.99999999999999E+23</formula2>
    </dataValidation>
    <dataValidation type="decimal" allowBlank="1" showErrorMessage="1" errorTitle="Ошибка" error="Допускается ввод только действительных чисел!" sqref="BU23">
      <formula1>-9.99999999999999E+23</formula1>
      <formula2>9.99999999999999E+23</formula2>
    </dataValidation>
    <dataValidation type="decimal" allowBlank="1" showErrorMessage="1" errorTitle="Ошибка" error="Допускается ввод только действительных чисел!" sqref="BT23">
      <formula1>-9.99999999999999E+23</formula1>
      <formula2>9.99999999999999E+23</formula2>
    </dataValidation>
    <dataValidation type="decimal" allowBlank="1" showErrorMessage="1" errorTitle="Ошибка" error="Допускается ввод только действительных чисел!" sqref="AB23">
      <formula1>-9.99999999999999E+23</formula1>
      <formula2>9.99999999999999E+23</formula2>
    </dataValidation>
    <dataValidation type="decimal" allowBlank="1" showErrorMessage="1" errorTitle="Ошибка" error="Допускается ввод только действительных чисел!" sqref="AA23">
      <formula1>-9.99999999999999E+23</formula1>
      <formula2>9.99999999999999E+23</formula2>
    </dataValidation>
    <dataValidation type="decimal" allowBlank="1" showErrorMessage="1" errorTitle="Ошибка" error="Допускается ввод только действительных чисел!" sqref="Z23">
      <formula1>-9.99999999999999E+23</formula1>
      <formula2>9.99999999999999E+23</formula2>
    </dataValidation>
    <dataValidation type="decimal" allowBlank="1" showErrorMessage="1" errorTitle="Ошибка" error="Допускается ввод только действительных чисел!" sqref="Y23">
      <formula1>-9.99999999999999E+23</formula1>
      <formula2>9.99999999999999E+23</formula2>
    </dataValidation>
    <dataValidation type="decimal" allowBlank="1" showErrorMessage="1" errorTitle="Ошибка" error="Допускается ввод только действительных чисел!" sqref="X23">
      <formula1>-9.99999999999999E+23</formula1>
      <formula2>9.99999999999999E+23</formula2>
    </dataValidation>
    <dataValidation type="decimal" allowBlank="1" showErrorMessage="1" errorTitle="Ошибка" error="Допускается ввод только действительных чисел!" sqref="W23">
      <formula1>-9.99999999999999E+23</formula1>
      <formula2>9.99999999999999E+23</formula2>
    </dataValidation>
    <dataValidation type="decimal" allowBlank="1" showErrorMessage="1" errorTitle="Ошибка" error="Допускается ввод только действительных чисел!" sqref="V23">
      <formula1>-9.99999999999999E+23</formula1>
      <formula2>9.99999999999999E+23</formula2>
    </dataValidation>
    <dataValidation type="decimal" allowBlank="1" showErrorMessage="1" errorTitle="Ошибка" error="Допускается ввод только действительных чисел!" sqref="U23">
      <formula1>-9.99999999999999E+23</formula1>
      <formula2>9.99999999999999E+23</formula2>
    </dataValidation>
    <dataValidation type="decimal" allowBlank="1" showErrorMessage="1" errorTitle="Ошибка" error="Допускается ввод только действительных чисел!" sqref="T23">
      <formula1>-9.99999999999999E+23</formula1>
      <formula2>9.99999999999999E+23</formula2>
    </dataValidation>
    <dataValidation type="decimal" allowBlank="1" showErrorMessage="1" errorTitle="Ошибка" error="Допускается ввод только действительных чисел!" sqref="S23">
      <formula1>-9.99999999999999E+23</formula1>
      <formula2>9.99999999999999E+23</formula2>
    </dataValidation>
    <dataValidation type="decimal" allowBlank="1" showErrorMessage="1" errorTitle="Ошибка" error="Допускается ввод только действительных чисел!" sqref="R23">
      <formula1>-9.99999999999999E+23</formula1>
      <formula2>9.99999999999999E+23</formula2>
    </dataValidation>
    <dataValidation type="decimal" allowBlank="1" showErrorMessage="1" errorTitle="Ошибка" error="Допускается ввод только действительных чисел!" sqref="Q23">
      <formula1>-9.99999999999999E+23</formula1>
      <formula2>9.99999999999999E+23</formula2>
    </dataValidation>
    <dataValidation type="decimal" allowBlank="1" showErrorMessage="1" errorTitle="Ошибка" error="Допускается ввод только действительных чисел!" sqref="P23">
      <formula1>-9.99999999999999E+23</formula1>
      <formula2>9.99999999999999E+23</formula2>
    </dataValidation>
    <dataValidation type="decimal" allowBlank="1" showErrorMessage="1" errorTitle="Ошибка" error="Допускается ввод только действительных чисел!" sqref="O2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3">
      <formula1>900</formula1>
    </dataValidation>
    <dataValidation type="list" allowBlank="1" showInputMessage="1" showErrorMessage="1" errorTitle="Ошибка" error="Выберите значение из списка" prompt="Выберите значение из списка" sqref="H23">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7">
      <formula1>QRE_METHOD_LIST</formula1>
    </dataValidation>
    <dataValidation type="textLength" operator="lessThanOrEqual" allowBlank="1" showInputMessage="1" showErrorMessage="1" errorTitle="Ошибка" error="Допускается ввод не более 900 символов!" sqref="I27">
      <formula1>900</formula1>
    </dataValidation>
    <dataValidation type="decimal" allowBlank="1" showErrorMessage="1" errorTitle="Ошибка" error="Допускается ввод только действительных чисел!" sqref="O27">
      <formula1>-9.99999999999999E+23</formula1>
      <formula2>9.99999999999999E+23</formula2>
    </dataValidation>
    <dataValidation type="decimal" allowBlank="1" showErrorMessage="1" errorTitle="Ошибка" error="Допускается ввод только действительных чисел!" sqref="P27">
      <formula1>-9.99999999999999E+23</formula1>
      <formula2>9.99999999999999E+23</formula2>
    </dataValidation>
    <dataValidation type="decimal" allowBlank="1" showErrorMessage="1" errorTitle="Ошибка" error="Допускается ввод только действительных чисел!" sqref="Q27">
      <formula1>-9.99999999999999E+23</formula1>
      <formula2>9.99999999999999E+23</formula2>
    </dataValidation>
    <dataValidation type="decimal" allowBlank="1" showErrorMessage="1" errorTitle="Ошибка" error="Допускается ввод только действительных чисел!" sqref="R27">
      <formula1>-9.99999999999999E+23</formula1>
      <formula2>9.99999999999999E+23</formula2>
    </dataValidation>
    <dataValidation type="decimal" allowBlank="1" showErrorMessage="1" errorTitle="Ошибка" error="Допускается ввод только действительных чисел!" sqref="S27">
      <formula1>-9.99999999999999E+23</formula1>
      <formula2>9.99999999999999E+23</formula2>
    </dataValidation>
    <dataValidation type="decimal" allowBlank="1" showErrorMessage="1" errorTitle="Ошибка" error="Допускается ввод только действительных чисел!" sqref="T27">
      <formula1>-9.99999999999999E+23</formula1>
      <formula2>9.99999999999999E+23</formula2>
    </dataValidation>
    <dataValidation type="decimal" allowBlank="1" showErrorMessage="1" errorTitle="Ошибка" error="Допускается ввод только действительных чисел!" sqref="U27">
      <formula1>-9.99999999999999E+23</formula1>
      <formula2>9.99999999999999E+23</formula2>
    </dataValidation>
    <dataValidation type="decimal" allowBlank="1" showErrorMessage="1" errorTitle="Ошибка" error="Допускается ввод только действительных чисел!" sqref="V27">
      <formula1>-9.99999999999999E+23</formula1>
      <formula2>9.99999999999999E+23</formula2>
    </dataValidation>
    <dataValidation type="decimal" allowBlank="1" showErrorMessage="1" errorTitle="Ошибка" error="Допускается ввод только действительных чисел!" sqref="W27">
      <formula1>-9.99999999999999E+23</formula1>
      <formula2>9.99999999999999E+23</formula2>
    </dataValidation>
    <dataValidation type="decimal" allowBlank="1" showErrorMessage="1" errorTitle="Ошибка" error="Допускается ввод только действительных чисел!" sqref="X27">
      <formula1>-9.99999999999999E+23</formula1>
      <formula2>9.99999999999999E+23</formula2>
    </dataValidation>
    <dataValidation type="decimal" allowBlank="1" showErrorMessage="1" errorTitle="Ошибка" error="Допускается ввод только действительных чисел!" sqref="Y27">
      <formula1>-9.99999999999999E+23</formula1>
      <formula2>9.99999999999999E+23</formula2>
    </dataValidation>
    <dataValidation type="decimal" allowBlank="1" showErrorMessage="1" errorTitle="Ошибка" error="Допускается ввод только действительных чисел!" sqref="Z27">
      <formula1>-9.99999999999999E+23</formula1>
      <formula2>9.99999999999999E+23</formula2>
    </dataValidation>
    <dataValidation type="decimal" allowBlank="1" showErrorMessage="1" errorTitle="Ошибка" error="Допускается ввод только действительных чисел!" sqref="AA27">
      <formula1>-9.99999999999999E+23</formula1>
      <formula2>9.99999999999999E+23</formula2>
    </dataValidation>
    <dataValidation type="decimal" allowBlank="1" showErrorMessage="1" errorTitle="Ошибка" error="Допускается ввод только действительных чисел!" sqref="AB27">
      <formula1>-9.99999999999999E+23</formula1>
      <formula2>9.99999999999999E+23</formula2>
    </dataValidation>
    <dataValidation type="decimal" allowBlank="1" showErrorMessage="1" errorTitle="Ошибка" error="Допускается ввод только действительных чисел!" sqref="BT27">
      <formula1>-9.99999999999999E+23</formula1>
      <formula2>9.99999999999999E+23</formula2>
    </dataValidation>
    <dataValidation type="decimal" allowBlank="1" showErrorMessage="1" errorTitle="Ошибка" error="Допускается ввод только действительных чисел!" sqref="BU27">
      <formula1>-9.99999999999999E+23</formula1>
      <formula2>9.99999999999999E+23</formula2>
    </dataValidation>
    <dataValidation type="decimal" allowBlank="1" showErrorMessage="1" errorTitle="Ошибка" error="Допускается ввод только действительных чисел!" sqref="BV27">
      <formula1>-9.99999999999999E+23</formula1>
      <formula2>9.99999999999999E+23</formula2>
    </dataValidation>
    <dataValidation type="decimal" allowBlank="1" showErrorMessage="1" errorTitle="Ошибка" error="Допускается ввод только действительных чисел!" sqref="BW27">
      <formula1>-9.99999999999999E+23</formula1>
      <formula2>9.99999999999999E+23</formula2>
    </dataValidation>
    <dataValidation type="decimal" allowBlank="1" showErrorMessage="1" errorTitle="Ошибка" error="Допускается ввод только действительных чисел!" sqref="BX27">
      <formula1>-9.99999999999999E+23</formula1>
      <formula2>9.99999999999999E+23</formula2>
    </dataValidation>
    <dataValidation type="decimal" allowBlank="1" showErrorMessage="1" errorTitle="Ошибка" error="Допускается ввод только действительных чисел!" sqref="BY27">
      <formula1>-9.99999999999999E+23</formula1>
      <formula2>9.99999999999999E+23</formula2>
    </dataValidation>
    <dataValidation type="decimal" allowBlank="1" showErrorMessage="1" errorTitle="Ошибка" error="Допускается ввод только действительных чисел!" sqref="BZ27">
      <formula1>-9.99999999999999E+23</formula1>
      <formula2>9.99999999999999E+23</formula2>
    </dataValidation>
    <dataValidation type="decimal" allowBlank="1" showErrorMessage="1" errorTitle="Ошибка" error="Допускается ввод только действительных чисел!" sqref="CA27">
      <formula1>-9.99999999999999E+23</formula1>
      <formula2>9.99999999999999E+23</formula2>
    </dataValidation>
    <dataValidation type="decimal" allowBlank="1" showErrorMessage="1" errorTitle="Ошибка" error="Допускается ввод только действительных чисел!" sqref="CB27">
      <formula1>-9.99999999999999E+23</formula1>
      <formula2>9.99999999999999E+23</formula2>
    </dataValidation>
    <dataValidation type="decimal" allowBlank="1" showErrorMessage="1" errorTitle="Ошибка" error="Допускается ввод только действительных чисел!" sqref="CC27">
      <formula1>-9.99999999999999E+23</formula1>
      <formula2>9.99999999999999E+23</formula2>
    </dataValidation>
    <dataValidation type="decimal" allowBlank="1" showErrorMessage="1" errorTitle="Ошибка" error="Допускается ввод только действительных чисел!" sqref="CD27">
      <formula1>-9.99999999999999E+23</formula1>
      <formula2>9.99999999999999E+23</formula2>
    </dataValidation>
    <dataValidation type="decimal" allowBlank="1" showErrorMessage="1" errorTitle="Ошибка" error="Допускается ввод только действительных чисел!" sqref="CE27">
      <formula1>-9.99999999999999E+23</formula1>
      <formula2>9.99999999999999E+23</formula2>
    </dataValidation>
    <dataValidation type="decimal" allowBlank="1" showErrorMessage="1" errorTitle="Ошибка" error="Допускается ввод только действительных чисел!" sqref="CF27">
      <formula1>-9.99999999999999E+23</formula1>
      <formula2>9.99999999999999E+23</formula2>
    </dataValidation>
    <dataValidation type="decimal" allowBlank="1" showErrorMessage="1" errorTitle="Ошибка" error="Допускается ввод только действительных чисел!" sqref="CG27">
      <formula1>-9.99999999999999E+23</formula1>
      <formula2>9.99999999999999E+23</formula2>
    </dataValidation>
    <dataValidation type="decimal" allowBlank="1" showErrorMessage="1" errorTitle="Ошибка" error="Допускается ввод только действительных чисел!" sqref="CH27">
      <formula1>-9.99999999999999E+23</formula1>
      <formula2>9.99999999999999E+23</formula2>
    </dataValidation>
    <dataValidation type="decimal" allowBlank="1" showErrorMessage="1" errorTitle="Ошибка" error="Допускается ввод только действительных чисел!" sqref="CI27">
      <formula1>-9.99999999999999E+23</formula1>
      <formula2>9.99999999999999E+23</formula2>
    </dataValidation>
    <dataValidation type="decimal" allowBlank="1" showErrorMessage="1" errorTitle="Ошибка" error="Допускается ввод только действительных чисел!" sqref="CJ27">
      <formula1>-9.99999999999999E+23</formula1>
      <formula2>9.99999999999999E+23</formula2>
    </dataValidation>
    <dataValidation type="decimal" allowBlank="1" showErrorMessage="1" errorTitle="Ошибка" error="Допускается ввод только действительных чисел!" sqref="CK27">
      <formula1>-9.99999999999999E+23</formula1>
      <formula2>9.99999999999999E+23</formula2>
    </dataValidation>
    <dataValidation type="decimal" allowBlank="1" showErrorMessage="1" errorTitle="Ошибка" error="Допускается ввод только действительных чисел!" sqref="CY27">
      <formula1>-9.99999999999999E+23</formula1>
      <formula2>9.99999999999999E+23</formula2>
    </dataValidation>
    <dataValidation type="decimal" allowBlank="1" showErrorMessage="1" errorTitle="Ошибка" error="Допускается ввод только действительных чисел!" sqref="CZ27">
      <formula1>-9.99999999999999E+23</formula1>
      <formula2>9.99999999999999E+23</formula2>
    </dataValidation>
    <dataValidation type="decimal" allowBlank="1" showErrorMessage="1" errorTitle="Ошибка" error="Допускается ввод только действительных чисел!" sqref="DA27">
      <formula1>-9.99999999999999E+23</formula1>
      <formula2>9.99999999999999E+23</formula2>
    </dataValidation>
    <dataValidation type="decimal" allowBlank="1" showErrorMessage="1" errorTitle="Ошибка" error="Допускается ввод только действительных чисел!" sqref="DB27">
      <formula1>-9.99999999999999E+23</formula1>
      <formula2>9.99999999999999E+23</formula2>
    </dataValidation>
    <dataValidation type="decimal" allowBlank="1" showErrorMessage="1" errorTitle="Ошибка" error="Допускается ввод только действительных чисел!" sqref="DC27">
      <formula1>-9.99999999999999E+23</formula1>
      <formula2>9.99999999999999E+23</formula2>
    </dataValidation>
    <dataValidation type="decimal" allowBlank="1" showErrorMessage="1" errorTitle="Ошибка" error="Допускается ввод только действительных чисел!" sqref="DD27">
      <formula1>-9.99999999999999E+23</formula1>
      <formula2>9.99999999999999E+23</formula2>
    </dataValidation>
    <dataValidation type="decimal" allowBlank="1" showErrorMessage="1" errorTitle="Ошибка" error="Допускается ввод только действительных чисел!" sqref="DE27">
      <formula1>-9.99999999999999E+23</formula1>
      <formula2>9.99999999999999E+23</formula2>
    </dataValidation>
    <dataValidation type="decimal" allowBlank="1" showErrorMessage="1" errorTitle="Ошибка" error="Допускается ввод только действительных чисел!" sqref="DF27">
      <formula1>-9.99999999999999E+23</formula1>
      <formula2>9.99999999999999E+23</formula2>
    </dataValidation>
    <dataValidation type="decimal" allowBlank="1" showErrorMessage="1" errorTitle="Ошибка" error="Допускается ввод только действительных чисел!" sqref="DG27">
      <formula1>-9.99999999999999E+23</formula1>
      <formula2>9.99999999999999E+23</formula2>
    </dataValidation>
    <dataValidation type="decimal" allowBlank="1" showErrorMessage="1" errorTitle="Ошибка" error="Допускается ввод только действительных чисел!" sqref="DH27">
      <formula1>-9.99999999999999E+23</formula1>
      <formula2>9.99999999999999E+23</formula2>
    </dataValidation>
    <dataValidation type="decimal" allowBlank="1" showErrorMessage="1" errorTitle="Ошибка" error="Допускается ввод только действительных чисел!" sqref="DI27">
      <formula1>-9.99999999999999E+23</formula1>
      <formula2>9.99999999999999E+23</formula2>
    </dataValidation>
    <dataValidation type="decimal" allowBlank="1" showErrorMessage="1" errorTitle="Ошибка" error="Допускается ввод только действительных чисел!" sqref="DJ27">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textLength" operator="lessThanOrEqual" allowBlank="1" showInputMessage="1" showErrorMessage="1" errorTitle="Ошибка" error="Допускается ввод не более 900 символов!" sqref="I34">
      <formula1>900</formula1>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textLength" operator="lessThanOrEqual" allowBlank="1" showInputMessage="1" showErrorMessage="1" errorTitle="Ошибка" error="Допускается ввод не более 900 символов!" sqref="I37">
      <formula1>900</formula1>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textLength" operator="lessThanOrEqual" allowBlank="1" showInputMessage="1" showErrorMessage="1" errorTitle="Ошибка" error="Допускается ввод не более 900 символов!" sqref="I40">
      <formula1>900</formula1>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textLength" operator="lessThanOrEqual" allowBlank="1" showInputMessage="1" showErrorMessage="1" errorTitle="Ошибка" error="Допускается ввод не более 900 символов!" sqref="I43">
      <formula1>900</formula1>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textLength" operator="lessThanOrEqual" allowBlank="1" showInputMessage="1" showErrorMessage="1" errorTitle="Ошибка" error="Допускается ввод не более 900 символов!" sqref="I46">
      <formula1>900</formula1>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textLength" operator="lessThanOrEqual" allowBlank="1" showInputMessage="1" showErrorMessage="1" errorTitle="Ошибка" error="Допускается ввод не более 900 символов!" sqref="I49">
      <formula1>900</formula1>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4" hidden="1" customWidth="1"/>
    <col min="2" max="2" width="9.140625" style="1557" hidden="1" customWidth="1"/>
    <col min="3" max="3" width="4" style="617" customWidth="1"/>
    <col min="4" max="4" width="6" style="1557" customWidth="1"/>
    <col min="5" max="5" width="36" style="1557" customWidth="1"/>
    <col min="6" max="6" width="9" style="1557" customWidth="1"/>
    <col min="7" max="7" width="42.42578125" style="1557" hidden="1" customWidth="1"/>
    <col min="8" max="8" width="40.7109375" style="1557" customWidth="1"/>
    <col min="9" max="9" width="93" style="1288" customWidth="1"/>
    <col min="10" max="17" width="10" style="1557" customWidth="1"/>
    <col min="18" max="18" width="10" style="609" customWidth="1"/>
    <col min="19" max="19" width="10.5703125" style="1557" hidden="1"/>
  </cols>
  <sheetData>
    <row r="1" spans="1:19" s="1288" customFormat="1" ht="15" hidden="1" customHeight="1">
      <c r="C1" s="606"/>
      <c r="H1" s="351">
        <v>4</v>
      </c>
      <c r="R1" s="354"/>
      <c r="S1" s="351" t="s">
        <v>1</v>
      </c>
    </row>
    <row r="2" spans="1:19" ht="22.5" hidden="1" customHeight="1">
      <c r="C2" s="1814" t="s">
        <v>90</v>
      </c>
      <c r="D2" s="473"/>
      <c r="E2" s="597"/>
      <c r="F2" s="1654" t="str">
        <f>IF(TEMPLATE_SPHERE="HEAT","Гкал/час","тыс. куб. м/сутки")</f>
        <v>Гкал/час</v>
      </c>
      <c r="G2" s="614"/>
      <c r="H2" s="614"/>
      <c r="I2" s="224"/>
      <c r="S2" s="439">
        <v>0</v>
      </c>
    </row>
    <row r="3" spans="1:19" s="1288" customFormat="1" ht="15" hidden="1" customHeight="1">
      <c r="C3" s="606"/>
      <c r="R3" s="354"/>
      <c r="S3" s="351">
        <v>0</v>
      </c>
    </row>
    <row r="4" spans="1:19" ht="15.75" customHeight="1">
      <c r="C4" s="111"/>
      <c r="D4" s="443"/>
      <c r="E4" s="443"/>
      <c r="F4" s="443"/>
      <c r="G4" s="443"/>
      <c r="H4" s="443"/>
      <c r="S4" s="439">
        <v>15</v>
      </c>
    </row>
    <row r="5" spans="1:19" ht="39.75" customHeight="1">
      <c r="C5" s="111"/>
      <c r="D5" s="372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721"/>
      <c r="F5" s="3721"/>
      <c r="G5" s="3721"/>
      <c r="H5" s="3721"/>
      <c r="I5" s="471"/>
      <c r="S5" s="439">
        <v>38</v>
      </c>
    </row>
    <row r="6" spans="1:19" ht="15.75" customHeight="1">
      <c r="C6" s="111"/>
      <c r="D6" s="3667" t="str">
        <f>IF(org=0,"Не определено",org)</f>
        <v>ООО "Смоленскрегионтеплоэнерго"</v>
      </c>
      <c r="E6" s="3667"/>
      <c r="F6" s="3667"/>
      <c r="G6" s="3667"/>
      <c r="H6" s="3667"/>
      <c r="I6" s="471"/>
      <c r="S6" s="439">
        <v>15</v>
      </c>
    </row>
    <row r="7" spans="1:19" s="1557" customFormat="1" ht="15.75" customHeight="1">
      <c r="A7" s="691"/>
      <c r="C7" s="111"/>
      <c r="D7" s="610"/>
      <c r="E7" s="610"/>
      <c r="F7" s="610"/>
      <c r="G7" s="610"/>
      <c r="H7" s="686"/>
      <c r="I7" s="471"/>
      <c r="R7" s="609"/>
      <c r="S7" s="690">
        <v>15</v>
      </c>
    </row>
    <row r="8" spans="1:19" ht="1.1499999999999999" customHeight="1">
      <c r="C8" s="111"/>
      <c r="D8" s="443"/>
      <c r="E8" s="443"/>
      <c r="F8" s="443"/>
      <c r="G8" s="443"/>
      <c r="H8" s="471" t="s">
        <v>169</v>
      </c>
      <c r="S8" s="439">
        <v>1</v>
      </c>
    </row>
    <row r="9" spans="1:19" ht="15.75" customHeight="1">
      <c r="C9" s="111"/>
      <c r="D9" s="645"/>
      <c r="E9" s="3822" t="s">
        <v>160</v>
      </c>
      <c r="F9" s="3823"/>
      <c r="G9" s="744" t="str">
        <f>IF(G8="","",INDEX(DIFFERENTIATION_UNMERGE_VD,MATCH(G8,DIFFERENTIATION_ID_DIFF,0)))</f>
        <v/>
      </c>
      <c r="H9" s="744"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3618" t="s">
        <v>346</v>
      </c>
      <c r="S9" s="439">
        <v>15</v>
      </c>
    </row>
    <row r="10" spans="1:19" s="1557" customFormat="1" ht="15.75" customHeight="1">
      <c r="A10" s="691"/>
      <c r="C10" s="111"/>
      <c r="D10" s="645"/>
      <c r="E10" s="3822" t="s">
        <v>607</v>
      </c>
      <c r="F10" s="3823"/>
      <c r="G10" s="744" t="str">
        <f>IF(G8="","",INDEX(DIFFERENTIATION_UNMERGE_AREA,MATCH(G8,DIFFERENTIATION_ID_DIFF,0)))</f>
        <v/>
      </c>
      <c r="H10" s="744" t="str">
        <f>IF(H8="","",INDEX(DIFFERENTIATION_UNMERGE_AREA,MATCH(H8,DIFFERENTIATION_ID_DIFF,0)))</f>
        <v>без дифференциации</v>
      </c>
      <c r="I10" s="3618"/>
      <c r="R10" s="609"/>
      <c r="S10" s="690">
        <v>15</v>
      </c>
    </row>
    <row r="11" spans="1:19" s="1557" customFormat="1" ht="15.75" customHeight="1">
      <c r="A11" s="691"/>
      <c r="C11" s="111"/>
      <c r="D11" s="645"/>
      <c r="E11" s="3822" t="s">
        <v>608</v>
      </c>
      <c r="F11" s="3823"/>
      <c r="G11" s="744" t="str">
        <f>IF(G8="","",INDEX(DIFFERENTIATION_UNMERGE_SYSTEM,MATCH(G8,DIFFERENTIATION_ID_DIFF,0)))</f>
        <v/>
      </c>
      <c r="H11" s="744" t="str">
        <f>IF(H8="","",INDEX(DIFFERENTIATION_UNMERGE_SYSTEM,MATCH(H8,DIFFERENTIATION_ID_DIFF,0)))</f>
        <v>без дифференциации</v>
      </c>
      <c r="I11" s="3618"/>
      <c r="R11" s="609"/>
      <c r="S11" s="690">
        <v>15</v>
      </c>
    </row>
    <row r="12" spans="1:19" s="1557" customFormat="1" ht="15.75" customHeight="1">
      <c r="A12" s="691"/>
      <c r="C12" s="111"/>
      <c r="D12" s="3824" t="s">
        <v>345</v>
      </c>
      <c r="E12" s="3825"/>
      <c r="F12" s="3825"/>
      <c r="G12" s="814"/>
      <c r="H12" s="814"/>
      <c r="I12" s="3618"/>
      <c r="R12" s="609"/>
      <c r="S12" s="690">
        <v>15</v>
      </c>
    </row>
    <row r="13" spans="1:19" ht="35.65" customHeight="1">
      <c r="C13" s="111"/>
      <c r="D13" s="693" t="s">
        <v>76</v>
      </c>
      <c r="E13" s="692" t="s">
        <v>347</v>
      </c>
      <c r="F13" s="692" t="s">
        <v>609</v>
      </c>
      <c r="G13" s="736" t="s">
        <v>348</v>
      </c>
      <c r="H13" s="688" t="s">
        <v>348</v>
      </c>
      <c r="I13" s="3618"/>
      <c r="S13" s="439">
        <v>34</v>
      </c>
    </row>
    <row r="14" spans="1:19" ht="15" hidden="1" customHeight="1">
      <c r="C14" s="111"/>
      <c r="D14" s="527" t="s">
        <v>164</v>
      </c>
      <c r="E14" s="527" t="s">
        <v>89</v>
      </c>
      <c r="F14" s="527" t="s">
        <v>78</v>
      </c>
      <c r="G14" s="593" t="str">
        <f>G1&amp;".1"</f>
        <v>.1</v>
      </c>
      <c r="H14" s="593" t="str">
        <f>H1&amp;".1"</f>
        <v>4.1</v>
      </c>
      <c r="I14" s="224"/>
      <c r="S14" s="439">
        <v>0</v>
      </c>
    </row>
    <row r="15" spans="1:19" ht="15.75" customHeight="1">
      <c r="A15" s="439"/>
      <c r="C15" s="460"/>
      <c r="D15" s="455">
        <v>1</v>
      </c>
      <c r="E15" s="1816" t="str">
        <f>TP_P_A</f>
        <v>Количество поданных заявок</v>
      </c>
      <c r="F15" s="455" t="s">
        <v>1634</v>
      </c>
      <c r="G15" s="619"/>
      <c r="H15" s="619"/>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16" t="str">
        <f>TP_P_B</f>
        <v>Количество рассмотренных заявок</v>
      </c>
      <c r="F16" s="455" t="s">
        <v>1634</v>
      </c>
      <c r="G16" s="619"/>
      <c r="H16" s="619"/>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1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1634</v>
      </c>
      <c r="G17" s="619"/>
      <c r="H17" s="619"/>
      <c r="I17" s="143"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16" t="str">
        <f>TP_P_V_1</f>
        <v>Причины отказа в заключении договора о подключении (технологическом присоединении) к системе теплоснабжения</v>
      </c>
      <c r="F18" s="455" t="s">
        <v>351</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16"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1635</v>
      </c>
      <c r="E20" s="622"/>
      <c r="F20" s="443"/>
      <c r="G20" s="443"/>
      <c r="H20" s="443"/>
      <c r="I20" s="1656"/>
      <c r="S20" s="439">
        <v>0</v>
      </c>
    </row>
    <row r="21" spans="1:19" ht="29.25" customHeight="1">
      <c r="C21" s="385"/>
      <c r="D21" s="473" t="s">
        <v>358</v>
      </c>
      <c r="E21" s="604"/>
      <c r="F21" s="1654" t="str">
        <f>IF(TEMPLATE_SPHERE="HEAT","Гкал/час","тыс. куб. м/сутки")</f>
        <v>Гкал/час</v>
      </c>
      <c r="G21" s="614"/>
      <c r="H21" s="614"/>
      <c r="I21" s="366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1636</v>
      </c>
      <c r="F22" s="506"/>
      <c r="G22" s="506"/>
      <c r="H22" s="506"/>
      <c r="I22" s="3662"/>
      <c r="R22" s="439"/>
      <c r="S22" s="439">
        <v>15</v>
      </c>
    </row>
    <row r="23" spans="1:19" ht="22.5" hidden="1" customHeight="1">
      <c r="A23" s="383" t="s">
        <v>70</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91" hidden="1" customWidth="1"/>
    <col min="2" max="2" width="9.140625" style="1288" hidden="1" customWidth="1"/>
    <col min="3" max="3" width="3" style="279" customWidth="1"/>
    <col min="4" max="4" width="6" style="1557" customWidth="1"/>
    <col min="5" max="6" width="64" style="1557" customWidth="1"/>
    <col min="7" max="7" width="140" style="1557" customWidth="1"/>
    <col min="8" max="8" width="10" style="1557" customWidth="1"/>
    <col min="9" max="10" width="10" style="1546" customWidth="1"/>
    <col min="11" max="16" width="10" style="1557" customWidth="1"/>
    <col min="17" max="17" width="10.5703125" style="1557" hidden="1"/>
  </cols>
  <sheetData>
    <row r="1" spans="1:17" ht="22.5" hidden="1" customHeight="1">
      <c r="M1" s="190"/>
      <c r="N1" s="190"/>
      <c r="P1" s="190"/>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64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649"/>
      <c r="F5" s="3649"/>
      <c r="G5" s="3650"/>
      <c r="Q5" s="22">
        <v>28</v>
      </c>
    </row>
    <row r="6" spans="1:17" s="1557" customFormat="1" ht="18.75" customHeight="1">
      <c r="A6" s="809"/>
      <c r="B6" s="351"/>
      <c r="C6" s="310"/>
      <c r="D6" s="3702" t="str">
        <f>IF(org=0,"Не определено",org)</f>
        <v>ООО "Смоленскрегионтеплоэнерго"</v>
      </c>
      <c r="E6" s="3703"/>
      <c r="F6" s="3703"/>
      <c r="G6" s="3704"/>
      <c r="I6" s="434"/>
      <c r="J6" s="434"/>
      <c r="Q6" s="690">
        <v>18</v>
      </c>
    </row>
    <row r="7" spans="1:17" ht="14.65" customHeight="1">
      <c r="C7" s="35"/>
      <c r="D7" s="23"/>
      <c r="E7" s="34"/>
      <c r="F7" s="686"/>
      <c r="G7" s="128"/>
      <c r="Q7" s="22">
        <v>14</v>
      </c>
    </row>
    <row r="8" spans="1:17" s="1557" customFormat="1" ht="1.1499999999999999" customHeight="1">
      <c r="A8" s="1590"/>
      <c r="B8" s="1082"/>
      <c r="C8" s="310"/>
      <c r="D8" s="297"/>
      <c r="E8" s="323"/>
      <c r="F8" s="686"/>
      <c r="G8" s="128"/>
      <c r="I8" s="1546"/>
      <c r="J8" s="1546"/>
      <c r="Q8" s="1553">
        <v>1</v>
      </c>
    </row>
    <row r="9" spans="1:17" ht="14.65" customHeight="1">
      <c r="C9" s="35"/>
      <c r="D9" s="3697" t="s">
        <v>345</v>
      </c>
      <c r="E9" s="3697"/>
      <c r="F9" s="3697"/>
      <c r="G9" s="3843" t="s">
        <v>346</v>
      </c>
      <c r="Q9" s="22">
        <v>14</v>
      </c>
    </row>
    <row r="10" spans="1:17" ht="24" customHeight="1">
      <c r="C10" s="35"/>
      <c r="D10" s="44" t="s">
        <v>76</v>
      </c>
      <c r="E10" s="46" t="s">
        <v>347</v>
      </c>
      <c r="F10" s="46" t="s">
        <v>435</v>
      </c>
      <c r="G10" s="3843"/>
      <c r="Q10" s="22">
        <v>23</v>
      </c>
    </row>
    <row r="11" spans="1:17" ht="12" hidden="1" customHeight="1">
      <c r="C11" s="35"/>
      <c r="D11" s="26"/>
      <c r="E11" s="26"/>
      <c r="F11" s="26"/>
      <c r="G11" s="26"/>
      <c r="Q11" s="22">
        <v>0</v>
      </c>
    </row>
    <row r="12" spans="1:17" ht="65.25" customHeight="1">
      <c r="A12" s="127"/>
      <c r="C12" s="35"/>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351</v>
      </c>
      <c r="G12" s="86"/>
      <c r="Q12" s="22">
        <v>62</v>
      </c>
    </row>
    <row r="13" spans="1:17" ht="24" customHeight="1">
      <c r="A13" s="127"/>
      <c r="C13" s="35"/>
      <c r="D13" s="83" t="s">
        <v>1540</v>
      </c>
      <c r="E13" s="129"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3" t="s">
        <v>351</v>
      </c>
      <c r="G13" s="86"/>
      <c r="Q13" s="22">
        <v>23</v>
      </c>
    </row>
    <row r="14" spans="1:17" ht="14.65" customHeight="1">
      <c r="A14" s="127"/>
      <c r="C14" s="35"/>
      <c r="D14" s="83" t="s">
        <v>1576</v>
      </c>
      <c r="E14" s="130"/>
      <c r="F14" s="148"/>
      <c r="G14" s="366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7"/>
      <c r="C15" s="35"/>
      <c r="D15" s="47"/>
      <c r="E15" s="283" t="s">
        <v>1637</v>
      </c>
      <c r="F15" s="136"/>
      <c r="G15" s="3662"/>
      <c r="Q15" s="22">
        <v>15</v>
      </c>
    </row>
    <row r="16" spans="1:17" ht="14.65" customHeight="1">
      <c r="A16" s="127"/>
      <c r="C16" s="35"/>
      <c r="D16" s="83" t="s">
        <v>1542</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351</v>
      </c>
      <c r="G16" s="272"/>
      <c r="Q16" s="22">
        <v>14</v>
      </c>
    </row>
    <row r="17" spans="1:17" ht="14.65" customHeight="1">
      <c r="A17" s="127"/>
      <c r="C17" s="35"/>
      <c r="D17" s="83" t="s">
        <v>1584</v>
      </c>
      <c r="E17" s="130"/>
      <c r="F17" s="319"/>
      <c r="G17" s="366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7" customFormat="1" ht="21.95" customHeight="1">
      <c r="A18" s="278"/>
      <c r="B18" s="82"/>
      <c r="C18" s="242"/>
      <c r="D18" s="282"/>
      <c r="E18" s="283" t="s">
        <v>1638</v>
      </c>
      <c r="F18" s="273"/>
      <c r="G18" s="3662"/>
      <c r="I18" s="284"/>
      <c r="J18" s="284"/>
      <c r="Q18" s="277">
        <v>21</v>
      </c>
    </row>
    <row r="19" spans="1:17" s="1557" customFormat="1" ht="256.5" customHeight="1">
      <c r="A19" s="278"/>
      <c r="B19" s="351"/>
      <c r="C19" s="310"/>
      <c r="D19" s="811" t="s">
        <v>1544</v>
      </c>
      <c r="E19" s="810" t="s">
        <v>1639</v>
      </c>
      <c r="F19" s="319"/>
      <c r="G19" s="272" t="s">
        <v>1640</v>
      </c>
      <c r="I19" s="434"/>
      <c r="J19" s="434"/>
      <c r="Q19" s="690">
        <v>0</v>
      </c>
    </row>
    <row r="20" spans="1:17" s="1557" customFormat="1" ht="14.65" customHeight="1">
      <c r="A20" s="278"/>
      <c r="B20" s="82"/>
      <c r="C20" s="242"/>
      <c r="D20" s="812">
        <v>2</v>
      </c>
      <c r="E20" s="265" t="s">
        <v>1641</v>
      </c>
      <c r="F20" s="133" t="s">
        <v>351</v>
      </c>
      <c r="G20" s="272"/>
      <c r="I20" s="284"/>
      <c r="J20" s="284"/>
      <c r="Q20" s="277">
        <v>14</v>
      </c>
    </row>
    <row r="21" spans="1:17" s="1557" customFormat="1" ht="18.75" hidden="1" customHeight="1">
      <c r="A21" s="278"/>
      <c r="B21" s="82"/>
      <c r="C21" s="242"/>
      <c r="D21" s="268" t="s">
        <v>957</v>
      </c>
      <c r="E21" s="267"/>
      <c r="F21" s="266"/>
      <c r="G21" s="276"/>
      <c r="H21" s="269"/>
      <c r="I21" s="284"/>
      <c r="J21" s="284"/>
      <c r="Q21" s="277">
        <v>0</v>
      </c>
    </row>
    <row r="22" spans="1:17" ht="15.75" customHeight="1">
      <c r="A22" s="127"/>
      <c r="C22" s="35"/>
      <c r="D22" s="47"/>
      <c r="E22" s="138" t="s">
        <v>367</v>
      </c>
      <c r="F22" s="273"/>
      <c r="G22" s="274"/>
      <c r="Q22" s="22">
        <v>15</v>
      </c>
    </row>
    <row r="23" spans="1:17" s="1557" customFormat="1" ht="22.5" hidden="1" customHeight="1">
      <c r="A23" s="278"/>
      <c r="B23" s="1082"/>
      <c r="C23" s="310"/>
      <c r="D23" s="1594" t="s">
        <v>89</v>
      </c>
      <c r="E23" s="132" t="s">
        <v>1642</v>
      </c>
      <c r="F23" s="1591" t="s">
        <v>351</v>
      </c>
      <c r="G23" s="280"/>
      <c r="I23" s="1546"/>
      <c r="J23" s="1546"/>
      <c r="Q23" s="1553">
        <v>0</v>
      </c>
    </row>
    <row r="24" spans="1:17" s="1557" customFormat="1" ht="14.25" hidden="1" customHeight="1">
      <c r="A24" s="278"/>
      <c r="B24" s="1082"/>
      <c r="C24" s="310"/>
      <c r="D24" s="1594" t="s">
        <v>1029</v>
      </c>
      <c r="E24" s="1593" t="s">
        <v>1643</v>
      </c>
      <c r="F24" s="1591" t="s">
        <v>351</v>
      </c>
      <c r="G24" s="272"/>
      <c r="I24" s="1546"/>
      <c r="J24" s="1546"/>
      <c r="Q24" s="1553">
        <v>0</v>
      </c>
    </row>
    <row r="25" spans="1:17" s="1557" customFormat="1" ht="14.25" hidden="1" customHeight="1">
      <c r="A25" s="278"/>
      <c r="B25" s="1082"/>
      <c r="C25" s="310"/>
      <c r="D25" s="1594" t="s">
        <v>1032</v>
      </c>
      <c r="E25" s="130"/>
      <c r="F25" s="319"/>
      <c r="G25" s="3660" t="s">
        <v>1644</v>
      </c>
      <c r="I25" s="1546"/>
      <c r="J25" s="1546"/>
      <c r="Q25" s="1553">
        <v>0</v>
      </c>
    </row>
    <row r="26" spans="1:17" s="1557" customFormat="1" ht="14.25" hidden="1" customHeight="1">
      <c r="A26" s="278"/>
      <c r="B26" s="1082"/>
      <c r="C26" s="310"/>
      <c r="D26" s="282"/>
      <c r="E26" s="283" t="s">
        <v>1645</v>
      </c>
      <c r="F26" s="273"/>
      <c r="G26" s="3662"/>
      <c r="I26" s="1546"/>
      <c r="J26" s="1546"/>
      <c r="Q26" s="1553">
        <v>0</v>
      </c>
    </row>
    <row r="27" spans="1:17" s="1557" customFormat="1" ht="33.75" hidden="1" customHeight="1">
      <c r="A27" s="278"/>
      <c r="B27" s="1288"/>
      <c r="C27" s="310"/>
      <c r="D27" s="1965" t="s">
        <v>78</v>
      </c>
      <c r="E27" s="132" t="s">
        <v>1646</v>
      </c>
      <c r="F27" s="1966" t="s">
        <v>351</v>
      </c>
      <c r="G27" s="1447"/>
      <c r="I27" s="1546"/>
      <c r="J27" s="1546"/>
      <c r="Q27" s="1553">
        <v>0</v>
      </c>
    </row>
    <row r="28" spans="1:17" s="1557" customFormat="1" ht="22.5" hidden="1" customHeight="1">
      <c r="A28" s="278"/>
      <c r="B28" s="1288"/>
      <c r="C28" s="310"/>
      <c r="D28" s="1965" t="s">
        <v>369</v>
      </c>
      <c r="E28" s="1967" t="s">
        <v>1647</v>
      </c>
      <c r="F28" s="1966" t="s">
        <v>351</v>
      </c>
      <c r="G28" s="272"/>
      <c r="I28" s="1546"/>
      <c r="J28" s="1546"/>
      <c r="Q28" s="1553">
        <v>0</v>
      </c>
    </row>
    <row r="29" spans="1:17" s="1557" customFormat="1" ht="14.25" hidden="1" customHeight="1">
      <c r="A29" s="278"/>
      <c r="B29" s="1288"/>
      <c r="C29" s="310"/>
      <c r="D29" s="1965" t="s">
        <v>371</v>
      </c>
      <c r="E29" s="1979"/>
      <c r="F29" s="596"/>
      <c r="G29" s="3660" t="s">
        <v>1648</v>
      </c>
      <c r="I29" s="1546"/>
      <c r="J29" s="1546"/>
      <c r="Q29" s="1553">
        <v>0</v>
      </c>
    </row>
    <row r="30" spans="1:17" s="1557" customFormat="1" ht="14.25" hidden="1" customHeight="1">
      <c r="A30" s="278"/>
      <c r="B30" s="1288"/>
      <c r="C30" s="310"/>
      <c r="D30" s="282"/>
      <c r="E30" s="505" t="s">
        <v>1645</v>
      </c>
      <c r="F30" s="273"/>
      <c r="G30" s="3662"/>
      <c r="I30" s="1546"/>
      <c r="J30" s="1546"/>
      <c r="Q30" s="1553">
        <v>0</v>
      </c>
    </row>
    <row r="31" spans="1:17" ht="3" customHeight="1">
      <c r="Q31" s="22">
        <v>3</v>
      </c>
    </row>
    <row r="32" spans="1:17" ht="14.65" customHeight="1">
      <c r="D32" s="271"/>
      <c r="E32" s="270"/>
      <c r="F32" s="250"/>
      <c r="G32" s="250"/>
      <c r="H32" s="250"/>
      <c r="I32" s="250"/>
      <c r="J32" s="250"/>
      <c r="K32" s="250"/>
      <c r="L32" s="250"/>
      <c r="M32" s="250"/>
      <c r="N32" s="250"/>
      <c r="O32" s="250"/>
      <c r="P32" s="250"/>
      <c r="Q32" s="22">
        <v>14</v>
      </c>
    </row>
    <row r="33" spans="1:17" ht="14.65" customHeight="1">
      <c r="D33" s="271"/>
      <c r="E33" s="516"/>
      <c r="Q33" s="22">
        <v>14</v>
      </c>
    </row>
    <row r="34" spans="1:17" ht="14.65" customHeight="1">
      <c r="Q34" s="22">
        <v>14</v>
      </c>
    </row>
    <row r="35" spans="1:17" ht="14.65" customHeight="1">
      <c r="E35" s="690"/>
      <c r="Q35" s="22">
        <v>14</v>
      </c>
    </row>
    <row r="36" spans="1:17" ht="22.5" hidden="1" customHeight="1">
      <c r="A36" s="40" t="s">
        <v>70</v>
      </c>
      <c r="B36" s="82">
        <v>0</v>
      </c>
      <c r="C36" s="36">
        <v>3</v>
      </c>
      <c r="D36" s="22">
        <v>6</v>
      </c>
      <c r="E36" s="22">
        <v>64</v>
      </c>
      <c r="F36" s="22">
        <v>64</v>
      </c>
      <c r="G36" s="22">
        <v>140</v>
      </c>
      <c r="H36" s="22">
        <v>10</v>
      </c>
      <c r="I36" s="90">
        <v>10</v>
      </c>
      <c r="J36" s="90">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68" hidden="1" customWidth="1"/>
    <col min="2" max="2" width="9.140625" style="1288" hidden="1" customWidth="1"/>
    <col min="3" max="3" width="3" style="279" customWidth="1"/>
    <col min="4" max="4" width="6" style="1557" customWidth="1"/>
    <col min="5" max="5" width="63" style="1557" customWidth="1"/>
    <col min="6" max="6" width="1.7109375" style="1557" hidden="1" customWidth="1"/>
    <col min="7" max="8" width="35" style="1557" customWidth="1"/>
    <col min="9" max="9" width="91" style="1557" customWidth="1"/>
    <col min="10" max="10" width="68" style="1557" customWidth="1"/>
    <col min="11" max="12" width="10" style="1546" customWidth="1"/>
    <col min="13" max="13" width="10.5703125" style="1557" hidden="1"/>
  </cols>
  <sheetData>
    <row r="1" spans="1:13" ht="22.5" hidden="1" customHeight="1">
      <c r="M1" s="22" t="s">
        <v>1</v>
      </c>
    </row>
    <row r="2" spans="1:13" s="1557" customFormat="1" ht="18.75" hidden="1" customHeight="1">
      <c r="A2" s="1604"/>
      <c r="B2" s="1082"/>
      <c r="C2" s="1623" t="s">
        <v>90</v>
      </c>
      <c r="D2" s="1594"/>
      <c r="E2" s="134"/>
      <c r="F2" s="1591"/>
      <c r="G2" s="1591" t="s">
        <v>351</v>
      </c>
      <c r="H2" s="1083"/>
      <c r="K2" s="1546"/>
      <c r="L2" s="1546"/>
      <c r="M2" s="1553">
        <v>0</v>
      </c>
    </row>
    <row r="3" spans="1:13" s="1557" customFormat="1" ht="14.25" hidden="1" customHeight="1">
      <c r="A3" s="1284"/>
      <c r="B3" s="1082"/>
      <c r="C3" s="279"/>
      <c r="K3" s="1546"/>
      <c r="L3" s="1546"/>
      <c r="M3" s="1553">
        <v>0</v>
      </c>
    </row>
    <row r="4" spans="1:13" s="1557" customFormat="1" ht="18.75" hidden="1" customHeight="1">
      <c r="A4" s="1604"/>
      <c r="B4" s="1082"/>
      <c r="C4" s="1623" t="s">
        <v>90</v>
      </c>
      <c r="D4" s="1594"/>
      <c r="E4" s="140" t="s">
        <v>1649</v>
      </c>
      <c r="F4" s="1591"/>
      <c r="G4" s="192"/>
      <c r="H4" s="1591" t="s">
        <v>351</v>
      </c>
      <c r="K4" s="1546"/>
      <c r="L4" s="1546"/>
      <c r="M4" s="1553">
        <v>0</v>
      </c>
    </row>
    <row r="5" spans="1:13" s="1557" customFormat="1" ht="14.25" hidden="1" customHeight="1">
      <c r="A5" s="1284"/>
      <c r="B5" s="1082"/>
      <c r="C5" s="279"/>
      <c r="K5" s="1546"/>
      <c r="L5" s="1546"/>
      <c r="M5" s="1553">
        <v>0</v>
      </c>
    </row>
    <row r="6" spans="1:13" s="1557" customFormat="1" ht="18.75" hidden="1" customHeight="1">
      <c r="A6" s="1604"/>
      <c r="B6" s="1082"/>
      <c r="C6" s="1623" t="s">
        <v>90</v>
      </c>
      <c r="D6" s="1594"/>
      <c r="E6" s="141" t="s">
        <v>1650</v>
      </c>
      <c r="F6" s="1591"/>
      <c r="G6" s="192"/>
      <c r="H6" s="1591" t="s">
        <v>351</v>
      </c>
      <c r="K6" s="1546"/>
      <c r="L6" s="1546"/>
      <c r="M6" s="1553">
        <v>0</v>
      </c>
    </row>
    <row r="7" spans="1:13" s="1557" customFormat="1" ht="14.25" hidden="1" customHeight="1">
      <c r="A7" s="1284"/>
      <c r="B7" s="1082"/>
      <c r="C7" s="279"/>
      <c r="K7" s="1546"/>
      <c r="L7" s="1546"/>
      <c r="M7" s="1553">
        <v>0</v>
      </c>
    </row>
    <row r="8" spans="1:13" s="1557" customFormat="1" ht="18.75" hidden="1" customHeight="1">
      <c r="A8" s="1604"/>
      <c r="B8" s="1082"/>
      <c r="C8" s="1623" t="s">
        <v>90</v>
      </c>
      <c r="D8" s="1594"/>
      <c r="E8" s="141" t="s">
        <v>1651</v>
      </c>
      <c r="F8" s="1591"/>
      <c r="G8" s="192"/>
      <c r="H8" s="1591" t="s">
        <v>351</v>
      </c>
      <c r="K8" s="1546"/>
      <c r="L8" s="1546"/>
      <c r="M8" s="1553">
        <v>0</v>
      </c>
    </row>
    <row r="9" spans="1:13" s="1557" customFormat="1" ht="14.25" hidden="1" customHeight="1">
      <c r="A9" s="1284"/>
      <c r="B9" s="1082"/>
      <c r="C9" s="279"/>
      <c r="K9" s="1546"/>
      <c r="L9" s="1546"/>
      <c r="M9" s="1553">
        <v>0</v>
      </c>
    </row>
    <row r="10" spans="1:13" s="1557" customFormat="1" ht="18.75" hidden="1" customHeight="1">
      <c r="A10" s="1604"/>
      <c r="B10" s="1082"/>
      <c r="C10" s="1623" t="s">
        <v>90</v>
      </c>
      <c r="D10" s="1594"/>
      <c r="E10" s="141" t="s">
        <v>1652</v>
      </c>
      <c r="F10" s="1591"/>
      <c r="G10" s="1595"/>
      <c r="H10" s="1591" t="s">
        <v>351</v>
      </c>
      <c r="K10" s="1546"/>
      <c r="L10" s="1546" t="s">
        <v>1653</v>
      </c>
      <c r="M10" s="1553">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64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649"/>
      <c r="F14" s="3649"/>
      <c r="G14" s="3649"/>
      <c r="H14" s="3650"/>
      <c r="J14" s="1553"/>
      <c r="M14" s="22">
        <v>28</v>
      </c>
    </row>
    <row r="15" spans="1:13" s="1557" customFormat="1" ht="14.65" customHeight="1">
      <c r="A15" s="1284"/>
      <c r="B15" s="1082"/>
      <c r="C15" s="310"/>
      <c r="D15" s="3702" t="str">
        <f>IF(org=0,"Не определено",org)</f>
        <v>ООО "Смоленскрегионтеплоэнерго"</v>
      </c>
      <c r="E15" s="3703"/>
      <c r="F15" s="3703"/>
      <c r="G15" s="3703"/>
      <c r="H15" s="3704"/>
      <c r="J15" s="780"/>
      <c r="K15" s="1546"/>
      <c r="L15" s="1546"/>
      <c r="M15" s="1553">
        <v>14</v>
      </c>
    </row>
    <row r="16" spans="1:13" ht="14.65" customHeight="1">
      <c r="C16" s="35"/>
      <c r="D16" s="23"/>
      <c r="E16" s="34"/>
      <c r="F16" s="34"/>
      <c r="G16" s="34"/>
      <c r="H16" s="686"/>
      <c r="I16" s="128"/>
      <c r="M16" s="22">
        <v>14</v>
      </c>
    </row>
    <row r="17" spans="1:13" s="1557" customFormat="1" ht="14.25" hidden="1" customHeight="1">
      <c r="A17" s="1284"/>
      <c r="B17" s="1082"/>
      <c r="C17" s="310"/>
      <c r="D17" s="297"/>
      <c r="E17" s="323"/>
      <c r="F17" s="323"/>
      <c r="G17" s="323"/>
      <c r="H17" s="686"/>
      <c r="I17" s="128"/>
      <c r="K17" s="1546"/>
      <c r="L17" s="1546"/>
      <c r="M17" s="1553">
        <v>0</v>
      </c>
    </row>
    <row r="18" spans="1:13" ht="21.95" customHeight="1">
      <c r="C18" s="35"/>
      <c r="D18" s="3697" t="s">
        <v>345</v>
      </c>
      <c r="E18" s="3697"/>
      <c r="F18" s="3697"/>
      <c r="G18" s="3697"/>
      <c r="H18" s="3697"/>
      <c r="I18" s="3843" t="s">
        <v>346</v>
      </c>
      <c r="M18" s="22">
        <v>21</v>
      </c>
    </row>
    <row r="19" spans="1:13" ht="21.95" customHeight="1">
      <c r="C19" s="35"/>
      <c r="D19" s="44" t="s">
        <v>76</v>
      </c>
      <c r="E19" s="46" t="s">
        <v>347</v>
      </c>
      <c r="F19" s="46"/>
      <c r="G19" s="46" t="s">
        <v>348</v>
      </c>
      <c r="H19" s="46" t="s">
        <v>435</v>
      </c>
      <c r="I19" s="3843"/>
      <c r="M19" s="22">
        <v>21</v>
      </c>
    </row>
    <row r="20" spans="1:13" ht="12" hidden="1" customHeight="1">
      <c r="C20" s="35"/>
      <c r="D20" s="26"/>
      <c r="E20" s="26"/>
      <c r="F20" s="26"/>
      <c r="G20" s="26"/>
      <c r="H20" s="26"/>
      <c r="I20" s="26"/>
      <c r="M20" s="22">
        <v>0</v>
      </c>
    </row>
    <row r="21" spans="1:13" ht="14.65" customHeight="1">
      <c r="A21" s="1604"/>
      <c r="C21" s="35"/>
      <c r="D21" s="83">
        <v>1</v>
      </c>
      <c r="E21" s="3940" t="s">
        <v>1654</v>
      </c>
      <c r="F21" s="3940"/>
      <c r="G21" s="3940"/>
      <c r="H21" s="3940"/>
      <c r="I21" s="143"/>
      <c r="M21" s="22">
        <v>14</v>
      </c>
    </row>
    <row r="22" spans="1:13" ht="21" customHeight="1">
      <c r="A22" s="1604"/>
      <c r="C22" s="35"/>
      <c r="D22" s="83" t="s">
        <v>1540</v>
      </c>
      <c r="E22" s="129" t="s">
        <v>1655</v>
      </c>
      <c r="F22" s="133"/>
      <c r="G22" s="1630"/>
      <c r="H22" s="133" t="s">
        <v>351</v>
      </c>
      <c r="I22" s="86" t="s">
        <v>1656</v>
      </c>
      <c r="M22" s="22">
        <v>20</v>
      </c>
    </row>
    <row r="23" spans="1:13" ht="60" customHeight="1">
      <c r="A23" s="1604"/>
      <c r="C23" s="35"/>
      <c r="D23" s="83" t="s">
        <v>1542</v>
      </c>
      <c r="E23" s="129" t="s">
        <v>1657</v>
      </c>
      <c r="F23" s="133"/>
      <c r="G23" s="192"/>
      <c r="H23" s="148"/>
      <c r="I23" s="193" t="s">
        <v>1658</v>
      </c>
      <c r="M23" s="22">
        <v>57</v>
      </c>
    </row>
    <row r="24" spans="1:13" ht="14.65" customHeight="1">
      <c r="A24" s="1604"/>
      <c r="B24" s="82">
        <v>3</v>
      </c>
      <c r="C24" s="35"/>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351</v>
      </c>
      <c r="H24" s="148"/>
      <c r="I24" s="194" t="s">
        <v>952</v>
      </c>
      <c r="M24" s="22">
        <v>14</v>
      </c>
    </row>
    <row r="25" spans="1:13" ht="48.2" customHeight="1">
      <c r="A25" s="1604"/>
      <c r="C25" s="35"/>
      <c r="D25" s="83">
        <v>3</v>
      </c>
      <c r="E25" s="39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940"/>
      <c r="G25" s="3940"/>
      <c r="H25" s="3940"/>
      <c r="I25" s="191"/>
      <c r="M25" s="22">
        <v>46</v>
      </c>
    </row>
    <row r="26" spans="1:13" ht="14.65" customHeight="1">
      <c r="A26" s="1604"/>
      <c r="C26" s="35"/>
      <c r="D26" s="83" t="s">
        <v>369</v>
      </c>
      <c r="E26" s="134"/>
      <c r="F26" s="133"/>
      <c r="G26" s="133" t="s">
        <v>351</v>
      </c>
      <c r="H26" s="148"/>
      <c r="I26" s="3660" t="s">
        <v>1659</v>
      </c>
      <c r="M26" s="22">
        <v>14</v>
      </c>
    </row>
    <row r="27" spans="1:13" ht="15.75" customHeight="1">
      <c r="A27" s="1604" t="s">
        <v>164</v>
      </c>
      <c r="C27" s="35"/>
      <c r="D27" s="47"/>
      <c r="E27" s="138" t="s">
        <v>367</v>
      </c>
      <c r="F27" s="139"/>
      <c r="G27" s="139"/>
      <c r="H27" s="136"/>
      <c r="I27" s="3662"/>
      <c r="M27" s="22">
        <v>15</v>
      </c>
    </row>
    <row r="28" spans="1:13" ht="39.75" customHeight="1">
      <c r="A28" s="1604"/>
      <c r="B28" s="82">
        <v>3</v>
      </c>
      <c r="C28" s="35"/>
      <c r="D28" s="83">
        <v>4</v>
      </c>
      <c r="E28" s="39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940"/>
      <c r="G28" s="3940"/>
      <c r="H28" s="3940"/>
      <c r="I28" s="191"/>
      <c r="M28" s="22">
        <v>38</v>
      </c>
    </row>
    <row r="29" spans="1:13" ht="21" customHeight="1">
      <c r="A29" s="1604"/>
      <c r="C29" s="35"/>
      <c r="D29" s="83" t="s">
        <v>1080</v>
      </c>
      <c r="E29" s="140" t="s">
        <v>1649</v>
      </c>
      <c r="F29" s="133"/>
      <c r="G29" s="192"/>
      <c r="H29" s="133" t="s">
        <v>351</v>
      </c>
      <c r="I29" s="3660" t="s">
        <v>1660</v>
      </c>
      <c r="M29" s="22">
        <v>20</v>
      </c>
    </row>
    <row r="30" spans="1:13" ht="15.75" customHeight="1">
      <c r="A30" s="1604" t="s">
        <v>89</v>
      </c>
      <c r="C30" s="35"/>
      <c r="D30" s="47"/>
      <c r="E30" s="138" t="s">
        <v>367</v>
      </c>
      <c r="F30" s="139"/>
      <c r="G30" s="139"/>
      <c r="H30" s="136"/>
      <c r="I30" s="3662"/>
      <c r="M30" s="22">
        <v>15</v>
      </c>
    </row>
    <row r="31" spans="1:13" ht="31.5" customHeight="1">
      <c r="A31" s="1604"/>
      <c r="B31" s="82">
        <v>3</v>
      </c>
      <c r="C31" s="35"/>
      <c r="D31" s="83">
        <v>5</v>
      </c>
      <c r="E31" s="39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940"/>
      <c r="G31" s="3940"/>
      <c r="H31" s="3940"/>
      <c r="I31" s="191"/>
      <c r="M31" s="22">
        <v>30</v>
      </c>
    </row>
    <row r="32" spans="1:13" ht="27.4" customHeight="1">
      <c r="A32" s="1604"/>
      <c r="C32" s="35"/>
      <c r="D32" s="83" t="s">
        <v>358</v>
      </c>
      <c r="E32" s="387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872"/>
      <c r="G32" s="3872"/>
      <c r="H32" s="3872"/>
      <c r="I32" s="191"/>
      <c r="M32" s="22">
        <v>26</v>
      </c>
    </row>
    <row r="33" spans="1:13" ht="14.65" customHeight="1">
      <c r="A33" s="1604"/>
      <c r="C33" s="35"/>
      <c r="D33" s="83" t="s">
        <v>1661</v>
      </c>
      <c r="E33" s="141" t="s">
        <v>1650</v>
      </c>
      <c r="F33" s="133"/>
      <c r="G33" s="192"/>
      <c r="H33" s="133" t="s">
        <v>351</v>
      </c>
      <c r="I33" s="3660" t="s">
        <v>1662</v>
      </c>
      <c r="M33" s="22">
        <v>14</v>
      </c>
    </row>
    <row r="34" spans="1:13" ht="15.75" customHeight="1">
      <c r="A34" s="1604" t="s">
        <v>78</v>
      </c>
      <c r="C34" s="35"/>
      <c r="D34" s="47"/>
      <c r="E34" s="139" t="s">
        <v>367</v>
      </c>
      <c r="F34" s="135"/>
      <c r="G34" s="135"/>
      <c r="H34" s="136"/>
      <c r="I34" s="3662"/>
      <c r="M34" s="22">
        <v>15</v>
      </c>
    </row>
    <row r="35" spans="1:13" ht="25.15" customHeight="1">
      <c r="A35" s="1604"/>
      <c r="C35" s="35"/>
      <c r="D35" s="83" t="s">
        <v>1222</v>
      </c>
      <c r="E35" s="387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872"/>
      <c r="G35" s="3872"/>
      <c r="H35" s="3872"/>
      <c r="I35" s="191"/>
      <c r="M35" s="22">
        <v>24</v>
      </c>
    </row>
    <row r="36" spans="1:13" ht="14.65" customHeight="1">
      <c r="A36" s="1604"/>
      <c r="C36" s="35"/>
      <c r="D36" s="83" t="s">
        <v>1663</v>
      </c>
      <c r="E36" s="141" t="s">
        <v>1651</v>
      </c>
      <c r="F36" s="133"/>
      <c r="G36" s="192"/>
      <c r="H36" s="133" t="s">
        <v>351</v>
      </c>
      <c r="I36" s="3634" t="s">
        <v>1664</v>
      </c>
      <c r="M36" s="22">
        <v>14</v>
      </c>
    </row>
    <row r="37" spans="1:13" ht="15.75" customHeight="1">
      <c r="A37" s="1604" t="s">
        <v>79</v>
      </c>
      <c r="C37" s="35"/>
      <c r="D37" s="47"/>
      <c r="E37" s="139" t="s">
        <v>367</v>
      </c>
      <c r="F37" s="135"/>
      <c r="G37" s="135"/>
      <c r="H37" s="136"/>
      <c r="I37" s="3634"/>
      <c r="M37" s="22">
        <v>15</v>
      </c>
    </row>
    <row r="38" spans="1:13" ht="27.4" customHeight="1">
      <c r="A38" s="1604"/>
      <c r="C38" s="35"/>
      <c r="D38" s="83" t="s">
        <v>1223</v>
      </c>
      <c r="E38" s="387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872"/>
      <c r="G38" s="3872"/>
      <c r="H38" s="3872"/>
      <c r="I38" s="191"/>
      <c r="M38" s="22">
        <v>26</v>
      </c>
    </row>
    <row r="39" spans="1:13" ht="14.65" customHeight="1">
      <c r="A39" s="1604"/>
      <c r="C39" s="35"/>
      <c r="D39" s="83" t="s">
        <v>1224</v>
      </c>
      <c r="E39" s="141" t="s">
        <v>1652</v>
      </c>
      <c r="F39" s="133"/>
      <c r="G39" s="142"/>
      <c r="H39" s="133" t="s">
        <v>351</v>
      </c>
      <c r="I39" s="3660" t="s">
        <v>1665</v>
      </c>
      <c r="L39" s="90" t="s">
        <v>1653</v>
      </c>
      <c r="M39" s="22">
        <v>14</v>
      </c>
    </row>
    <row r="40" spans="1:13" ht="15.75" customHeight="1">
      <c r="A40" s="1604" t="s">
        <v>100</v>
      </c>
      <c r="C40" s="35"/>
      <c r="D40" s="47"/>
      <c r="E40" s="139" t="s">
        <v>367</v>
      </c>
      <c r="F40" s="135"/>
      <c r="G40" s="135"/>
      <c r="H40" s="136"/>
      <c r="I40" s="3662"/>
      <c r="M40" s="22">
        <v>15</v>
      </c>
    </row>
    <row r="41" spans="1:13" s="1714" customFormat="1" ht="3" customHeight="1">
      <c r="A41" s="1604"/>
      <c r="K41" s="131"/>
      <c r="L41" s="131"/>
      <c r="M41" s="77">
        <v>3</v>
      </c>
    </row>
    <row r="42" spans="1:13" ht="26.25" customHeight="1">
      <c r="D42" s="1602" t="s">
        <v>1142</v>
      </c>
      <c r="E42" s="375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757"/>
      <c r="G42" s="3757"/>
      <c r="H42" s="3757"/>
      <c r="I42" s="3757"/>
      <c r="M42" s="22">
        <v>25</v>
      </c>
    </row>
    <row r="43" spans="1:13" ht="22.5" hidden="1" customHeight="1">
      <c r="A43" s="1284" t="s">
        <v>70</v>
      </c>
      <c r="B43" s="82">
        <v>0</v>
      </c>
      <c r="C43" s="36">
        <v>3</v>
      </c>
      <c r="D43" s="22">
        <v>6</v>
      </c>
      <c r="E43" s="22">
        <v>63</v>
      </c>
      <c r="F43" s="22">
        <v>0</v>
      </c>
      <c r="G43" s="22">
        <v>35</v>
      </c>
      <c r="H43" s="22">
        <v>35</v>
      </c>
      <c r="I43" s="22">
        <v>91</v>
      </c>
      <c r="J43" s="22">
        <v>68</v>
      </c>
      <c r="K43" s="90">
        <v>10</v>
      </c>
      <c r="L43" s="90">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71" hidden="1" customWidth="1"/>
    <col min="3" max="3" width="9.140625" style="1608" hidden="1" customWidth="1"/>
    <col min="4" max="4" width="3" style="279" customWidth="1"/>
    <col min="5" max="5" width="6" style="1557" customWidth="1"/>
    <col min="6" max="6" width="46.7109375" style="1557" customWidth="1"/>
    <col min="7" max="7" width="35" style="1557" customWidth="1"/>
    <col min="8" max="8" width="3" style="1557" customWidth="1"/>
    <col min="9" max="10" width="11" style="1557" customWidth="1"/>
    <col min="11" max="12" width="35" style="1557" customWidth="1"/>
    <col min="13" max="13" width="84" style="1557" customWidth="1"/>
    <col min="14" max="14" width="10" style="1557" customWidth="1"/>
    <col min="15" max="16" width="10" style="1546" customWidth="1"/>
    <col min="17" max="33" width="10" style="1557" customWidth="1"/>
    <col min="34" max="34" width="10.5703125" style="1557" hidden="1"/>
  </cols>
  <sheetData>
    <row r="1" spans="1:34" s="1557" customFormat="1" ht="22.5" hidden="1" customHeight="1">
      <c r="A1" s="1671"/>
      <c r="B1" s="1671"/>
      <c r="C1" s="303"/>
      <c r="D1" s="279"/>
      <c r="N1" s="1558">
        <f>IFERROR(MATCH("метод экономически обоснованных расходов (затрат)",OFFER_METHOD,0),0)</f>
        <v>0</v>
      </c>
      <c r="O1" s="1546"/>
      <c r="P1" s="1546"/>
      <c r="T1" s="759"/>
      <c r="AG1" s="190"/>
      <c r="AH1" s="1553" t="s">
        <v>1</v>
      </c>
    </row>
    <row r="2" spans="1:34" s="1557" customFormat="1" ht="18.75" hidden="1" customHeight="1">
      <c r="A2" s="1672" t="s">
        <v>202</v>
      </c>
      <c r="B2" s="1672" t="s">
        <v>203</v>
      </c>
      <c r="C2" s="303"/>
      <c r="D2" s="279"/>
      <c r="E2" s="957"/>
      <c r="F2" s="957"/>
      <c r="G2" s="3910" t="str">
        <f>INDEX(PT_DIFFERENTIATION_NTAR,MATCH(B2,PT_DIFFERENTIATION_NTAR_ID,0))</f>
        <v/>
      </c>
      <c r="H2" s="1753"/>
      <c r="I2" s="1632"/>
      <c r="J2" s="1666"/>
      <c r="K2" s="1754"/>
      <c r="L2" s="1753" t="s">
        <v>351</v>
      </c>
      <c r="M2" s="1764"/>
      <c r="N2" s="269"/>
      <c r="O2" s="1546"/>
      <c r="P2" s="1546"/>
      <c r="AH2" s="1553">
        <v>0</v>
      </c>
    </row>
    <row r="3" spans="1:34" s="1557" customFormat="1" ht="18.75" hidden="1" customHeight="1">
      <c r="A3" s="1672"/>
      <c r="B3" s="1672"/>
      <c r="C3" s="303" t="s">
        <v>1666</v>
      </c>
      <c r="D3" s="279"/>
      <c r="E3" s="957"/>
      <c r="F3" s="957"/>
      <c r="G3" s="3910"/>
      <c r="H3" s="1422"/>
      <c r="I3" s="585" t="s">
        <v>1667</v>
      </c>
      <c r="J3" s="505"/>
      <c r="K3" s="1422"/>
      <c r="L3" s="149"/>
      <c r="M3" s="1764"/>
      <c r="N3" s="269"/>
      <c r="O3" s="1546"/>
      <c r="P3" s="1546"/>
      <c r="AH3" s="1553">
        <v>0</v>
      </c>
    </row>
    <row r="4" spans="1:34" s="1557" customFormat="1" ht="14.25" hidden="1" customHeight="1">
      <c r="A4" s="1671"/>
      <c r="B4" s="1671"/>
      <c r="C4" s="303"/>
      <c r="D4" s="279"/>
      <c r="N4" s="1558">
        <f>IFERROR(MATCH("метод экономически обоснованных расходов (затрат)",OFFER_METHOD,0),0)</f>
        <v>0</v>
      </c>
      <c r="O4" s="1546"/>
      <c r="P4" s="1546"/>
      <c r="T4" s="759"/>
      <c r="AG4" s="190"/>
      <c r="AH4" s="1553">
        <v>0</v>
      </c>
    </row>
    <row r="5" spans="1:34" s="1557" customFormat="1" ht="18.75" hidden="1" customHeight="1">
      <c r="A5" s="1672" t="s">
        <v>202</v>
      </c>
      <c r="B5" s="1672" t="s">
        <v>203</v>
      </c>
      <c r="C5" s="303"/>
      <c r="D5" s="279"/>
      <c r="E5" s="957"/>
      <c r="F5" s="957"/>
      <c r="G5" s="3910" t="str">
        <f>INDEX(PT_DIFFERENTIATION_NTAR,MATCH(B5,PT_DIFFERENTIATION_NTAR_ID,0))</f>
        <v/>
      </c>
      <c r="H5" s="1753"/>
      <c r="I5" s="1632"/>
      <c r="J5" s="1666"/>
      <c r="K5" s="1670"/>
      <c r="L5" s="1753" t="s">
        <v>351</v>
      </c>
      <c r="M5" s="1764"/>
      <c r="N5" s="269"/>
      <c r="O5" s="1546"/>
      <c r="P5" s="1546"/>
      <c r="AH5" s="1553">
        <v>0</v>
      </c>
    </row>
    <row r="6" spans="1:34" s="1557" customFormat="1" ht="18.75" hidden="1" customHeight="1">
      <c r="A6" s="1672"/>
      <c r="B6" s="1672"/>
      <c r="C6" s="303" t="s">
        <v>1668</v>
      </c>
      <c r="D6" s="279"/>
      <c r="E6" s="957"/>
      <c r="F6" s="957"/>
      <c r="G6" s="3910"/>
      <c r="H6" s="1422"/>
      <c r="I6" s="585" t="s">
        <v>1667</v>
      </c>
      <c r="J6" s="505"/>
      <c r="K6" s="1422"/>
      <c r="L6" s="149"/>
      <c r="M6" s="1764"/>
      <c r="N6" s="269"/>
      <c r="O6" s="1546"/>
      <c r="P6" s="1546"/>
      <c r="AH6" s="1553">
        <v>0</v>
      </c>
    </row>
    <row r="7" spans="1:34" s="1557" customFormat="1" ht="14.25" hidden="1" customHeight="1">
      <c r="A7" s="1671"/>
      <c r="B7" s="1671"/>
      <c r="C7" s="303"/>
      <c r="D7" s="279"/>
      <c r="N7" s="1558">
        <f>IFERROR(MATCH("метод экономически обоснованных расходов (затрат)",OFFER_METHOD,0),0)</f>
        <v>0</v>
      </c>
      <c r="O7" s="1546"/>
      <c r="P7" s="1546"/>
      <c r="T7" s="759"/>
      <c r="AG7" s="190"/>
      <c r="AH7" s="1553">
        <v>0</v>
      </c>
    </row>
    <row r="8" spans="1:34" s="1557" customFormat="1" ht="56.25" hidden="1" customHeight="1">
      <c r="A8" s="1672"/>
      <c r="B8" s="1672"/>
      <c r="C8" s="303"/>
      <c r="D8" s="279"/>
      <c r="E8" s="957"/>
      <c r="F8" s="957"/>
      <c r="G8" s="957"/>
      <c r="H8" s="1664"/>
      <c r="I8" s="1632"/>
      <c r="J8" s="1666"/>
      <c r="K8" s="1754"/>
      <c r="L8" s="1664" t="s">
        <v>351</v>
      </c>
      <c r="M8" s="1764"/>
      <c r="N8" s="269"/>
      <c r="O8" s="1546"/>
      <c r="P8" s="1546"/>
      <c r="AH8" s="1553">
        <v>0</v>
      </c>
    </row>
    <row r="9" spans="1:34" ht="14.25" hidden="1" customHeight="1">
      <c r="T9" s="331"/>
      <c r="AG9" s="190"/>
      <c r="AH9" s="308">
        <v>0</v>
      </c>
    </row>
    <row r="10" spans="1:34" s="1557" customFormat="1" ht="56.25" hidden="1" customHeight="1">
      <c r="A10" s="1672"/>
      <c r="B10" s="1672"/>
      <c r="C10" s="303"/>
      <c r="D10" s="279"/>
      <c r="E10" s="957"/>
      <c r="F10" s="957"/>
      <c r="G10" s="957"/>
      <c r="H10" s="1663"/>
      <c r="I10" s="1632"/>
      <c r="J10" s="1666"/>
      <c r="K10" s="1670"/>
      <c r="L10" s="1664" t="s">
        <v>351</v>
      </c>
      <c r="M10" s="1764"/>
      <c r="N10" s="269"/>
      <c r="O10" s="1546"/>
      <c r="P10" s="1546"/>
      <c r="AH10" s="1553">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39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944"/>
      <c r="G14" s="3944"/>
      <c r="H14" s="3944"/>
      <c r="I14" s="3944"/>
      <c r="J14" s="3944"/>
      <c r="K14" s="3944"/>
      <c r="L14" s="3944"/>
      <c r="M14" s="155"/>
      <c r="AH14" s="308">
        <v>14</v>
      </c>
    </row>
    <row r="15" spans="1:34" ht="6.4" customHeight="1">
      <c r="D15" s="310"/>
      <c r="E15" s="297"/>
      <c r="F15" s="323"/>
      <c r="G15" s="323"/>
      <c r="H15" s="323"/>
      <c r="I15" s="323"/>
      <c r="J15" s="323"/>
      <c r="K15" s="323"/>
      <c r="L15" s="257"/>
      <c r="M15" s="128"/>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утверждении тарифов</v>
      </c>
      <c r="G16" s="3739" t="str">
        <f>IF(TITLE_DATE_PR_CHANGE="",IF(TITLE_DATE_PR="","",TITLE_DATE_PR),TITLE_DATE_PR_CHANGE)</f>
        <v/>
      </c>
      <c r="H16" s="3739"/>
      <c r="I16" s="3739"/>
      <c r="J16" s="3739"/>
      <c r="K16" s="3739"/>
      <c r="L16" s="3739"/>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утверждении тарифов</v>
      </c>
      <c r="G17" s="3730" t="str">
        <f>IF(TITLE_NUMBER_PR_CHANGE="",IF(TITLE_NUMBER_PR="","",TITLE_NUMBER_PR),TITLE_NUMBER_PR_CHANGE)</f>
        <v/>
      </c>
      <c r="H17" s="3730"/>
      <c r="I17" s="3730"/>
      <c r="J17" s="3730"/>
      <c r="K17" s="3730"/>
      <c r="L17" s="3730"/>
      <c r="M17" s="332"/>
      <c r="N17" s="261"/>
      <c r="AH17" s="308">
        <v>23</v>
      </c>
    </row>
    <row r="18" spans="1:34" ht="14.65" customHeight="1">
      <c r="D18" s="310"/>
      <c r="E18" s="297"/>
      <c r="F18" s="323"/>
      <c r="G18" s="323"/>
      <c r="H18" s="323"/>
      <c r="I18" s="323"/>
      <c r="J18" s="323"/>
      <c r="K18" s="323"/>
      <c r="L18" s="686"/>
      <c r="M18" s="128"/>
      <c r="AH18" s="308">
        <v>14</v>
      </c>
    </row>
    <row r="19" spans="1:34" ht="21.95" customHeight="1">
      <c r="D19" s="310"/>
      <c r="E19" s="3697" t="s">
        <v>345</v>
      </c>
      <c r="F19" s="3697"/>
      <c r="G19" s="3697"/>
      <c r="H19" s="3697"/>
      <c r="I19" s="3697"/>
      <c r="J19" s="3697"/>
      <c r="K19" s="3697"/>
      <c r="L19" s="3697"/>
      <c r="M19" s="3843" t="s">
        <v>346</v>
      </c>
      <c r="AH19" s="308">
        <v>21</v>
      </c>
    </row>
    <row r="20" spans="1:34" ht="21.95" customHeight="1">
      <c r="D20" s="310"/>
      <c r="E20" s="3749" t="s">
        <v>76</v>
      </c>
      <c r="F20" s="3710" t="s">
        <v>175</v>
      </c>
      <c r="G20" s="3710" t="s">
        <v>176</v>
      </c>
      <c r="H20" s="3840" t="s">
        <v>1669</v>
      </c>
      <c r="I20" s="3841"/>
      <c r="J20" s="3921"/>
      <c r="K20" s="3710" t="s">
        <v>348</v>
      </c>
      <c r="L20" s="3710" t="s">
        <v>435</v>
      </c>
      <c r="M20" s="3843"/>
      <c r="AH20" s="308">
        <v>21</v>
      </c>
    </row>
    <row r="21" spans="1:34" ht="21.95" customHeight="1">
      <c r="D21" s="310"/>
      <c r="E21" s="3751"/>
      <c r="F21" s="3711"/>
      <c r="G21" s="3711"/>
      <c r="H21" s="3705" t="s">
        <v>1670</v>
      </c>
      <c r="I21" s="3707"/>
      <c r="J21" s="46" t="s">
        <v>1671</v>
      </c>
      <c r="K21" s="3711"/>
      <c r="L21" s="3711"/>
      <c r="M21" s="3843"/>
      <c r="AH21" s="308">
        <v>21</v>
      </c>
    </row>
    <row r="22" spans="1:34" ht="12.75" customHeight="1">
      <c r="D22" s="310"/>
      <c r="E22" s="216"/>
      <c r="F22" s="216"/>
      <c r="G22" s="216"/>
      <c r="H22" s="3946"/>
      <c r="I22" s="3946"/>
      <c r="J22" s="216"/>
      <c r="K22" s="216"/>
      <c r="L22" s="216"/>
      <c r="M22" s="216"/>
      <c r="AH22" s="308">
        <v>12</v>
      </c>
    </row>
    <row r="23" spans="1:34" ht="19.899999999999999" customHeight="1">
      <c r="A23" s="1672"/>
      <c r="B23" s="1672"/>
      <c r="D23" s="310"/>
      <c r="E23" s="1755" t="s">
        <v>164</v>
      </c>
      <c r="F23" s="3947" t="str">
        <f>"Предлагаемый метод регулирования"&amp;IF(TEMPLATE_SPHERE="HEAT"," в сфере "&amp;TEMPLATE_SPHERE_RUS,"")</f>
        <v>Предлагаемый метод регулирования в сфере теплоснабжения</v>
      </c>
      <c r="G23" s="3947"/>
      <c r="H23" s="3940"/>
      <c r="I23" s="3940"/>
      <c r="J23" s="3940"/>
      <c r="K23" s="3947" t="s">
        <v>351</v>
      </c>
      <c r="L23" s="3940"/>
      <c r="M23" s="1662"/>
      <c r="N23" s="269"/>
      <c r="AH23" s="308">
        <v>19</v>
      </c>
    </row>
    <row r="24" spans="1:34" ht="60.75" hidden="1" customHeight="1">
      <c r="A24" s="1672" t="s">
        <v>202</v>
      </c>
      <c r="B24" s="1672" t="s">
        <v>203</v>
      </c>
      <c r="D24" s="3945"/>
      <c r="E24" s="3692"/>
      <c r="F24" s="39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910" t="str">
        <f>INDEX(PT_DIFFERENTIATION_NTAR,MATCH(B24,PT_DIFFERENTIATION_NTAR_ID,0))</f>
        <v/>
      </c>
      <c r="H24" s="1751"/>
      <c r="I24" s="1632"/>
      <c r="J24" s="1666"/>
      <c r="K24" s="1754"/>
      <c r="L24" s="1661" t="s">
        <v>351</v>
      </c>
      <c r="M24" s="36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1557" customFormat="1" ht="18.75" hidden="1" customHeight="1">
      <c r="A25" s="1672"/>
      <c r="B25" s="1672"/>
      <c r="C25" s="303" t="s">
        <v>1666</v>
      </c>
      <c r="D25" s="3945"/>
      <c r="E25" s="3692"/>
      <c r="F25" s="3948"/>
      <c r="G25" s="3910"/>
      <c r="H25" s="1422"/>
      <c r="I25" s="585" t="s">
        <v>1667</v>
      </c>
      <c r="J25" s="505"/>
      <c r="K25" s="1422"/>
      <c r="L25" s="149"/>
      <c r="M25" s="3661"/>
      <c r="N25" s="269"/>
      <c r="O25" s="1546"/>
      <c r="P25" s="1546"/>
      <c r="AH25" s="1553">
        <v>0</v>
      </c>
    </row>
    <row r="26" spans="1:34" ht="0.75" hidden="1" customHeight="1">
      <c r="A26" s="1672"/>
      <c r="B26" s="1672"/>
      <c r="C26" s="303" t="s">
        <v>1672</v>
      </c>
      <c r="D26" s="3945"/>
      <c r="E26" s="3692"/>
      <c r="F26" s="3838"/>
      <c r="G26" s="334"/>
      <c r="H26" s="1422"/>
      <c r="I26" s="329"/>
      <c r="J26" s="283"/>
      <c r="K26" s="1422"/>
      <c r="L26" s="136"/>
      <c r="M26" s="3661"/>
      <c r="N26" s="269"/>
      <c r="AH26" s="308">
        <v>0</v>
      </c>
    </row>
    <row r="27" spans="1:34" s="1557" customFormat="1" ht="45" hidden="1" customHeight="1">
      <c r="A27" s="1672" t="s">
        <v>207</v>
      </c>
      <c r="B27" s="1672" t="s">
        <v>208</v>
      </c>
      <c r="C27" s="303"/>
      <c r="D27" s="3941"/>
      <c r="E27" s="3942"/>
      <c r="F27" s="3943" t="str">
        <f>INDEX(PT_DIFFERENTIATION_VTAR,MATCH(A27,PT_DIFFERENTIATION_VTAR_ID,0))</f>
        <v/>
      </c>
      <c r="G27" s="3910" t="str">
        <f>INDEX(PT_DIFFERENTIATION_NTAR,MATCH(B27,PT_DIFFERENTIATION_NTAR_ID,0))</f>
        <v/>
      </c>
      <c r="H27" s="1751"/>
      <c r="I27" s="1632"/>
      <c r="J27" s="1666"/>
      <c r="K27" s="1754"/>
      <c r="L27" s="1751" t="s">
        <v>351</v>
      </c>
      <c r="M27" s="3661"/>
      <c r="N27" s="269"/>
      <c r="O27" s="1546"/>
      <c r="P27" s="1546"/>
      <c r="AH27" s="1553">
        <v>0</v>
      </c>
    </row>
    <row r="28" spans="1:34" s="1557" customFormat="1" ht="18.75" hidden="1" customHeight="1">
      <c r="A28" s="1672"/>
      <c r="B28" s="1672"/>
      <c r="C28" s="303" t="s">
        <v>1666</v>
      </c>
      <c r="D28" s="3941"/>
      <c r="E28" s="3942"/>
      <c r="F28" s="3943"/>
      <c r="G28" s="3910"/>
      <c r="H28" s="1422"/>
      <c r="I28" s="585" t="s">
        <v>1667</v>
      </c>
      <c r="J28" s="505"/>
      <c r="K28" s="1422"/>
      <c r="L28" s="149"/>
      <c r="M28" s="3661"/>
      <c r="N28" s="269"/>
      <c r="O28" s="1546"/>
      <c r="P28" s="1546"/>
      <c r="AH28" s="1553">
        <v>0</v>
      </c>
    </row>
    <row r="29" spans="1:34" s="1557" customFormat="1" ht="0.75" hidden="1" customHeight="1">
      <c r="A29" s="1672"/>
      <c r="B29" s="1672"/>
      <c r="C29" s="303" t="s">
        <v>1672</v>
      </c>
      <c r="D29" s="3941"/>
      <c r="E29" s="3692"/>
      <c r="F29" s="3838"/>
      <c r="G29" s="334"/>
      <c r="H29" s="1422"/>
      <c r="I29" s="585"/>
      <c r="J29" s="505"/>
      <c r="K29" s="1422"/>
      <c r="L29" s="149"/>
      <c r="M29" s="3661"/>
      <c r="N29" s="269"/>
      <c r="O29" s="1546"/>
      <c r="P29" s="1546"/>
      <c r="AH29" s="1553">
        <v>0</v>
      </c>
    </row>
    <row r="30" spans="1:34" s="1557" customFormat="1" ht="45" hidden="1" customHeight="1">
      <c r="A30" s="1672" t="s">
        <v>214</v>
      </c>
      <c r="B30" s="1672" t="s">
        <v>215</v>
      </c>
      <c r="C30" s="303"/>
      <c r="D30" s="3941"/>
      <c r="E30" s="3692"/>
      <c r="F30" s="38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910" t="str">
        <f>INDEX(PT_DIFFERENTIATION_NTAR,MATCH(B30,PT_DIFFERENTIATION_NTAR_ID,0))</f>
        <v/>
      </c>
      <c r="H30" s="1751"/>
      <c r="I30" s="1632"/>
      <c r="J30" s="1666"/>
      <c r="K30" s="1754"/>
      <c r="L30" s="1751" t="s">
        <v>351</v>
      </c>
      <c r="M30" s="3661"/>
      <c r="N30" s="269"/>
      <c r="O30" s="1546"/>
      <c r="P30" s="1546"/>
      <c r="AH30" s="1553">
        <v>0</v>
      </c>
    </row>
    <row r="31" spans="1:34" s="1557" customFormat="1" ht="18.75" hidden="1" customHeight="1">
      <c r="A31" s="1672"/>
      <c r="B31" s="1672"/>
      <c r="C31" s="303" t="s">
        <v>1666</v>
      </c>
      <c r="D31" s="3941"/>
      <c r="E31" s="3692"/>
      <c r="F31" s="3838"/>
      <c r="G31" s="3910"/>
      <c r="H31" s="1422"/>
      <c r="I31" s="585" t="s">
        <v>1667</v>
      </c>
      <c r="J31" s="505"/>
      <c r="K31" s="1422"/>
      <c r="L31" s="149"/>
      <c r="M31" s="3661"/>
      <c r="N31" s="269"/>
      <c r="O31" s="1546"/>
      <c r="P31" s="1546"/>
      <c r="AH31" s="1553">
        <v>0</v>
      </c>
    </row>
    <row r="32" spans="1:34" s="1557" customFormat="1" ht="0.75" hidden="1" customHeight="1">
      <c r="A32" s="1672"/>
      <c r="B32" s="1672"/>
      <c r="C32" s="303" t="s">
        <v>1672</v>
      </c>
      <c r="D32" s="3941"/>
      <c r="E32" s="3692"/>
      <c r="F32" s="3838"/>
      <c r="G32" s="334"/>
      <c r="H32" s="1422"/>
      <c r="I32" s="585"/>
      <c r="J32" s="505"/>
      <c r="K32" s="1422"/>
      <c r="L32" s="149"/>
      <c r="M32" s="3661"/>
      <c r="N32" s="269"/>
      <c r="O32" s="1546"/>
      <c r="P32" s="1546"/>
      <c r="AH32" s="1553">
        <v>0</v>
      </c>
    </row>
    <row r="33" spans="1:34" s="1557" customFormat="1" ht="45" hidden="1" customHeight="1">
      <c r="A33" s="1672" t="s">
        <v>220</v>
      </c>
      <c r="B33" s="1672" t="s">
        <v>221</v>
      </c>
      <c r="C33" s="303"/>
      <c r="D33" s="3941"/>
      <c r="E33" s="3692"/>
      <c r="F33" s="38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910" t="str">
        <f>INDEX(PT_DIFFERENTIATION_NTAR,MATCH(B33,PT_DIFFERENTIATION_NTAR_ID,0))</f>
        <v/>
      </c>
      <c r="H33" s="1751"/>
      <c r="I33" s="1632"/>
      <c r="J33" s="1666"/>
      <c r="K33" s="1754"/>
      <c r="L33" s="1751" t="s">
        <v>351</v>
      </c>
      <c r="M33" s="3661"/>
      <c r="N33" s="269"/>
      <c r="O33" s="1546"/>
      <c r="P33" s="1546"/>
      <c r="AH33" s="1553">
        <v>0</v>
      </c>
    </row>
    <row r="34" spans="1:34" s="1557" customFormat="1" ht="18.75" hidden="1" customHeight="1">
      <c r="A34" s="1672"/>
      <c r="B34" s="1672"/>
      <c r="C34" s="303" t="s">
        <v>1666</v>
      </c>
      <c r="D34" s="3941"/>
      <c r="E34" s="3692"/>
      <c r="F34" s="3838"/>
      <c r="G34" s="3910"/>
      <c r="H34" s="1422"/>
      <c r="I34" s="585" t="s">
        <v>1667</v>
      </c>
      <c r="J34" s="505"/>
      <c r="K34" s="1422"/>
      <c r="L34" s="149"/>
      <c r="M34" s="3661"/>
      <c r="N34" s="269"/>
      <c r="O34" s="1546"/>
      <c r="P34" s="1546"/>
      <c r="AH34" s="1553">
        <v>0</v>
      </c>
    </row>
    <row r="35" spans="1:34" s="1557" customFormat="1" ht="0.75" hidden="1" customHeight="1">
      <c r="A35" s="1672"/>
      <c r="B35" s="1672"/>
      <c r="C35" s="303" t="s">
        <v>1672</v>
      </c>
      <c r="D35" s="3941"/>
      <c r="E35" s="3692"/>
      <c r="F35" s="3838"/>
      <c r="G35" s="334"/>
      <c r="H35" s="1422"/>
      <c r="I35" s="585"/>
      <c r="J35" s="505"/>
      <c r="K35" s="1422"/>
      <c r="L35" s="149"/>
      <c r="M35" s="3661"/>
      <c r="N35" s="269"/>
      <c r="O35" s="1546"/>
      <c r="P35" s="1546"/>
      <c r="AH35" s="1553">
        <v>0</v>
      </c>
    </row>
    <row r="36" spans="1:34" s="1557" customFormat="1" ht="18.75" hidden="1" customHeight="1">
      <c r="A36" s="1672" t="s">
        <v>226</v>
      </c>
      <c r="B36" s="1672" t="s">
        <v>227</v>
      </c>
      <c r="C36" s="303"/>
      <c r="D36" s="3941"/>
      <c r="E36" s="3692"/>
      <c r="F36" s="3838" t="str">
        <f>INDEX(PT_DIFFERENTIATION_VTAR,MATCH(A36,PT_DIFFERENTIATION_VTAR_ID,0))</f>
        <v>Тарифы на услуги по передаче тепловой энергии</v>
      </c>
      <c r="G36" s="3910" t="str">
        <f>INDEX(PT_DIFFERENTIATION_NTAR,MATCH(B36,PT_DIFFERENTIATION_NTAR_ID,0))</f>
        <v/>
      </c>
      <c r="H36" s="1751"/>
      <c r="I36" s="1632"/>
      <c r="J36" s="1666"/>
      <c r="K36" s="1754"/>
      <c r="L36" s="1751" t="s">
        <v>351</v>
      </c>
      <c r="M36" s="3661"/>
      <c r="N36" s="269"/>
      <c r="O36" s="1546"/>
      <c r="P36" s="1546"/>
      <c r="AH36" s="1553">
        <v>0</v>
      </c>
    </row>
    <row r="37" spans="1:34" s="1557" customFormat="1" ht="18.75" hidden="1" customHeight="1">
      <c r="A37" s="1672"/>
      <c r="B37" s="1672"/>
      <c r="C37" s="303" t="s">
        <v>1666</v>
      </c>
      <c r="D37" s="3941"/>
      <c r="E37" s="3692"/>
      <c r="F37" s="3838"/>
      <c r="G37" s="3910"/>
      <c r="H37" s="1422"/>
      <c r="I37" s="585" t="s">
        <v>1667</v>
      </c>
      <c r="J37" s="505"/>
      <c r="K37" s="1422"/>
      <c r="L37" s="149"/>
      <c r="M37" s="3661"/>
      <c r="N37" s="269"/>
      <c r="O37" s="1546"/>
      <c r="P37" s="1546"/>
      <c r="AH37" s="1553">
        <v>0</v>
      </c>
    </row>
    <row r="38" spans="1:34" s="1557" customFormat="1" ht="0.75" hidden="1" customHeight="1">
      <c r="A38" s="1672"/>
      <c r="B38" s="1672"/>
      <c r="C38" s="303" t="s">
        <v>1672</v>
      </c>
      <c r="D38" s="3941"/>
      <c r="E38" s="3692"/>
      <c r="F38" s="3838"/>
      <c r="G38" s="334"/>
      <c r="H38" s="1422"/>
      <c r="I38" s="585"/>
      <c r="J38" s="505"/>
      <c r="K38" s="1422"/>
      <c r="L38" s="149"/>
      <c r="M38" s="3661"/>
      <c r="N38" s="269"/>
      <c r="O38" s="1546"/>
      <c r="P38" s="1546"/>
      <c r="AH38" s="1553">
        <v>0</v>
      </c>
    </row>
    <row r="39" spans="1:34" s="1557" customFormat="1" ht="18.75" hidden="1" customHeight="1">
      <c r="A39" s="1672" t="s">
        <v>232</v>
      </c>
      <c r="B39" s="1672" t="s">
        <v>233</v>
      </c>
      <c r="C39" s="303"/>
      <c r="D39" s="3941"/>
      <c r="E39" s="3692"/>
      <c r="F39" s="3838" t="str">
        <f>INDEX(PT_DIFFERENTIATION_VTAR,MATCH(A39,PT_DIFFERENTIATION_VTAR_ID,0))</f>
        <v>Тарифы на услуги по передаче теплоносителя</v>
      </c>
      <c r="G39" s="3910" t="str">
        <f>INDEX(PT_DIFFERENTIATION_NTAR,MATCH(B39,PT_DIFFERENTIATION_NTAR_ID,0))</f>
        <v/>
      </c>
      <c r="H39" s="1751"/>
      <c r="I39" s="1632"/>
      <c r="J39" s="1666"/>
      <c r="K39" s="1754"/>
      <c r="L39" s="1751" t="s">
        <v>351</v>
      </c>
      <c r="M39" s="3661"/>
      <c r="N39" s="269"/>
      <c r="O39" s="1546"/>
      <c r="P39" s="1546"/>
      <c r="AH39" s="1553">
        <v>0</v>
      </c>
    </row>
    <row r="40" spans="1:34" s="1557" customFormat="1" ht="18.75" hidden="1" customHeight="1">
      <c r="A40" s="1672"/>
      <c r="B40" s="1672"/>
      <c r="C40" s="303" t="s">
        <v>1666</v>
      </c>
      <c r="D40" s="3941"/>
      <c r="E40" s="3692"/>
      <c r="F40" s="3838"/>
      <c r="G40" s="3910"/>
      <c r="H40" s="1422"/>
      <c r="I40" s="585" t="s">
        <v>1667</v>
      </c>
      <c r="J40" s="505"/>
      <c r="K40" s="1422"/>
      <c r="L40" s="149"/>
      <c r="M40" s="3661"/>
      <c r="N40" s="269"/>
      <c r="O40" s="1546"/>
      <c r="P40" s="1546"/>
      <c r="AH40" s="1553">
        <v>0</v>
      </c>
    </row>
    <row r="41" spans="1:34" s="1557" customFormat="1" ht="0.75" hidden="1" customHeight="1">
      <c r="A41" s="1672"/>
      <c r="B41" s="1672"/>
      <c r="C41" s="303" t="s">
        <v>1672</v>
      </c>
      <c r="D41" s="3941"/>
      <c r="E41" s="3692"/>
      <c r="F41" s="3838"/>
      <c r="G41" s="334"/>
      <c r="H41" s="1422"/>
      <c r="I41" s="585"/>
      <c r="J41" s="505"/>
      <c r="K41" s="1422"/>
      <c r="L41" s="149"/>
      <c r="M41" s="3661"/>
      <c r="N41" s="269"/>
      <c r="O41" s="1546"/>
      <c r="P41" s="1546"/>
      <c r="AH41" s="1553">
        <v>0</v>
      </c>
    </row>
    <row r="42" spans="1:34" s="1557" customFormat="1" ht="18.75" hidden="1" customHeight="1">
      <c r="A42" s="1672" t="s">
        <v>238</v>
      </c>
      <c r="B42" s="1672" t="s">
        <v>239</v>
      </c>
      <c r="C42" s="303"/>
      <c r="D42" s="3941"/>
      <c r="E42" s="3692"/>
      <c r="F42" s="3838" t="str">
        <f>INDEX(PT_DIFFERENTIATION_VTAR,MATCH(A42,PT_DIFFERENTIATION_VTAR_ID,0))</f>
        <v>Плата за услуги по поддержанию резервной тепловой мощности при отсутствии потребления тепловой энергии</v>
      </c>
      <c r="G42" s="3910" t="str">
        <f>INDEX(PT_DIFFERENTIATION_NTAR,MATCH(B42,PT_DIFFERENTIATION_NTAR_ID,0))</f>
        <v/>
      </c>
      <c r="H42" s="1751"/>
      <c r="I42" s="1632"/>
      <c r="J42" s="1666"/>
      <c r="K42" s="1754"/>
      <c r="L42" s="1751" t="s">
        <v>351</v>
      </c>
      <c r="M42" s="3661"/>
      <c r="N42" s="269"/>
      <c r="O42" s="1546"/>
      <c r="P42" s="1546"/>
      <c r="AH42" s="1553">
        <v>0</v>
      </c>
    </row>
    <row r="43" spans="1:34" s="1557" customFormat="1" ht="18.75" hidden="1" customHeight="1">
      <c r="A43" s="1672"/>
      <c r="B43" s="1672"/>
      <c r="C43" s="303" t="s">
        <v>1666</v>
      </c>
      <c r="D43" s="3941"/>
      <c r="E43" s="3692"/>
      <c r="F43" s="3838"/>
      <c r="G43" s="3910"/>
      <c r="H43" s="1422"/>
      <c r="I43" s="585" t="s">
        <v>1667</v>
      </c>
      <c r="J43" s="505"/>
      <c r="K43" s="1422"/>
      <c r="L43" s="149"/>
      <c r="M43" s="3661"/>
      <c r="N43" s="269"/>
      <c r="O43" s="1546"/>
      <c r="P43" s="1546"/>
      <c r="AH43" s="1553">
        <v>0</v>
      </c>
    </row>
    <row r="44" spans="1:34" s="1557" customFormat="1" ht="0.75" hidden="1" customHeight="1">
      <c r="A44" s="1672"/>
      <c r="B44" s="1672"/>
      <c r="C44" s="303" t="s">
        <v>1672</v>
      </c>
      <c r="D44" s="3941"/>
      <c r="E44" s="3692"/>
      <c r="F44" s="3838"/>
      <c r="G44" s="334"/>
      <c r="H44" s="1422"/>
      <c r="I44" s="585"/>
      <c r="J44" s="505"/>
      <c r="K44" s="1422"/>
      <c r="L44" s="149"/>
      <c r="M44" s="3661"/>
      <c r="N44" s="269"/>
      <c r="O44" s="1546"/>
      <c r="P44" s="1546"/>
      <c r="AH44" s="1553">
        <v>0</v>
      </c>
    </row>
    <row r="45" spans="1:34" s="1557" customFormat="1" ht="18.75" hidden="1" customHeight="1">
      <c r="A45" s="1672" t="s">
        <v>244</v>
      </c>
      <c r="B45" s="1672" t="s">
        <v>245</v>
      </c>
      <c r="C45" s="303"/>
      <c r="D45" s="3941"/>
      <c r="E45" s="3692"/>
      <c r="F45" s="3838" t="str">
        <f>INDEX(PT_DIFFERENTIATION_VTAR,MATCH(A45,PT_DIFFERENTIATION_VTAR_ID,0))</f>
        <v>Плата за подключение (технологическое присоединение) к системе теплоснабжения</v>
      </c>
      <c r="G45" s="3910" t="str">
        <f>INDEX(PT_DIFFERENTIATION_NTAR,MATCH(B45,PT_DIFFERENTIATION_NTAR_ID,0))</f>
        <v/>
      </c>
      <c r="H45" s="1751"/>
      <c r="I45" s="2000"/>
      <c r="J45" s="2001"/>
      <c r="K45" s="489"/>
      <c r="L45" s="1751" t="s">
        <v>351</v>
      </c>
      <c r="M45" s="3661"/>
      <c r="N45" s="269"/>
      <c r="O45" s="1546"/>
      <c r="P45" s="1546"/>
      <c r="AH45" s="1553">
        <v>0</v>
      </c>
    </row>
    <row r="46" spans="1:34" s="1557" customFormat="1" ht="18.75" hidden="1" customHeight="1">
      <c r="A46" s="1672"/>
      <c r="B46" s="1672"/>
      <c r="C46" s="303" t="s">
        <v>1666</v>
      </c>
      <c r="D46" s="3941"/>
      <c r="E46" s="3692"/>
      <c r="F46" s="3838"/>
      <c r="G46" s="3910"/>
      <c r="H46" s="1422"/>
      <c r="I46" s="585" t="s">
        <v>1667</v>
      </c>
      <c r="J46" s="505"/>
      <c r="K46" s="1422"/>
      <c r="L46" s="149"/>
      <c r="M46" s="3661"/>
      <c r="N46" s="269"/>
      <c r="O46" s="1546"/>
      <c r="P46" s="1546"/>
      <c r="AH46" s="1553">
        <v>0</v>
      </c>
    </row>
    <row r="47" spans="1:34" s="1557" customFormat="1" ht="0.75" hidden="1" customHeight="1">
      <c r="A47" s="1672"/>
      <c r="B47" s="1672"/>
      <c r="C47" s="303" t="s">
        <v>1672</v>
      </c>
      <c r="D47" s="3941"/>
      <c r="E47" s="3692"/>
      <c r="F47" s="3838"/>
      <c r="G47" s="334"/>
      <c r="H47" s="1422"/>
      <c r="I47" s="585"/>
      <c r="J47" s="505"/>
      <c r="K47" s="1422"/>
      <c r="L47" s="149"/>
      <c r="M47" s="3661"/>
      <c r="N47" s="269"/>
      <c r="O47" s="1546"/>
      <c r="P47" s="1546"/>
      <c r="AH47" s="1553">
        <v>0</v>
      </c>
    </row>
    <row r="48" spans="1:34" s="1557" customFormat="1" ht="18.75" hidden="1" customHeight="1">
      <c r="A48" s="1672" t="s">
        <v>250</v>
      </c>
      <c r="B48" s="1672" t="s">
        <v>251</v>
      </c>
      <c r="C48" s="303"/>
      <c r="D48" s="3941"/>
      <c r="E48" s="3692"/>
      <c r="F48" s="3838" t="str">
        <f>INDEX(PT_DIFFERENTIATION_VTAR,MATCH(A48,PT_DIFFERENTIATION_VTAR_ID,0))</f>
        <v>Плата за подключение (технологическое присоединение) к системе теплоснабжения (индивидуальная)</v>
      </c>
      <c r="G48" s="3910" t="str">
        <f>INDEX(PT_DIFFERENTIATION_NTAR,MATCH(B48,PT_DIFFERENTIATION_NTAR_ID,0))</f>
        <v/>
      </c>
      <c r="H48" s="1875"/>
      <c r="I48" s="2000"/>
      <c r="J48" s="2001"/>
      <c r="K48" s="489"/>
      <c r="L48" s="1875" t="s">
        <v>351</v>
      </c>
      <c r="M48" s="3661"/>
      <c r="N48" s="269"/>
      <c r="O48" s="1546"/>
      <c r="P48" s="1546"/>
      <c r="AH48" s="1553">
        <v>0</v>
      </c>
    </row>
    <row r="49" spans="1:34" s="1557" customFormat="1" ht="18.75" hidden="1" customHeight="1">
      <c r="A49" s="1672"/>
      <c r="B49" s="1672"/>
      <c r="C49" s="303" t="s">
        <v>1666</v>
      </c>
      <c r="D49" s="3941"/>
      <c r="E49" s="3692"/>
      <c r="F49" s="3838"/>
      <c r="G49" s="3910"/>
      <c r="H49" s="1422"/>
      <c r="I49" s="585" t="s">
        <v>1667</v>
      </c>
      <c r="J49" s="505"/>
      <c r="K49" s="1422"/>
      <c r="L49" s="149"/>
      <c r="M49" s="3661"/>
      <c r="N49" s="269"/>
      <c r="O49" s="1546"/>
      <c r="P49" s="1546"/>
      <c r="AH49" s="1553">
        <v>0</v>
      </c>
    </row>
    <row r="50" spans="1:34" s="1557" customFormat="1" ht="0.75" hidden="1" customHeight="1">
      <c r="A50" s="1672"/>
      <c r="B50" s="1672"/>
      <c r="C50" s="303" t="s">
        <v>1672</v>
      </c>
      <c r="D50" s="3941"/>
      <c r="E50" s="3692"/>
      <c r="F50" s="3838"/>
      <c r="G50" s="334"/>
      <c r="H50" s="1422"/>
      <c r="I50" s="585"/>
      <c r="J50" s="505"/>
      <c r="K50" s="1422"/>
      <c r="L50" s="149"/>
      <c r="M50" s="3661"/>
      <c r="N50" s="269"/>
      <c r="O50" s="1546"/>
      <c r="P50" s="1546"/>
      <c r="AH50" s="1553">
        <v>0</v>
      </c>
    </row>
    <row r="51" spans="1:34" s="1557" customFormat="1" ht="18.75" hidden="1" customHeight="1">
      <c r="A51" s="1672" t="s">
        <v>270</v>
      </c>
      <c r="B51" s="1672" t="s">
        <v>271</v>
      </c>
      <c r="C51" s="303"/>
      <c r="D51" s="3941"/>
      <c r="E51" s="3692"/>
      <c r="F51" s="3838" t="str">
        <f>INDEX(PT_DIFFERENTIATION_VTAR,MATCH(A51,PT_DIFFERENTIATION_VTAR_ID,0))</f>
        <v>Тариф на питьевую воду (питьевое водоснабжение)</v>
      </c>
      <c r="G51" s="3910" t="str">
        <f>INDEX(PT_DIFFERENTIATION_NTAR,MATCH(B51,PT_DIFFERENTIATION_NTAR_ID,0))</f>
        <v/>
      </c>
      <c r="H51" s="1751"/>
      <c r="I51" s="1632"/>
      <c r="J51" s="1666"/>
      <c r="K51" s="1754"/>
      <c r="L51" s="1751" t="s">
        <v>351</v>
      </c>
      <c r="M51" s="3661"/>
      <c r="N51" s="269"/>
      <c r="O51" s="1546"/>
      <c r="P51" s="1546"/>
      <c r="AH51" s="1553">
        <v>0</v>
      </c>
    </row>
    <row r="52" spans="1:34" s="1557" customFormat="1" ht="18.75" hidden="1" customHeight="1">
      <c r="A52" s="1672"/>
      <c r="B52" s="1672"/>
      <c r="C52" s="303" t="s">
        <v>1666</v>
      </c>
      <c r="D52" s="3941"/>
      <c r="E52" s="3692"/>
      <c r="F52" s="3838"/>
      <c r="G52" s="3910"/>
      <c r="H52" s="1422"/>
      <c r="I52" s="585" t="s">
        <v>1667</v>
      </c>
      <c r="J52" s="505"/>
      <c r="K52" s="1422"/>
      <c r="L52" s="149"/>
      <c r="M52" s="3661"/>
      <c r="N52" s="269"/>
      <c r="O52" s="1546"/>
      <c r="P52" s="1546"/>
      <c r="AH52" s="1553">
        <v>0</v>
      </c>
    </row>
    <row r="53" spans="1:34" s="1557" customFormat="1" ht="0.75" hidden="1" customHeight="1">
      <c r="A53" s="1672"/>
      <c r="B53" s="1672"/>
      <c r="C53" s="303" t="s">
        <v>1672</v>
      </c>
      <c r="D53" s="3941"/>
      <c r="E53" s="3692"/>
      <c r="F53" s="3838"/>
      <c r="G53" s="334"/>
      <c r="H53" s="1422"/>
      <c r="I53" s="585"/>
      <c r="J53" s="505"/>
      <c r="K53" s="1422"/>
      <c r="L53" s="149"/>
      <c r="M53" s="3661"/>
      <c r="N53" s="269"/>
      <c r="O53" s="1546"/>
      <c r="P53" s="1546"/>
      <c r="AH53" s="1553">
        <v>0</v>
      </c>
    </row>
    <row r="54" spans="1:34" s="1557" customFormat="1" ht="18.75" hidden="1" customHeight="1">
      <c r="A54" s="1672" t="s">
        <v>275</v>
      </c>
      <c r="B54" s="1672" t="s">
        <v>276</v>
      </c>
      <c r="C54" s="303"/>
      <c r="D54" s="3941"/>
      <c r="E54" s="3692"/>
      <c r="F54" s="3838" t="str">
        <f>INDEX(PT_DIFFERENTIATION_VTAR,MATCH(A54,PT_DIFFERENTIATION_VTAR_ID,0))</f>
        <v>Тариф на техническую воду</v>
      </c>
      <c r="G54" s="3910" t="str">
        <f>INDEX(PT_DIFFERENTIATION_NTAR,MATCH(B54,PT_DIFFERENTIATION_NTAR_ID,0))</f>
        <v/>
      </c>
      <c r="H54" s="1751"/>
      <c r="I54" s="1632"/>
      <c r="J54" s="1666"/>
      <c r="K54" s="1754"/>
      <c r="L54" s="1751" t="s">
        <v>351</v>
      </c>
      <c r="M54" s="3661"/>
      <c r="N54" s="269"/>
      <c r="O54" s="1546"/>
      <c r="P54" s="1546"/>
      <c r="AH54" s="1553">
        <v>0</v>
      </c>
    </row>
    <row r="55" spans="1:34" s="1557" customFormat="1" ht="18.75" hidden="1" customHeight="1">
      <c r="A55" s="1672"/>
      <c r="B55" s="1672"/>
      <c r="C55" s="303" t="s">
        <v>1666</v>
      </c>
      <c r="D55" s="3941"/>
      <c r="E55" s="3692"/>
      <c r="F55" s="3838"/>
      <c r="G55" s="3910"/>
      <c r="H55" s="1422"/>
      <c r="I55" s="585" t="s">
        <v>1667</v>
      </c>
      <c r="J55" s="505"/>
      <c r="K55" s="1422"/>
      <c r="L55" s="149"/>
      <c r="M55" s="3661"/>
      <c r="N55" s="269"/>
      <c r="O55" s="1546"/>
      <c r="P55" s="1546"/>
      <c r="AH55" s="1553">
        <v>0</v>
      </c>
    </row>
    <row r="56" spans="1:34" s="1557" customFormat="1" ht="0.75" hidden="1" customHeight="1">
      <c r="A56" s="1672"/>
      <c r="B56" s="1672"/>
      <c r="C56" s="303" t="s">
        <v>1672</v>
      </c>
      <c r="D56" s="3941"/>
      <c r="E56" s="3692"/>
      <c r="F56" s="3838"/>
      <c r="G56" s="334"/>
      <c r="H56" s="1422"/>
      <c r="I56" s="585"/>
      <c r="J56" s="505"/>
      <c r="K56" s="1422"/>
      <c r="L56" s="149"/>
      <c r="M56" s="3661"/>
      <c r="N56" s="269"/>
      <c r="O56" s="1546"/>
      <c r="P56" s="1546"/>
      <c r="AH56" s="1553">
        <v>0</v>
      </c>
    </row>
    <row r="57" spans="1:34" s="1557" customFormat="1" ht="18.75" hidden="1" customHeight="1">
      <c r="A57" s="1672" t="s">
        <v>280</v>
      </c>
      <c r="B57" s="1672" t="s">
        <v>281</v>
      </c>
      <c r="C57" s="303"/>
      <c r="D57" s="3941"/>
      <c r="E57" s="3692"/>
      <c r="F57" s="3838" t="str">
        <f>INDEX(PT_DIFFERENTIATION_VTAR,MATCH(A57,PT_DIFFERENTIATION_VTAR_ID,0))</f>
        <v>Тариф на транспортировку воды</v>
      </c>
      <c r="G57" s="3910" t="str">
        <f>INDEX(PT_DIFFERENTIATION_NTAR,MATCH(B57,PT_DIFFERENTIATION_NTAR_ID,0))</f>
        <v/>
      </c>
      <c r="H57" s="1751"/>
      <c r="I57" s="1632"/>
      <c r="J57" s="1666"/>
      <c r="K57" s="1754"/>
      <c r="L57" s="1751" t="s">
        <v>351</v>
      </c>
      <c r="M57" s="3661"/>
      <c r="N57" s="269"/>
      <c r="O57" s="1546"/>
      <c r="P57" s="1546"/>
      <c r="AH57" s="1553">
        <v>0</v>
      </c>
    </row>
    <row r="58" spans="1:34" s="1557" customFormat="1" ht="18.75" hidden="1" customHeight="1">
      <c r="A58" s="1672"/>
      <c r="B58" s="1672"/>
      <c r="C58" s="303" t="s">
        <v>1666</v>
      </c>
      <c r="D58" s="3941"/>
      <c r="E58" s="3692"/>
      <c r="F58" s="3838"/>
      <c r="G58" s="3910"/>
      <c r="H58" s="1422"/>
      <c r="I58" s="585" t="s">
        <v>1667</v>
      </c>
      <c r="J58" s="505"/>
      <c r="K58" s="1422"/>
      <c r="L58" s="149"/>
      <c r="M58" s="3661"/>
      <c r="N58" s="269"/>
      <c r="O58" s="1546"/>
      <c r="P58" s="1546"/>
      <c r="AH58" s="1553">
        <v>0</v>
      </c>
    </row>
    <row r="59" spans="1:34" s="1557" customFormat="1" ht="0.75" hidden="1" customHeight="1">
      <c r="A59" s="1672"/>
      <c r="B59" s="1672"/>
      <c r="C59" s="303" t="s">
        <v>1672</v>
      </c>
      <c r="D59" s="3941"/>
      <c r="E59" s="3692"/>
      <c r="F59" s="3838"/>
      <c r="G59" s="334"/>
      <c r="H59" s="1422"/>
      <c r="I59" s="585"/>
      <c r="J59" s="505"/>
      <c r="K59" s="1422"/>
      <c r="L59" s="149"/>
      <c r="M59" s="3661"/>
      <c r="N59" s="269"/>
      <c r="O59" s="1546"/>
      <c r="P59" s="1546"/>
      <c r="AH59" s="1553">
        <v>0</v>
      </c>
    </row>
    <row r="60" spans="1:34" s="1557" customFormat="1" ht="18.75" hidden="1" customHeight="1">
      <c r="A60" s="1672" t="s">
        <v>285</v>
      </c>
      <c r="B60" s="1672" t="s">
        <v>286</v>
      </c>
      <c r="C60" s="303"/>
      <c r="D60" s="3941"/>
      <c r="E60" s="3692"/>
      <c r="F60" s="3838" t="str">
        <f>INDEX(PT_DIFFERENTIATION_VTAR,MATCH(A60,PT_DIFFERENTIATION_VTAR_ID,0))</f>
        <v>Тариф на подвоз воды</v>
      </c>
      <c r="G60" s="3910" t="str">
        <f>INDEX(PT_DIFFERENTIATION_NTAR,MATCH(B60,PT_DIFFERENTIATION_NTAR_ID,0))</f>
        <v/>
      </c>
      <c r="H60" s="1751"/>
      <c r="I60" s="1632"/>
      <c r="J60" s="1666"/>
      <c r="K60" s="1754"/>
      <c r="L60" s="1751" t="s">
        <v>351</v>
      </c>
      <c r="M60" s="3661"/>
      <c r="N60" s="269"/>
      <c r="O60" s="1546"/>
      <c r="P60" s="1546"/>
      <c r="AH60" s="1553">
        <v>0</v>
      </c>
    </row>
    <row r="61" spans="1:34" s="1557" customFormat="1" ht="18.75" hidden="1" customHeight="1">
      <c r="A61" s="1672"/>
      <c r="B61" s="1672"/>
      <c r="C61" s="303" t="s">
        <v>1666</v>
      </c>
      <c r="D61" s="3941"/>
      <c r="E61" s="3692"/>
      <c r="F61" s="3838"/>
      <c r="G61" s="3910"/>
      <c r="H61" s="1422"/>
      <c r="I61" s="585" t="s">
        <v>1667</v>
      </c>
      <c r="J61" s="505"/>
      <c r="K61" s="1422"/>
      <c r="L61" s="149"/>
      <c r="M61" s="3661"/>
      <c r="N61" s="269"/>
      <c r="O61" s="1546"/>
      <c r="P61" s="1546"/>
      <c r="AH61" s="1553">
        <v>0</v>
      </c>
    </row>
    <row r="62" spans="1:34" s="1557" customFormat="1" ht="0.75" hidden="1" customHeight="1">
      <c r="A62" s="1672"/>
      <c r="B62" s="1672"/>
      <c r="C62" s="303" t="s">
        <v>1672</v>
      </c>
      <c r="D62" s="3941"/>
      <c r="E62" s="3692"/>
      <c r="F62" s="3838"/>
      <c r="G62" s="334"/>
      <c r="H62" s="1422"/>
      <c r="I62" s="585"/>
      <c r="J62" s="505"/>
      <c r="K62" s="1422"/>
      <c r="L62" s="149"/>
      <c r="M62" s="3661"/>
      <c r="N62" s="269"/>
      <c r="O62" s="1546"/>
      <c r="P62" s="1546"/>
      <c r="AH62" s="1553">
        <v>0</v>
      </c>
    </row>
    <row r="63" spans="1:34" s="1557" customFormat="1" ht="18.75" hidden="1" customHeight="1">
      <c r="A63" s="1672" t="s">
        <v>290</v>
      </c>
      <c r="B63" s="1672" t="s">
        <v>291</v>
      </c>
      <c r="C63" s="303"/>
      <c r="D63" s="3941"/>
      <c r="E63" s="3692"/>
      <c r="F63" s="38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3910" t="str">
        <f>INDEX(PT_DIFFERENTIATION_NTAR,MATCH(B63,PT_DIFFERENTIATION_NTAR_ID,0))</f>
        <v/>
      </c>
      <c r="H63" s="1751"/>
      <c r="I63" s="2000"/>
      <c r="J63" s="2001"/>
      <c r="K63" s="489"/>
      <c r="L63" s="1751" t="s">
        <v>351</v>
      </c>
      <c r="M63" s="3661"/>
      <c r="N63" s="269"/>
      <c r="O63" s="1546"/>
      <c r="P63" s="1546"/>
      <c r="AH63" s="1553">
        <v>0</v>
      </c>
    </row>
    <row r="64" spans="1:34" s="1557" customFormat="1" ht="18.75" hidden="1" customHeight="1">
      <c r="A64" s="1672"/>
      <c r="B64" s="1672"/>
      <c r="C64" s="303" t="s">
        <v>1666</v>
      </c>
      <c r="D64" s="3941"/>
      <c r="E64" s="3692"/>
      <c r="F64" s="3838"/>
      <c r="G64" s="3910"/>
      <c r="H64" s="1422"/>
      <c r="I64" s="585" t="s">
        <v>1667</v>
      </c>
      <c r="J64" s="505"/>
      <c r="K64" s="1422"/>
      <c r="L64" s="149"/>
      <c r="M64" s="3661"/>
      <c r="N64" s="269"/>
      <c r="O64" s="1546"/>
      <c r="P64" s="1546"/>
      <c r="AH64" s="1553">
        <v>0</v>
      </c>
    </row>
    <row r="65" spans="1:34" s="1557" customFormat="1" ht="0.75" hidden="1" customHeight="1">
      <c r="A65" s="1672"/>
      <c r="B65" s="1672"/>
      <c r="C65" s="303" t="s">
        <v>1672</v>
      </c>
      <c r="D65" s="3941"/>
      <c r="E65" s="3692"/>
      <c r="F65" s="3838"/>
      <c r="G65" s="334"/>
      <c r="H65" s="1422"/>
      <c r="I65" s="585"/>
      <c r="J65" s="505"/>
      <c r="K65" s="1422"/>
      <c r="L65" s="149"/>
      <c r="M65" s="3661"/>
      <c r="N65" s="269"/>
      <c r="O65" s="1546"/>
      <c r="P65" s="1546"/>
      <c r="AH65" s="1553">
        <v>0</v>
      </c>
    </row>
    <row r="66" spans="1:34" s="1557" customFormat="1" ht="18.75" hidden="1" customHeight="1">
      <c r="A66" s="1672" t="s">
        <v>295</v>
      </c>
      <c r="B66" s="1672" t="s">
        <v>296</v>
      </c>
      <c r="C66" s="303"/>
      <c r="D66" s="3941"/>
      <c r="E66" s="3692"/>
      <c r="F66" s="3838" t="str">
        <f>INDEX(PT_DIFFERENTIATION_VTAR,MATCH(A66,PT_DIFFERENTIATION_VTAR_ID,0))</f>
        <v>Тариф на горячую воду (горячее водоснабжение)</v>
      </c>
      <c r="G66" s="3910" t="str">
        <f>INDEX(PT_DIFFERENTIATION_NTAR,MATCH(B66,PT_DIFFERENTIATION_NTAR_ID,0))</f>
        <v/>
      </c>
      <c r="H66" s="1751"/>
      <c r="I66" s="1632"/>
      <c r="J66" s="1666"/>
      <c r="K66" s="1754"/>
      <c r="L66" s="1751" t="s">
        <v>351</v>
      </c>
      <c r="M66" s="3661"/>
      <c r="N66" s="269"/>
      <c r="O66" s="1546"/>
      <c r="P66" s="1546"/>
      <c r="AH66" s="1553">
        <v>0</v>
      </c>
    </row>
    <row r="67" spans="1:34" s="1557" customFormat="1" ht="18.75" hidden="1" customHeight="1">
      <c r="A67" s="1672"/>
      <c r="B67" s="1672"/>
      <c r="C67" s="303" t="s">
        <v>1666</v>
      </c>
      <c r="D67" s="3941"/>
      <c r="E67" s="3692"/>
      <c r="F67" s="3838"/>
      <c r="G67" s="3910"/>
      <c r="H67" s="1422"/>
      <c r="I67" s="585" t="s">
        <v>1667</v>
      </c>
      <c r="J67" s="505"/>
      <c r="K67" s="1422"/>
      <c r="L67" s="149"/>
      <c r="M67" s="3661"/>
      <c r="N67" s="269"/>
      <c r="O67" s="1546"/>
      <c r="P67" s="1546"/>
      <c r="AH67" s="1553">
        <v>0</v>
      </c>
    </row>
    <row r="68" spans="1:34" s="1557" customFormat="1" ht="0.75" hidden="1" customHeight="1">
      <c r="A68" s="1672"/>
      <c r="B68" s="1672"/>
      <c r="C68" s="303" t="s">
        <v>1672</v>
      </c>
      <c r="D68" s="3941"/>
      <c r="E68" s="3692"/>
      <c r="F68" s="3838"/>
      <c r="G68" s="334"/>
      <c r="H68" s="1422"/>
      <c r="I68" s="585"/>
      <c r="J68" s="505"/>
      <c r="K68" s="1422"/>
      <c r="L68" s="149"/>
      <c r="M68" s="3661"/>
      <c r="N68" s="269"/>
      <c r="O68" s="1546"/>
      <c r="P68" s="1546"/>
      <c r="AH68" s="1553">
        <v>0</v>
      </c>
    </row>
    <row r="69" spans="1:34" s="1557" customFormat="1" ht="18.75" hidden="1" customHeight="1">
      <c r="A69" s="1672" t="s">
        <v>300</v>
      </c>
      <c r="B69" s="1672" t="s">
        <v>301</v>
      </c>
      <c r="C69" s="303"/>
      <c r="D69" s="3941"/>
      <c r="E69" s="3692"/>
      <c r="F69" s="3838" t="str">
        <f>INDEX(PT_DIFFERENTIATION_VTAR,MATCH(A69,PT_DIFFERENTIATION_VTAR_ID,0))</f>
        <v>Тариф на транспортировку горячей воды</v>
      </c>
      <c r="G69" s="3910" t="str">
        <f>INDEX(PT_DIFFERENTIATION_NTAR,MATCH(B69,PT_DIFFERENTIATION_NTAR_ID,0))</f>
        <v/>
      </c>
      <c r="H69" s="1751"/>
      <c r="I69" s="1632"/>
      <c r="J69" s="1666"/>
      <c r="K69" s="1754"/>
      <c r="L69" s="1751" t="s">
        <v>351</v>
      </c>
      <c r="M69" s="3661"/>
      <c r="N69" s="269"/>
      <c r="O69" s="1546"/>
      <c r="P69" s="1546"/>
      <c r="AH69" s="1553">
        <v>0</v>
      </c>
    </row>
    <row r="70" spans="1:34" s="1557" customFormat="1" ht="18.75" hidden="1" customHeight="1">
      <c r="A70" s="1672"/>
      <c r="B70" s="1672"/>
      <c r="C70" s="303" t="s">
        <v>1666</v>
      </c>
      <c r="D70" s="3941"/>
      <c r="E70" s="3692"/>
      <c r="F70" s="3838"/>
      <c r="G70" s="3910"/>
      <c r="H70" s="1422"/>
      <c r="I70" s="585" t="s">
        <v>1667</v>
      </c>
      <c r="J70" s="505"/>
      <c r="K70" s="1422"/>
      <c r="L70" s="149"/>
      <c r="M70" s="3661"/>
      <c r="N70" s="269"/>
      <c r="O70" s="1546"/>
      <c r="P70" s="1546"/>
      <c r="AH70" s="1553">
        <v>0</v>
      </c>
    </row>
    <row r="71" spans="1:34" s="1557" customFormat="1" ht="0.75" hidden="1" customHeight="1">
      <c r="A71" s="1672"/>
      <c r="B71" s="1672"/>
      <c r="C71" s="303" t="s">
        <v>1672</v>
      </c>
      <c r="D71" s="3941"/>
      <c r="E71" s="3692"/>
      <c r="F71" s="3838"/>
      <c r="G71" s="334"/>
      <c r="H71" s="1422"/>
      <c r="I71" s="585"/>
      <c r="J71" s="505"/>
      <c r="K71" s="1422"/>
      <c r="L71" s="149"/>
      <c r="M71" s="3661"/>
      <c r="N71" s="269"/>
      <c r="O71" s="1546"/>
      <c r="P71" s="1546"/>
      <c r="AH71" s="1553">
        <v>0</v>
      </c>
    </row>
    <row r="72" spans="1:34" s="1557" customFormat="1" ht="18.75" hidden="1" customHeight="1">
      <c r="A72" s="1672" t="s">
        <v>305</v>
      </c>
      <c r="B72" s="1672" t="s">
        <v>306</v>
      </c>
      <c r="C72" s="303"/>
      <c r="D72" s="3941"/>
      <c r="E72" s="3692"/>
      <c r="F72" s="3838" t="str">
        <f>INDEX(PT_DIFFERENTIATION_VTAR,MATCH(A72,PT_DIFFERENTIATION_VTAR_ID,0))</f>
        <v>Тариф на подключение (технологическое присоединение) к централизованной системе горячего водоснабжения</v>
      </c>
      <c r="G72" s="3910" t="str">
        <f>INDEX(PT_DIFFERENTIATION_NTAR,MATCH(B72,PT_DIFFERENTIATION_NTAR_ID,0))</f>
        <v/>
      </c>
      <c r="H72" s="1751"/>
      <c r="I72" s="2000"/>
      <c r="J72" s="2001"/>
      <c r="K72" s="489"/>
      <c r="L72" s="1751" t="s">
        <v>351</v>
      </c>
      <c r="M72" s="3661"/>
      <c r="N72" s="269"/>
      <c r="O72" s="1546"/>
      <c r="P72" s="1546"/>
      <c r="AH72" s="1553">
        <v>0</v>
      </c>
    </row>
    <row r="73" spans="1:34" s="1557" customFormat="1" ht="18.75" hidden="1" customHeight="1">
      <c r="A73" s="1672"/>
      <c r="B73" s="1672"/>
      <c r="C73" s="303" t="s">
        <v>1666</v>
      </c>
      <c r="D73" s="3941"/>
      <c r="E73" s="3692"/>
      <c r="F73" s="3838"/>
      <c r="G73" s="3910"/>
      <c r="H73" s="1422"/>
      <c r="I73" s="585" t="s">
        <v>1667</v>
      </c>
      <c r="J73" s="505"/>
      <c r="K73" s="1422"/>
      <c r="L73" s="149"/>
      <c r="M73" s="3661"/>
      <c r="N73" s="269"/>
      <c r="O73" s="1546"/>
      <c r="P73" s="1546"/>
      <c r="AH73" s="1553">
        <v>0</v>
      </c>
    </row>
    <row r="74" spans="1:34" s="1557" customFormat="1" ht="0.75" hidden="1" customHeight="1">
      <c r="A74" s="1672"/>
      <c r="B74" s="1672"/>
      <c r="C74" s="303" t="s">
        <v>1672</v>
      </c>
      <c r="D74" s="3941"/>
      <c r="E74" s="3692"/>
      <c r="F74" s="3838"/>
      <c r="G74" s="334"/>
      <c r="H74" s="1422"/>
      <c r="I74" s="585"/>
      <c r="J74" s="505"/>
      <c r="K74" s="1422"/>
      <c r="L74" s="149"/>
      <c r="M74" s="3661"/>
      <c r="N74" s="269"/>
      <c r="O74" s="1546"/>
      <c r="P74" s="1546"/>
      <c r="AH74" s="1553">
        <v>0</v>
      </c>
    </row>
    <row r="75" spans="1:34" s="1557" customFormat="1" ht="18.75" hidden="1" customHeight="1">
      <c r="A75" s="1672" t="s">
        <v>310</v>
      </c>
      <c r="B75" s="1672" t="s">
        <v>311</v>
      </c>
      <c r="C75" s="303"/>
      <c r="D75" s="3941"/>
      <c r="E75" s="3692"/>
      <c r="F75" s="3838" t="str">
        <f>INDEX(PT_DIFFERENTIATION_VTAR,MATCH(A75,PT_DIFFERENTIATION_VTAR_ID,0))</f>
        <v>Тариф на водоотведение</v>
      </c>
      <c r="G75" s="3910" t="str">
        <f>INDEX(PT_DIFFERENTIATION_NTAR,MATCH(B75,PT_DIFFERENTIATION_NTAR_ID,0))</f>
        <v/>
      </c>
      <c r="H75" s="1751"/>
      <c r="I75" s="1632"/>
      <c r="J75" s="1666"/>
      <c r="K75" s="1754"/>
      <c r="L75" s="1751" t="s">
        <v>351</v>
      </c>
      <c r="M75" s="3661"/>
      <c r="N75" s="269"/>
      <c r="O75" s="1546"/>
      <c r="P75" s="1546"/>
      <c r="AH75" s="1553">
        <v>0</v>
      </c>
    </row>
    <row r="76" spans="1:34" s="1557" customFormat="1" ht="18.75" hidden="1" customHeight="1">
      <c r="A76" s="1672"/>
      <c r="B76" s="1672"/>
      <c r="C76" s="303" t="s">
        <v>1666</v>
      </c>
      <c r="D76" s="3941"/>
      <c r="E76" s="3692"/>
      <c r="F76" s="3838"/>
      <c r="G76" s="3910"/>
      <c r="H76" s="1422"/>
      <c r="I76" s="585" t="s">
        <v>1667</v>
      </c>
      <c r="J76" s="505"/>
      <c r="K76" s="1422"/>
      <c r="L76" s="149"/>
      <c r="M76" s="3661"/>
      <c r="N76" s="269"/>
      <c r="O76" s="1546"/>
      <c r="P76" s="1546"/>
      <c r="AH76" s="1553">
        <v>0</v>
      </c>
    </row>
    <row r="77" spans="1:34" s="1557" customFormat="1" ht="0.75" hidden="1" customHeight="1">
      <c r="A77" s="1672"/>
      <c r="B77" s="1672"/>
      <c r="C77" s="303" t="s">
        <v>1672</v>
      </c>
      <c r="D77" s="3941"/>
      <c r="E77" s="3692"/>
      <c r="F77" s="3838"/>
      <c r="G77" s="334"/>
      <c r="H77" s="1422"/>
      <c r="I77" s="585"/>
      <c r="J77" s="505"/>
      <c r="K77" s="1422"/>
      <c r="L77" s="149"/>
      <c r="M77" s="3661"/>
      <c r="N77" s="269"/>
      <c r="O77" s="1546"/>
      <c r="P77" s="1546"/>
      <c r="AH77" s="1553">
        <v>0</v>
      </c>
    </row>
    <row r="78" spans="1:34" s="1557" customFormat="1" ht="18.75" hidden="1" customHeight="1">
      <c r="A78" s="1672" t="s">
        <v>315</v>
      </c>
      <c r="B78" s="1672" t="s">
        <v>316</v>
      </c>
      <c r="C78" s="303"/>
      <c r="D78" s="3941"/>
      <c r="E78" s="3692"/>
      <c r="F78" s="3838" t="str">
        <f>INDEX(PT_DIFFERENTIATION_VTAR,MATCH(A78,PT_DIFFERENTIATION_VTAR_ID,0))</f>
        <v>Тариф на транспортировку сточных вод</v>
      </c>
      <c r="G78" s="3910" t="str">
        <f>INDEX(PT_DIFFERENTIATION_NTAR,MATCH(B78,PT_DIFFERENTIATION_NTAR_ID,0))</f>
        <v/>
      </c>
      <c r="H78" s="1751"/>
      <c r="I78" s="1632"/>
      <c r="J78" s="1666"/>
      <c r="K78" s="1754"/>
      <c r="L78" s="1751" t="s">
        <v>351</v>
      </c>
      <c r="M78" s="3661"/>
      <c r="N78" s="269"/>
      <c r="O78" s="1546"/>
      <c r="P78" s="1546"/>
      <c r="AH78" s="1553">
        <v>0</v>
      </c>
    </row>
    <row r="79" spans="1:34" s="1557" customFormat="1" ht="18.75" hidden="1" customHeight="1">
      <c r="A79" s="1672"/>
      <c r="B79" s="1672"/>
      <c r="C79" s="303" t="s">
        <v>1666</v>
      </c>
      <c r="D79" s="3941"/>
      <c r="E79" s="3692"/>
      <c r="F79" s="3838"/>
      <c r="G79" s="3910"/>
      <c r="H79" s="1422"/>
      <c r="I79" s="585" t="s">
        <v>1667</v>
      </c>
      <c r="J79" s="505"/>
      <c r="K79" s="1422"/>
      <c r="L79" s="149"/>
      <c r="M79" s="3661"/>
      <c r="N79" s="269"/>
      <c r="O79" s="1546"/>
      <c r="P79" s="1546"/>
      <c r="AH79" s="1553">
        <v>0</v>
      </c>
    </row>
    <row r="80" spans="1:34" s="1557" customFormat="1" ht="0.75" hidden="1" customHeight="1">
      <c r="A80" s="1672"/>
      <c r="B80" s="1672"/>
      <c r="C80" s="303" t="s">
        <v>1672</v>
      </c>
      <c r="D80" s="3941"/>
      <c r="E80" s="3692"/>
      <c r="F80" s="3838"/>
      <c r="G80" s="334"/>
      <c r="H80" s="1422"/>
      <c r="I80" s="585"/>
      <c r="J80" s="505"/>
      <c r="K80" s="1422"/>
      <c r="L80" s="149"/>
      <c r="M80" s="3661"/>
      <c r="N80" s="269"/>
      <c r="O80" s="1546"/>
      <c r="P80" s="1546"/>
      <c r="AH80" s="1553">
        <v>0</v>
      </c>
    </row>
    <row r="81" spans="1:34" s="1557" customFormat="1" ht="18.75" hidden="1" customHeight="1">
      <c r="A81" s="1672" t="s">
        <v>320</v>
      </c>
      <c r="B81" s="1672" t="s">
        <v>321</v>
      </c>
      <c r="C81" s="303"/>
      <c r="D81" s="3941"/>
      <c r="E81" s="3692"/>
      <c r="F81" s="3838" t="str">
        <f>INDEX(PT_DIFFERENTIATION_VTAR,MATCH(A81,PT_DIFFERENTIATION_VTAR_ID,0))</f>
        <v>Тариф на подключение (технологическое присоединение) к централизованной системе водоотведения</v>
      </c>
      <c r="G81" s="3910" t="str">
        <f>INDEX(PT_DIFFERENTIATION_NTAR,MATCH(B81,PT_DIFFERENTIATION_NTAR_ID,0))</f>
        <v/>
      </c>
      <c r="H81" s="1751"/>
      <c r="I81" s="2000"/>
      <c r="J81" s="2001"/>
      <c r="K81" s="489"/>
      <c r="L81" s="1751" t="s">
        <v>351</v>
      </c>
      <c r="M81" s="3661"/>
      <c r="N81" s="269"/>
      <c r="O81" s="1546"/>
      <c r="P81" s="1546"/>
      <c r="AH81" s="1553">
        <v>0</v>
      </c>
    </row>
    <row r="82" spans="1:34" s="1557" customFormat="1" ht="18.75" hidden="1" customHeight="1">
      <c r="A82" s="1672"/>
      <c r="B82" s="1672"/>
      <c r="C82" s="303" t="s">
        <v>1666</v>
      </c>
      <c r="D82" s="3941"/>
      <c r="E82" s="3692"/>
      <c r="F82" s="3838"/>
      <c r="G82" s="3910"/>
      <c r="H82" s="1422"/>
      <c r="I82" s="585" t="s">
        <v>1667</v>
      </c>
      <c r="J82" s="505"/>
      <c r="K82" s="1422"/>
      <c r="L82" s="149"/>
      <c r="M82" s="3661"/>
      <c r="N82" s="269"/>
      <c r="O82" s="1546"/>
      <c r="P82" s="1546"/>
      <c r="AH82" s="1553">
        <v>0</v>
      </c>
    </row>
    <row r="83" spans="1:34" s="1557" customFormat="1" ht="1.1499999999999999" customHeight="1">
      <c r="A83" s="1672"/>
      <c r="B83" s="1672"/>
      <c r="C83" s="303" t="s">
        <v>1672</v>
      </c>
      <c r="D83" s="3941"/>
      <c r="E83" s="3692"/>
      <c r="F83" s="3838"/>
      <c r="G83" s="334"/>
      <c r="H83" s="1422"/>
      <c r="I83" s="585"/>
      <c r="J83" s="505"/>
      <c r="K83" s="1422"/>
      <c r="L83" s="149"/>
      <c r="M83" s="3661"/>
      <c r="N83" s="269"/>
      <c r="O83" s="1546"/>
      <c r="P83" s="1546"/>
      <c r="AH83" s="1553">
        <v>1</v>
      </c>
    </row>
    <row r="84" spans="1:34" ht="19.899999999999999" customHeight="1">
      <c r="A84" s="1672"/>
      <c r="B84" s="1672"/>
      <c r="D84" s="310"/>
      <c r="E84" s="83" t="s">
        <v>89</v>
      </c>
      <c r="F84" s="39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940"/>
      <c r="H84" s="3940"/>
      <c r="I84" s="3940"/>
      <c r="J84" s="3940"/>
      <c r="K84" s="3940"/>
      <c r="L84" s="3940"/>
      <c r="M84" s="232"/>
      <c r="N84" s="269"/>
      <c r="AH84" s="308">
        <v>19</v>
      </c>
    </row>
    <row r="85" spans="1:34" ht="35.65" customHeight="1">
      <c r="A85" s="1672"/>
      <c r="B85" s="1672"/>
      <c r="D85" s="310"/>
      <c r="E85" s="333"/>
      <c r="F85" s="133" t="s">
        <v>351</v>
      </c>
      <c r="G85" s="133" t="s">
        <v>351</v>
      </c>
      <c r="H85" s="3705" t="s">
        <v>351</v>
      </c>
      <c r="I85" s="3707"/>
      <c r="J85" s="133" t="s">
        <v>351</v>
      </c>
      <c r="K85" s="133" t="s">
        <v>351</v>
      </c>
      <c r="L85" s="335"/>
      <c r="M85" s="280" t="s">
        <v>1673</v>
      </c>
      <c r="N85" s="269"/>
      <c r="AH85" s="308">
        <v>34</v>
      </c>
    </row>
    <row r="86" spans="1:34" ht="19.899999999999999" customHeight="1">
      <c r="A86" s="1672"/>
      <c r="B86" s="1672"/>
      <c r="D86" s="310"/>
      <c r="E86" s="83" t="s">
        <v>78</v>
      </c>
      <c r="F86" s="3940" t="s">
        <v>1674</v>
      </c>
      <c r="G86" s="3940"/>
      <c r="H86" s="3940"/>
      <c r="I86" s="3940"/>
      <c r="J86" s="3940"/>
      <c r="K86" s="3940"/>
      <c r="L86" s="3940"/>
      <c r="M86" s="232"/>
      <c r="N86" s="269"/>
      <c r="AH86" s="308">
        <v>19</v>
      </c>
    </row>
    <row r="87" spans="1:34" s="1557" customFormat="1" ht="60.75" hidden="1" customHeight="1">
      <c r="A87" s="1672" t="s">
        <v>202</v>
      </c>
      <c r="B87" s="1672" t="s">
        <v>203</v>
      </c>
      <c r="C87" s="303"/>
      <c r="D87" s="3941"/>
      <c r="E87" s="3692"/>
      <c r="F87" s="38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910" t="str">
        <f>INDEX(PT_DIFFERENTIATION_NTAR,MATCH(B87,PT_DIFFERENTIATION_NTAR_ID,0))</f>
        <v/>
      </c>
      <c r="H87" s="1751"/>
      <c r="I87" s="1632"/>
      <c r="J87" s="1666"/>
      <c r="K87" s="1670"/>
      <c r="L87" s="1751" t="s">
        <v>351</v>
      </c>
      <c r="M87" s="36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6"/>
      <c r="P87" s="1546"/>
      <c r="AH87" s="1553">
        <v>0</v>
      </c>
    </row>
    <row r="88" spans="1:34" s="1557" customFormat="1" ht="18.75" hidden="1" customHeight="1">
      <c r="A88" s="1672"/>
      <c r="B88" s="1672"/>
      <c r="C88" s="303" t="s">
        <v>1668</v>
      </c>
      <c r="D88" s="3941"/>
      <c r="E88" s="3692"/>
      <c r="F88" s="3838"/>
      <c r="G88" s="3910"/>
      <c r="H88" s="1422"/>
      <c r="I88" s="585" t="s">
        <v>1667</v>
      </c>
      <c r="J88" s="505"/>
      <c r="K88" s="1422"/>
      <c r="L88" s="149"/>
      <c r="M88" s="3661"/>
      <c r="N88" s="269"/>
      <c r="O88" s="1546"/>
      <c r="P88" s="1546"/>
      <c r="AH88" s="1553">
        <v>0</v>
      </c>
    </row>
    <row r="89" spans="1:34" s="1557" customFormat="1" ht="0.75" hidden="1" customHeight="1">
      <c r="A89" s="1672"/>
      <c r="B89" s="1672"/>
      <c r="C89" s="303" t="s">
        <v>1675</v>
      </c>
      <c r="D89" s="3941"/>
      <c r="E89" s="3692"/>
      <c r="F89" s="3838"/>
      <c r="G89" s="334"/>
      <c r="H89" s="1422"/>
      <c r="I89" s="585"/>
      <c r="J89" s="505"/>
      <c r="K89" s="1422"/>
      <c r="L89" s="149"/>
      <c r="M89" s="3661"/>
      <c r="N89" s="269"/>
      <c r="O89" s="1546"/>
      <c r="P89" s="1546"/>
      <c r="AH89" s="1553">
        <v>0</v>
      </c>
    </row>
    <row r="90" spans="1:34" s="1557" customFormat="1" ht="45" hidden="1" customHeight="1">
      <c r="A90" s="1672" t="s">
        <v>207</v>
      </c>
      <c r="B90" s="1672" t="s">
        <v>208</v>
      </c>
      <c r="C90" s="303"/>
      <c r="D90" s="3941"/>
      <c r="E90" s="3692"/>
      <c r="F90" s="3838" t="str">
        <f>INDEX(PT_DIFFERENTIATION_VTAR,MATCH(A90,PT_DIFFERENTIATION_VTAR_ID,0))</f>
        <v/>
      </c>
      <c r="G90" s="3910" t="str">
        <f>INDEX(PT_DIFFERENTIATION_NTAR,MATCH(B90,PT_DIFFERENTIATION_NTAR_ID,0))</f>
        <v/>
      </c>
      <c r="H90" s="1751"/>
      <c r="I90" s="1632"/>
      <c r="J90" s="1666"/>
      <c r="K90" s="1670"/>
      <c r="L90" s="1751" t="s">
        <v>351</v>
      </c>
      <c r="M90" s="3662"/>
      <c r="N90" s="269"/>
      <c r="O90" s="1546"/>
      <c r="P90" s="1546"/>
      <c r="AH90" s="1553">
        <v>0</v>
      </c>
    </row>
    <row r="91" spans="1:34" s="1557" customFormat="1" ht="18.75" hidden="1" customHeight="1">
      <c r="A91" s="1672"/>
      <c r="B91" s="1672"/>
      <c r="C91" s="303" t="s">
        <v>1668</v>
      </c>
      <c r="D91" s="3941"/>
      <c r="E91" s="3692"/>
      <c r="F91" s="3838"/>
      <c r="G91" s="3910"/>
      <c r="H91" s="1422"/>
      <c r="I91" s="585" t="s">
        <v>1667</v>
      </c>
      <c r="J91" s="505"/>
      <c r="K91" s="1422"/>
      <c r="L91" s="149"/>
      <c r="M91" s="1750"/>
      <c r="N91" s="269"/>
      <c r="O91" s="1546"/>
      <c r="P91" s="1546"/>
      <c r="AH91" s="1553">
        <v>0</v>
      </c>
    </row>
    <row r="92" spans="1:34" s="1557" customFormat="1" ht="0.75" hidden="1" customHeight="1">
      <c r="A92" s="1672"/>
      <c r="B92" s="1672"/>
      <c r="C92" s="303" t="s">
        <v>1675</v>
      </c>
      <c r="D92" s="3941"/>
      <c r="E92" s="3692"/>
      <c r="F92" s="3838"/>
      <c r="G92" s="334"/>
      <c r="H92" s="1422"/>
      <c r="I92" s="585"/>
      <c r="J92" s="505"/>
      <c r="K92" s="1422"/>
      <c r="L92" s="149"/>
      <c r="M92" s="276"/>
      <c r="N92" s="269"/>
      <c r="O92" s="1546"/>
      <c r="P92" s="1546"/>
      <c r="AH92" s="1553">
        <v>0</v>
      </c>
    </row>
    <row r="93" spans="1:34" s="1557" customFormat="1" ht="45" hidden="1" customHeight="1">
      <c r="A93" s="1672" t="s">
        <v>214</v>
      </c>
      <c r="B93" s="1672" t="s">
        <v>215</v>
      </c>
      <c r="C93" s="303"/>
      <c r="D93" s="3941"/>
      <c r="E93" s="3692"/>
      <c r="F93" s="38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910" t="str">
        <f>INDEX(PT_DIFFERENTIATION_NTAR,MATCH(B93,PT_DIFFERENTIATION_NTAR_ID,0))</f>
        <v/>
      </c>
      <c r="H93" s="1751"/>
      <c r="I93" s="1632"/>
      <c r="J93" s="1666"/>
      <c r="K93" s="1670"/>
      <c r="L93" s="1751" t="s">
        <v>351</v>
      </c>
      <c r="M93" s="276"/>
      <c r="N93" s="269"/>
      <c r="O93" s="1546"/>
      <c r="P93" s="1546"/>
      <c r="AH93" s="1553">
        <v>0</v>
      </c>
    </row>
    <row r="94" spans="1:34" s="1557" customFormat="1" ht="18.75" hidden="1" customHeight="1">
      <c r="A94" s="1672"/>
      <c r="B94" s="1672"/>
      <c r="C94" s="303" t="s">
        <v>1668</v>
      </c>
      <c r="D94" s="3941"/>
      <c r="E94" s="3692"/>
      <c r="F94" s="3838"/>
      <c r="G94" s="3910"/>
      <c r="H94" s="1422"/>
      <c r="I94" s="585" t="s">
        <v>1667</v>
      </c>
      <c r="J94" s="505"/>
      <c r="K94" s="1422"/>
      <c r="L94" s="149"/>
      <c r="M94" s="276"/>
      <c r="N94" s="269"/>
      <c r="O94" s="1546"/>
      <c r="P94" s="1546"/>
      <c r="AH94" s="1553">
        <v>0</v>
      </c>
    </row>
    <row r="95" spans="1:34" s="1557" customFormat="1" ht="0.75" hidden="1" customHeight="1">
      <c r="A95" s="1672"/>
      <c r="B95" s="1672"/>
      <c r="C95" s="303" t="s">
        <v>1675</v>
      </c>
      <c r="D95" s="3941"/>
      <c r="E95" s="3692"/>
      <c r="F95" s="3838"/>
      <c r="G95" s="334"/>
      <c r="H95" s="1422"/>
      <c r="I95" s="585"/>
      <c r="J95" s="505"/>
      <c r="K95" s="1422"/>
      <c r="L95" s="149"/>
      <c r="M95" s="276"/>
      <c r="N95" s="269"/>
      <c r="O95" s="1546"/>
      <c r="P95" s="1546"/>
      <c r="AH95" s="1553">
        <v>0</v>
      </c>
    </row>
    <row r="96" spans="1:34" s="1557" customFormat="1" ht="45" hidden="1" customHeight="1">
      <c r="A96" s="1672" t="s">
        <v>220</v>
      </c>
      <c r="B96" s="1672" t="s">
        <v>221</v>
      </c>
      <c r="C96" s="303"/>
      <c r="D96" s="3941"/>
      <c r="E96" s="3692"/>
      <c r="F96" s="38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910" t="str">
        <f>INDEX(PT_DIFFERENTIATION_NTAR,MATCH(B96,PT_DIFFERENTIATION_NTAR_ID,0))</f>
        <v/>
      </c>
      <c r="H96" s="1751"/>
      <c r="I96" s="1632"/>
      <c r="J96" s="1666"/>
      <c r="K96" s="1670"/>
      <c r="L96" s="1751" t="s">
        <v>351</v>
      </c>
      <c r="M96" s="276"/>
      <c r="N96" s="269"/>
      <c r="O96" s="1546"/>
      <c r="P96" s="1546"/>
      <c r="AH96" s="1553">
        <v>0</v>
      </c>
    </row>
    <row r="97" spans="1:34" s="1557" customFormat="1" ht="18.75" hidden="1" customHeight="1">
      <c r="A97" s="1672"/>
      <c r="B97" s="1672"/>
      <c r="C97" s="303" t="s">
        <v>1668</v>
      </c>
      <c r="D97" s="3941"/>
      <c r="E97" s="3692"/>
      <c r="F97" s="3838"/>
      <c r="G97" s="3910"/>
      <c r="H97" s="1422"/>
      <c r="I97" s="585" t="s">
        <v>1667</v>
      </c>
      <c r="J97" s="505"/>
      <c r="K97" s="1422"/>
      <c r="L97" s="149"/>
      <c r="M97" s="276"/>
      <c r="N97" s="269"/>
      <c r="O97" s="1546"/>
      <c r="P97" s="1546"/>
      <c r="AH97" s="1553">
        <v>0</v>
      </c>
    </row>
    <row r="98" spans="1:34" s="1557" customFormat="1" ht="0.75" hidden="1" customHeight="1">
      <c r="A98" s="1672"/>
      <c r="B98" s="1672"/>
      <c r="C98" s="303" t="s">
        <v>1675</v>
      </c>
      <c r="D98" s="3941"/>
      <c r="E98" s="3692"/>
      <c r="F98" s="3838"/>
      <c r="G98" s="334"/>
      <c r="H98" s="1422"/>
      <c r="I98" s="585"/>
      <c r="J98" s="505"/>
      <c r="K98" s="1422"/>
      <c r="L98" s="149"/>
      <c r="M98" s="276"/>
      <c r="N98" s="269"/>
      <c r="O98" s="1546"/>
      <c r="P98" s="1546"/>
      <c r="AH98" s="1553">
        <v>0</v>
      </c>
    </row>
    <row r="99" spans="1:34" s="1557" customFormat="1" ht="18.75" hidden="1" customHeight="1">
      <c r="A99" s="1672" t="s">
        <v>226</v>
      </c>
      <c r="B99" s="1672" t="s">
        <v>227</v>
      </c>
      <c r="C99" s="303"/>
      <c r="D99" s="3941"/>
      <c r="E99" s="3692"/>
      <c r="F99" s="3838" t="str">
        <f>INDEX(PT_DIFFERENTIATION_VTAR,MATCH(A99,PT_DIFFERENTIATION_VTAR_ID,0))</f>
        <v>Тарифы на услуги по передаче тепловой энергии</v>
      </c>
      <c r="G99" s="3910" t="str">
        <f>INDEX(PT_DIFFERENTIATION_NTAR,MATCH(B99,PT_DIFFERENTIATION_NTAR_ID,0))</f>
        <v/>
      </c>
      <c r="H99" s="1751"/>
      <c r="I99" s="1632"/>
      <c r="J99" s="1666"/>
      <c r="K99" s="1670"/>
      <c r="L99" s="1751" t="s">
        <v>351</v>
      </c>
      <c r="M99" s="276"/>
      <c r="N99" s="269"/>
      <c r="O99" s="1546"/>
      <c r="P99" s="1546"/>
      <c r="AH99" s="1553">
        <v>0</v>
      </c>
    </row>
    <row r="100" spans="1:34" s="1557" customFormat="1" ht="18.75" hidden="1" customHeight="1">
      <c r="A100" s="1672"/>
      <c r="B100" s="1672"/>
      <c r="C100" s="303" t="s">
        <v>1668</v>
      </c>
      <c r="D100" s="3941"/>
      <c r="E100" s="3692"/>
      <c r="F100" s="3838"/>
      <c r="G100" s="3910"/>
      <c r="H100" s="1422"/>
      <c r="I100" s="585" t="s">
        <v>1667</v>
      </c>
      <c r="J100" s="505"/>
      <c r="K100" s="1422"/>
      <c r="L100" s="149"/>
      <c r="M100" s="276"/>
      <c r="N100" s="269"/>
      <c r="O100" s="1546"/>
      <c r="P100" s="1546"/>
      <c r="AH100" s="1553">
        <v>0</v>
      </c>
    </row>
    <row r="101" spans="1:34" s="1557" customFormat="1" ht="0.75" hidden="1" customHeight="1">
      <c r="A101" s="1672"/>
      <c r="B101" s="1672"/>
      <c r="C101" s="303" t="s">
        <v>1675</v>
      </c>
      <c r="D101" s="3941"/>
      <c r="E101" s="3692"/>
      <c r="F101" s="3838"/>
      <c r="G101" s="334"/>
      <c r="H101" s="1422"/>
      <c r="I101" s="585"/>
      <c r="J101" s="505"/>
      <c r="K101" s="1422"/>
      <c r="L101" s="149"/>
      <c r="M101" s="276"/>
      <c r="N101" s="269"/>
      <c r="O101" s="1546"/>
      <c r="P101" s="1546"/>
      <c r="AH101" s="1553">
        <v>0</v>
      </c>
    </row>
    <row r="102" spans="1:34" s="1557" customFormat="1" ht="18.75" hidden="1" customHeight="1">
      <c r="A102" s="1672" t="s">
        <v>232</v>
      </c>
      <c r="B102" s="1672" t="s">
        <v>233</v>
      </c>
      <c r="C102" s="303"/>
      <c r="D102" s="3941"/>
      <c r="E102" s="3692"/>
      <c r="F102" s="3838" t="str">
        <f>INDEX(PT_DIFFERENTIATION_VTAR,MATCH(A102,PT_DIFFERENTIATION_VTAR_ID,0))</f>
        <v>Тарифы на услуги по передаче теплоносителя</v>
      </c>
      <c r="G102" s="3910" t="str">
        <f>INDEX(PT_DIFFERENTIATION_NTAR,MATCH(B102,PT_DIFFERENTIATION_NTAR_ID,0))</f>
        <v/>
      </c>
      <c r="H102" s="1751"/>
      <c r="I102" s="1632"/>
      <c r="J102" s="1666"/>
      <c r="K102" s="1670"/>
      <c r="L102" s="1751" t="s">
        <v>351</v>
      </c>
      <c r="M102" s="276"/>
      <c r="N102" s="269"/>
      <c r="O102" s="1546"/>
      <c r="P102" s="1546"/>
      <c r="AH102" s="1553">
        <v>0</v>
      </c>
    </row>
    <row r="103" spans="1:34" s="1557" customFormat="1" ht="18.75" hidden="1" customHeight="1">
      <c r="A103" s="1672"/>
      <c r="B103" s="1672"/>
      <c r="C103" s="303" t="s">
        <v>1668</v>
      </c>
      <c r="D103" s="3941"/>
      <c r="E103" s="3692"/>
      <c r="F103" s="3838"/>
      <c r="G103" s="3910"/>
      <c r="H103" s="1422"/>
      <c r="I103" s="585" t="s">
        <v>1667</v>
      </c>
      <c r="J103" s="505"/>
      <c r="K103" s="1422"/>
      <c r="L103" s="149"/>
      <c r="M103" s="276"/>
      <c r="N103" s="269"/>
      <c r="O103" s="1546"/>
      <c r="P103" s="1546"/>
      <c r="AH103" s="1553">
        <v>0</v>
      </c>
    </row>
    <row r="104" spans="1:34" s="1557" customFormat="1" ht="0.75" hidden="1" customHeight="1">
      <c r="A104" s="1672"/>
      <c r="B104" s="1672"/>
      <c r="C104" s="303" t="s">
        <v>1675</v>
      </c>
      <c r="D104" s="3941"/>
      <c r="E104" s="3692"/>
      <c r="F104" s="3838"/>
      <c r="G104" s="334"/>
      <c r="H104" s="1422"/>
      <c r="I104" s="585"/>
      <c r="J104" s="505"/>
      <c r="K104" s="1422"/>
      <c r="L104" s="149"/>
      <c r="M104" s="276"/>
      <c r="N104" s="269"/>
      <c r="O104" s="1546"/>
      <c r="P104" s="1546"/>
      <c r="AH104" s="1553">
        <v>0</v>
      </c>
    </row>
    <row r="105" spans="1:34" s="1557" customFormat="1" ht="18.75" hidden="1" customHeight="1">
      <c r="A105" s="1672" t="s">
        <v>238</v>
      </c>
      <c r="B105" s="1672" t="s">
        <v>239</v>
      </c>
      <c r="C105" s="303"/>
      <c r="D105" s="3941"/>
      <c r="E105" s="3692"/>
      <c r="F105" s="38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910" t="str">
        <f>INDEX(PT_DIFFERENTIATION_NTAR,MATCH(B105,PT_DIFFERENTIATION_NTAR_ID,0))</f>
        <v/>
      </c>
      <c r="H105" s="1751"/>
      <c r="I105" s="1632"/>
      <c r="J105" s="1666"/>
      <c r="K105" s="1670"/>
      <c r="L105" s="1751" t="s">
        <v>351</v>
      </c>
      <c r="M105" s="276"/>
      <c r="N105" s="269"/>
      <c r="O105" s="1546"/>
      <c r="P105" s="1546"/>
      <c r="AH105" s="1553">
        <v>0</v>
      </c>
    </row>
    <row r="106" spans="1:34" s="1557" customFormat="1" ht="18.75" hidden="1" customHeight="1">
      <c r="A106" s="1672"/>
      <c r="B106" s="1672"/>
      <c r="C106" s="303" t="s">
        <v>1668</v>
      </c>
      <c r="D106" s="3941"/>
      <c r="E106" s="3692"/>
      <c r="F106" s="3838"/>
      <c r="G106" s="3910"/>
      <c r="H106" s="1422"/>
      <c r="I106" s="585" t="s">
        <v>1667</v>
      </c>
      <c r="J106" s="505"/>
      <c r="K106" s="1422"/>
      <c r="L106" s="149"/>
      <c r="M106" s="276"/>
      <c r="N106" s="269"/>
      <c r="O106" s="1546"/>
      <c r="P106" s="1546"/>
      <c r="AH106" s="1553">
        <v>0</v>
      </c>
    </row>
    <row r="107" spans="1:34" s="1557" customFormat="1" ht="0.75" hidden="1" customHeight="1">
      <c r="A107" s="1672"/>
      <c r="B107" s="1672"/>
      <c r="C107" s="303" t="s">
        <v>1675</v>
      </c>
      <c r="D107" s="3941"/>
      <c r="E107" s="3692"/>
      <c r="F107" s="3838"/>
      <c r="G107" s="334"/>
      <c r="H107" s="1422"/>
      <c r="I107" s="585"/>
      <c r="J107" s="505"/>
      <c r="K107" s="1422"/>
      <c r="L107" s="149"/>
      <c r="M107" s="276"/>
      <c r="N107" s="269"/>
      <c r="O107" s="1546"/>
      <c r="P107" s="1546"/>
      <c r="AH107" s="1553">
        <v>0</v>
      </c>
    </row>
    <row r="108" spans="1:34" s="1557" customFormat="1" ht="18.75" hidden="1" customHeight="1">
      <c r="A108" s="1672" t="s">
        <v>244</v>
      </c>
      <c r="B108" s="1672" t="s">
        <v>245</v>
      </c>
      <c r="C108" s="303"/>
      <c r="D108" s="3941"/>
      <c r="E108" s="3692"/>
      <c r="F108" s="3838" t="str">
        <f>INDEX(PT_DIFFERENTIATION_VTAR,MATCH(A108,PT_DIFFERENTIATION_VTAR_ID,0))</f>
        <v>Плата за подключение (технологическое присоединение) к системе теплоснабжения</v>
      </c>
      <c r="G108" s="3910" t="str">
        <f>INDEX(PT_DIFFERENTIATION_NTAR,MATCH(B108,PT_DIFFERENTIATION_NTAR_ID,0))</f>
        <v/>
      </c>
      <c r="H108" s="1751"/>
      <c r="I108" s="1632"/>
      <c r="J108" s="1666"/>
      <c r="K108" s="1670"/>
      <c r="L108" s="1751" t="s">
        <v>351</v>
      </c>
      <c r="M108" s="276"/>
      <c r="N108" s="269"/>
      <c r="O108" s="1546"/>
      <c r="P108" s="1546"/>
      <c r="AH108" s="1553">
        <v>0</v>
      </c>
    </row>
    <row r="109" spans="1:34" s="1557" customFormat="1" ht="18.75" hidden="1" customHeight="1">
      <c r="A109" s="1672"/>
      <c r="B109" s="1672"/>
      <c r="C109" s="303" t="s">
        <v>1668</v>
      </c>
      <c r="D109" s="3941"/>
      <c r="E109" s="3692"/>
      <c r="F109" s="3838"/>
      <c r="G109" s="3910"/>
      <c r="H109" s="1422"/>
      <c r="I109" s="585" t="s">
        <v>1667</v>
      </c>
      <c r="J109" s="505"/>
      <c r="K109" s="1422"/>
      <c r="L109" s="149"/>
      <c r="M109" s="276"/>
      <c r="N109" s="269"/>
      <c r="O109" s="1546"/>
      <c r="P109" s="1546"/>
      <c r="AH109" s="1553">
        <v>0</v>
      </c>
    </row>
    <row r="110" spans="1:34" s="1557" customFormat="1" ht="0.75" hidden="1" customHeight="1">
      <c r="A110" s="1672"/>
      <c r="B110" s="1672"/>
      <c r="C110" s="303" t="s">
        <v>1675</v>
      </c>
      <c r="D110" s="3941"/>
      <c r="E110" s="3692"/>
      <c r="F110" s="3838"/>
      <c r="G110" s="334"/>
      <c r="H110" s="1422"/>
      <c r="I110" s="585"/>
      <c r="J110" s="505"/>
      <c r="K110" s="1422"/>
      <c r="L110" s="149"/>
      <c r="M110" s="276"/>
      <c r="N110" s="269"/>
      <c r="O110" s="1546"/>
      <c r="P110" s="1546"/>
      <c r="AH110" s="1553">
        <v>0</v>
      </c>
    </row>
    <row r="111" spans="1:34" s="1557" customFormat="1" ht="18.75" hidden="1" customHeight="1">
      <c r="A111" s="1672" t="s">
        <v>250</v>
      </c>
      <c r="B111" s="1672" t="s">
        <v>251</v>
      </c>
      <c r="C111" s="303"/>
      <c r="D111" s="3941"/>
      <c r="E111" s="3692"/>
      <c r="F111" s="3838" t="str">
        <f>INDEX(PT_DIFFERENTIATION_VTAR,MATCH(A111,PT_DIFFERENTIATION_VTAR_ID,0))</f>
        <v>Плата за подключение (технологическое присоединение) к системе теплоснабжения (индивидуальная)</v>
      </c>
      <c r="G111" s="3910" t="str">
        <f>INDEX(PT_DIFFERENTIATION_NTAR,MATCH(B111,PT_DIFFERENTIATION_NTAR_ID,0))</f>
        <v/>
      </c>
      <c r="H111" s="1875"/>
      <c r="I111" s="1632"/>
      <c r="J111" s="1666"/>
      <c r="K111" s="1670"/>
      <c r="L111" s="1875" t="s">
        <v>351</v>
      </c>
      <c r="M111" s="276"/>
      <c r="N111" s="269"/>
      <c r="O111" s="1546"/>
      <c r="P111" s="1546"/>
      <c r="AH111" s="1553">
        <v>0</v>
      </c>
    </row>
    <row r="112" spans="1:34" s="1557" customFormat="1" ht="18.75" hidden="1" customHeight="1">
      <c r="A112" s="1672"/>
      <c r="B112" s="1672"/>
      <c r="C112" s="303" t="s">
        <v>1668</v>
      </c>
      <c r="D112" s="3941"/>
      <c r="E112" s="3692"/>
      <c r="F112" s="3838"/>
      <c r="G112" s="3910"/>
      <c r="H112" s="1422"/>
      <c r="I112" s="585" t="s">
        <v>1667</v>
      </c>
      <c r="J112" s="505"/>
      <c r="K112" s="1422"/>
      <c r="L112" s="149"/>
      <c r="M112" s="276"/>
      <c r="N112" s="269"/>
      <c r="O112" s="1546"/>
      <c r="P112" s="1546"/>
      <c r="AH112" s="1553">
        <v>0</v>
      </c>
    </row>
    <row r="113" spans="1:34" s="1557" customFormat="1" ht="0.75" hidden="1" customHeight="1">
      <c r="A113" s="1672"/>
      <c r="B113" s="1672"/>
      <c r="C113" s="303" t="s">
        <v>1675</v>
      </c>
      <c r="D113" s="3941"/>
      <c r="E113" s="3692"/>
      <c r="F113" s="3838"/>
      <c r="G113" s="334"/>
      <c r="H113" s="1422"/>
      <c r="I113" s="585"/>
      <c r="J113" s="505"/>
      <c r="K113" s="1422"/>
      <c r="L113" s="149"/>
      <c r="M113" s="276"/>
      <c r="N113" s="269"/>
      <c r="O113" s="1546"/>
      <c r="P113" s="1546"/>
      <c r="AH113" s="1553">
        <v>0</v>
      </c>
    </row>
    <row r="114" spans="1:34" s="1557" customFormat="1" ht="18.75" hidden="1" customHeight="1">
      <c r="A114" s="1672" t="s">
        <v>270</v>
      </c>
      <c r="B114" s="1672" t="s">
        <v>271</v>
      </c>
      <c r="C114" s="303"/>
      <c r="D114" s="3941"/>
      <c r="E114" s="3692"/>
      <c r="F114" s="3838" t="str">
        <f>INDEX(PT_DIFFERENTIATION_VTAR,MATCH(A114,PT_DIFFERENTIATION_VTAR_ID,0))</f>
        <v>Тариф на питьевую воду (питьевое водоснабжение)</v>
      </c>
      <c r="G114" s="3910" t="str">
        <f>INDEX(PT_DIFFERENTIATION_NTAR,MATCH(B114,PT_DIFFERENTIATION_NTAR_ID,0))</f>
        <v/>
      </c>
      <c r="H114" s="1751"/>
      <c r="I114" s="1632"/>
      <c r="J114" s="1666"/>
      <c r="K114" s="1670"/>
      <c r="L114" s="1751" t="s">
        <v>351</v>
      </c>
      <c r="M114" s="276"/>
      <c r="N114" s="269"/>
      <c r="O114" s="1546"/>
      <c r="P114" s="1546"/>
      <c r="AH114" s="1553">
        <v>0</v>
      </c>
    </row>
    <row r="115" spans="1:34" s="1557" customFormat="1" ht="18.75" hidden="1" customHeight="1">
      <c r="A115" s="1672"/>
      <c r="B115" s="1672"/>
      <c r="C115" s="303" t="s">
        <v>1668</v>
      </c>
      <c r="D115" s="3941"/>
      <c r="E115" s="3692"/>
      <c r="F115" s="3838"/>
      <c r="G115" s="3910"/>
      <c r="H115" s="1422"/>
      <c r="I115" s="585" t="s">
        <v>1667</v>
      </c>
      <c r="J115" s="505"/>
      <c r="K115" s="1422"/>
      <c r="L115" s="149"/>
      <c r="M115" s="276"/>
      <c r="N115" s="269"/>
      <c r="O115" s="1546"/>
      <c r="P115" s="1546"/>
      <c r="AH115" s="1553">
        <v>0</v>
      </c>
    </row>
    <row r="116" spans="1:34" s="1557" customFormat="1" ht="0.75" hidden="1" customHeight="1">
      <c r="A116" s="1672"/>
      <c r="B116" s="1672"/>
      <c r="C116" s="303" t="s">
        <v>1675</v>
      </c>
      <c r="D116" s="3941"/>
      <c r="E116" s="3692"/>
      <c r="F116" s="3838"/>
      <c r="G116" s="334"/>
      <c r="H116" s="1422"/>
      <c r="I116" s="585"/>
      <c r="J116" s="505"/>
      <c r="K116" s="1422"/>
      <c r="L116" s="149"/>
      <c r="M116" s="276"/>
      <c r="N116" s="269"/>
      <c r="O116" s="1546"/>
      <c r="P116" s="1546"/>
      <c r="AH116" s="1553">
        <v>0</v>
      </c>
    </row>
    <row r="117" spans="1:34" s="1557" customFormat="1" ht="18.75" hidden="1" customHeight="1">
      <c r="A117" s="1672" t="s">
        <v>275</v>
      </c>
      <c r="B117" s="1672" t="s">
        <v>276</v>
      </c>
      <c r="C117" s="303"/>
      <c r="D117" s="3941"/>
      <c r="E117" s="3692"/>
      <c r="F117" s="3838" t="str">
        <f>INDEX(PT_DIFFERENTIATION_VTAR,MATCH(A117,PT_DIFFERENTIATION_VTAR_ID,0))</f>
        <v>Тариф на техническую воду</v>
      </c>
      <c r="G117" s="3910" t="str">
        <f>INDEX(PT_DIFFERENTIATION_NTAR,MATCH(B117,PT_DIFFERENTIATION_NTAR_ID,0))</f>
        <v/>
      </c>
      <c r="H117" s="1751"/>
      <c r="I117" s="1632"/>
      <c r="J117" s="1666"/>
      <c r="K117" s="1670"/>
      <c r="L117" s="1751" t="s">
        <v>351</v>
      </c>
      <c r="M117" s="276"/>
      <c r="N117" s="269"/>
      <c r="O117" s="1546"/>
      <c r="P117" s="1546"/>
      <c r="AH117" s="1553">
        <v>0</v>
      </c>
    </row>
    <row r="118" spans="1:34" s="1557" customFormat="1" ht="18.75" hidden="1" customHeight="1">
      <c r="A118" s="1672"/>
      <c r="B118" s="1672"/>
      <c r="C118" s="303" t="s">
        <v>1668</v>
      </c>
      <c r="D118" s="3941"/>
      <c r="E118" s="3692"/>
      <c r="F118" s="3838"/>
      <c r="G118" s="3910"/>
      <c r="H118" s="1422"/>
      <c r="I118" s="585" t="s">
        <v>1667</v>
      </c>
      <c r="J118" s="505"/>
      <c r="K118" s="1422"/>
      <c r="L118" s="149"/>
      <c r="M118" s="276"/>
      <c r="N118" s="269"/>
      <c r="O118" s="1546"/>
      <c r="P118" s="1546"/>
      <c r="AH118" s="1553">
        <v>0</v>
      </c>
    </row>
    <row r="119" spans="1:34" s="1557" customFormat="1" ht="0.75" hidden="1" customHeight="1">
      <c r="A119" s="1672"/>
      <c r="B119" s="1672"/>
      <c r="C119" s="303" t="s">
        <v>1675</v>
      </c>
      <c r="D119" s="3941"/>
      <c r="E119" s="3692"/>
      <c r="F119" s="3838"/>
      <c r="G119" s="334"/>
      <c r="H119" s="1422"/>
      <c r="I119" s="585"/>
      <c r="J119" s="505"/>
      <c r="K119" s="1422"/>
      <c r="L119" s="149"/>
      <c r="M119" s="276"/>
      <c r="N119" s="269"/>
      <c r="O119" s="1546"/>
      <c r="P119" s="1546"/>
      <c r="AH119" s="1553">
        <v>0</v>
      </c>
    </row>
    <row r="120" spans="1:34" s="1557" customFormat="1" ht="18.75" hidden="1" customHeight="1">
      <c r="A120" s="1672" t="s">
        <v>280</v>
      </c>
      <c r="B120" s="1672" t="s">
        <v>281</v>
      </c>
      <c r="C120" s="303"/>
      <c r="D120" s="3941"/>
      <c r="E120" s="3692"/>
      <c r="F120" s="3838" t="str">
        <f>INDEX(PT_DIFFERENTIATION_VTAR,MATCH(A120,PT_DIFFERENTIATION_VTAR_ID,0))</f>
        <v>Тариф на транспортировку воды</v>
      </c>
      <c r="G120" s="3910" t="str">
        <f>INDEX(PT_DIFFERENTIATION_NTAR,MATCH(B120,PT_DIFFERENTIATION_NTAR_ID,0))</f>
        <v/>
      </c>
      <c r="H120" s="1751"/>
      <c r="I120" s="1632"/>
      <c r="J120" s="1666"/>
      <c r="K120" s="1670"/>
      <c r="L120" s="1751" t="s">
        <v>351</v>
      </c>
      <c r="M120" s="276"/>
      <c r="N120" s="269"/>
      <c r="O120" s="1546"/>
      <c r="P120" s="1546"/>
      <c r="AH120" s="1553">
        <v>0</v>
      </c>
    </row>
    <row r="121" spans="1:34" s="1557" customFormat="1" ht="18.75" hidden="1" customHeight="1">
      <c r="A121" s="1672"/>
      <c r="B121" s="1672"/>
      <c r="C121" s="303" t="s">
        <v>1668</v>
      </c>
      <c r="D121" s="3941"/>
      <c r="E121" s="3692"/>
      <c r="F121" s="3838"/>
      <c r="G121" s="3910"/>
      <c r="H121" s="1422"/>
      <c r="I121" s="585" t="s">
        <v>1667</v>
      </c>
      <c r="J121" s="505"/>
      <c r="K121" s="1422"/>
      <c r="L121" s="149"/>
      <c r="M121" s="276"/>
      <c r="N121" s="269"/>
      <c r="O121" s="1546"/>
      <c r="P121" s="1546"/>
      <c r="AH121" s="1553">
        <v>0</v>
      </c>
    </row>
    <row r="122" spans="1:34" s="1557" customFormat="1" ht="0.75" hidden="1" customHeight="1">
      <c r="A122" s="1672"/>
      <c r="B122" s="1672"/>
      <c r="C122" s="303" t="s">
        <v>1675</v>
      </c>
      <c r="D122" s="3941"/>
      <c r="E122" s="3692"/>
      <c r="F122" s="3838"/>
      <c r="G122" s="334"/>
      <c r="H122" s="1422"/>
      <c r="I122" s="585"/>
      <c r="J122" s="505"/>
      <c r="K122" s="1422"/>
      <c r="L122" s="149"/>
      <c r="M122" s="276"/>
      <c r="N122" s="269"/>
      <c r="O122" s="1546"/>
      <c r="P122" s="1546"/>
      <c r="AH122" s="1553">
        <v>0</v>
      </c>
    </row>
    <row r="123" spans="1:34" s="1557" customFormat="1" ht="18.75" hidden="1" customHeight="1">
      <c r="A123" s="1672" t="s">
        <v>285</v>
      </c>
      <c r="B123" s="1672" t="s">
        <v>286</v>
      </c>
      <c r="C123" s="303"/>
      <c r="D123" s="3941"/>
      <c r="E123" s="3692"/>
      <c r="F123" s="3838" t="str">
        <f>INDEX(PT_DIFFERENTIATION_VTAR,MATCH(A123,PT_DIFFERENTIATION_VTAR_ID,0))</f>
        <v>Тариф на подвоз воды</v>
      </c>
      <c r="G123" s="3910" t="str">
        <f>INDEX(PT_DIFFERENTIATION_NTAR,MATCH(B123,PT_DIFFERENTIATION_NTAR_ID,0))</f>
        <v/>
      </c>
      <c r="H123" s="1751"/>
      <c r="I123" s="1632"/>
      <c r="J123" s="1666"/>
      <c r="K123" s="1670"/>
      <c r="L123" s="1751" t="s">
        <v>351</v>
      </c>
      <c r="M123" s="276"/>
      <c r="N123" s="269"/>
      <c r="O123" s="1546"/>
      <c r="P123" s="1546"/>
      <c r="AH123" s="1553">
        <v>0</v>
      </c>
    </row>
    <row r="124" spans="1:34" s="1557" customFormat="1" ht="18.75" hidden="1" customHeight="1">
      <c r="A124" s="1672"/>
      <c r="B124" s="1672"/>
      <c r="C124" s="303" t="s">
        <v>1668</v>
      </c>
      <c r="D124" s="3941"/>
      <c r="E124" s="3692"/>
      <c r="F124" s="3838"/>
      <c r="G124" s="3910"/>
      <c r="H124" s="1422"/>
      <c r="I124" s="585" t="s">
        <v>1667</v>
      </c>
      <c r="J124" s="505"/>
      <c r="K124" s="1422"/>
      <c r="L124" s="149"/>
      <c r="M124" s="276"/>
      <c r="N124" s="269"/>
      <c r="O124" s="1546"/>
      <c r="P124" s="1546"/>
      <c r="AH124" s="1553">
        <v>0</v>
      </c>
    </row>
    <row r="125" spans="1:34" s="1557" customFormat="1" ht="0.75" hidden="1" customHeight="1">
      <c r="A125" s="1672"/>
      <c r="B125" s="1672"/>
      <c r="C125" s="303" t="s">
        <v>1675</v>
      </c>
      <c r="D125" s="3941"/>
      <c r="E125" s="3692"/>
      <c r="F125" s="3838"/>
      <c r="G125" s="334"/>
      <c r="H125" s="1422"/>
      <c r="I125" s="585"/>
      <c r="J125" s="505"/>
      <c r="K125" s="1422"/>
      <c r="L125" s="149"/>
      <c r="M125" s="276"/>
      <c r="N125" s="269"/>
      <c r="O125" s="1546"/>
      <c r="P125" s="1546"/>
      <c r="AH125" s="1553">
        <v>0</v>
      </c>
    </row>
    <row r="126" spans="1:34" s="1557" customFormat="1" ht="18.75" hidden="1" customHeight="1">
      <c r="A126" s="1672" t="s">
        <v>290</v>
      </c>
      <c r="B126" s="1672" t="s">
        <v>291</v>
      </c>
      <c r="C126" s="303"/>
      <c r="D126" s="3941"/>
      <c r="E126" s="3692"/>
      <c r="F126" s="38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910" t="str">
        <f>INDEX(PT_DIFFERENTIATION_NTAR,MATCH(B126,PT_DIFFERENTIATION_NTAR_ID,0))</f>
        <v/>
      </c>
      <c r="H126" s="1751"/>
      <c r="I126" s="1632"/>
      <c r="J126" s="1666"/>
      <c r="K126" s="1670"/>
      <c r="L126" s="1751" t="s">
        <v>351</v>
      </c>
      <c r="M126" s="276"/>
      <c r="N126" s="269"/>
      <c r="O126" s="1546"/>
      <c r="P126" s="1546"/>
      <c r="AH126" s="1553">
        <v>0</v>
      </c>
    </row>
    <row r="127" spans="1:34" s="1557" customFormat="1" ht="18.75" hidden="1" customHeight="1">
      <c r="A127" s="1672"/>
      <c r="B127" s="1672"/>
      <c r="C127" s="303" t="s">
        <v>1668</v>
      </c>
      <c r="D127" s="3941"/>
      <c r="E127" s="3692"/>
      <c r="F127" s="3838"/>
      <c r="G127" s="3910"/>
      <c r="H127" s="1422"/>
      <c r="I127" s="585" t="s">
        <v>1667</v>
      </c>
      <c r="J127" s="505"/>
      <c r="K127" s="1422"/>
      <c r="L127" s="149"/>
      <c r="M127" s="276"/>
      <c r="N127" s="269"/>
      <c r="O127" s="1546"/>
      <c r="P127" s="1546"/>
      <c r="AH127" s="1553">
        <v>0</v>
      </c>
    </row>
    <row r="128" spans="1:34" s="1557" customFormat="1" ht="0.75" hidden="1" customHeight="1">
      <c r="A128" s="1672"/>
      <c r="B128" s="1672"/>
      <c r="C128" s="303" t="s">
        <v>1675</v>
      </c>
      <c r="D128" s="3941"/>
      <c r="E128" s="3692"/>
      <c r="F128" s="3838"/>
      <c r="G128" s="334"/>
      <c r="H128" s="1422"/>
      <c r="I128" s="585"/>
      <c r="J128" s="505"/>
      <c r="K128" s="1422"/>
      <c r="L128" s="149"/>
      <c r="M128" s="276"/>
      <c r="N128" s="269"/>
      <c r="O128" s="1546"/>
      <c r="P128" s="1546"/>
      <c r="AH128" s="1553">
        <v>0</v>
      </c>
    </row>
    <row r="129" spans="1:34" s="1557" customFormat="1" ht="18.75" hidden="1" customHeight="1">
      <c r="A129" s="1672" t="s">
        <v>295</v>
      </c>
      <c r="B129" s="1672" t="s">
        <v>296</v>
      </c>
      <c r="C129" s="303"/>
      <c r="D129" s="3941"/>
      <c r="E129" s="3692"/>
      <c r="F129" s="3838" t="str">
        <f>INDEX(PT_DIFFERENTIATION_VTAR,MATCH(A129,PT_DIFFERENTIATION_VTAR_ID,0))</f>
        <v>Тариф на горячую воду (горячее водоснабжение)</v>
      </c>
      <c r="G129" s="3910" t="str">
        <f>INDEX(PT_DIFFERENTIATION_NTAR,MATCH(B129,PT_DIFFERENTIATION_NTAR_ID,0))</f>
        <v/>
      </c>
      <c r="H129" s="1751"/>
      <c r="I129" s="1632"/>
      <c r="J129" s="1666"/>
      <c r="K129" s="1670"/>
      <c r="L129" s="1751" t="s">
        <v>351</v>
      </c>
      <c r="M129" s="276"/>
      <c r="N129" s="269"/>
      <c r="O129" s="1546"/>
      <c r="P129" s="1546"/>
      <c r="AH129" s="1553">
        <v>0</v>
      </c>
    </row>
    <row r="130" spans="1:34" s="1557" customFormat="1" ht="18.75" hidden="1" customHeight="1">
      <c r="A130" s="1672"/>
      <c r="B130" s="1672"/>
      <c r="C130" s="303" t="s">
        <v>1668</v>
      </c>
      <c r="D130" s="3941"/>
      <c r="E130" s="3692"/>
      <c r="F130" s="3838"/>
      <c r="G130" s="3910"/>
      <c r="H130" s="1422"/>
      <c r="I130" s="585" t="s">
        <v>1667</v>
      </c>
      <c r="J130" s="505"/>
      <c r="K130" s="1422"/>
      <c r="L130" s="149"/>
      <c r="M130" s="276"/>
      <c r="N130" s="269"/>
      <c r="O130" s="1546"/>
      <c r="P130" s="1546"/>
      <c r="AH130" s="1553">
        <v>0</v>
      </c>
    </row>
    <row r="131" spans="1:34" s="1557" customFormat="1" ht="0.75" hidden="1" customHeight="1">
      <c r="A131" s="1672"/>
      <c r="B131" s="1672"/>
      <c r="C131" s="303" t="s">
        <v>1675</v>
      </c>
      <c r="D131" s="3941"/>
      <c r="E131" s="3692"/>
      <c r="F131" s="3838"/>
      <c r="G131" s="334"/>
      <c r="H131" s="1422"/>
      <c r="I131" s="585"/>
      <c r="J131" s="505"/>
      <c r="K131" s="1422"/>
      <c r="L131" s="149"/>
      <c r="M131" s="276"/>
      <c r="N131" s="269"/>
      <c r="O131" s="1546"/>
      <c r="P131" s="1546"/>
      <c r="AH131" s="1553">
        <v>0</v>
      </c>
    </row>
    <row r="132" spans="1:34" s="1557" customFormat="1" ht="18.75" hidden="1" customHeight="1">
      <c r="A132" s="1672" t="s">
        <v>300</v>
      </c>
      <c r="B132" s="1672" t="s">
        <v>301</v>
      </c>
      <c r="C132" s="303"/>
      <c r="D132" s="3941"/>
      <c r="E132" s="3692"/>
      <c r="F132" s="3838" t="str">
        <f>INDEX(PT_DIFFERENTIATION_VTAR,MATCH(A132,PT_DIFFERENTIATION_VTAR_ID,0))</f>
        <v>Тариф на транспортировку горячей воды</v>
      </c>
      <c r="G132" s="3910" t="str">
        <f>INDEX(PT_DIFFERENTIATION_NTAR,MATCH(B132,PT_DIFFERENTIATION_NTAR_ID,0))</f>
        <v/>
      </c>
      <c r="H132" s="1751"/>
      <c r="I132" s="1632"/>
      <c r="J132" s="1666"/>
      <c r="K132" s="1670"/>
      <c r="L132" s="1751" t="s">
        <v>351</v>
      </c>
      <c r="M132" s="276"/>
      <c r="N132" s="269"/>
      <c r="O132" s="1546"/>
      <c r="P132" s="1546"/>
      <c r="AH132" s="1553">
        <v>0</v>
      </c>
    </row>
    <row r="133" spans="1:34" s="1557" customFormat="1" ht="18.75" hidden="1" customHeight="1">
      <c r="A133" s="1672"/>
      <c r="B133" s="1672"/>
      <c r="C133" s="303" t="s">
        <v>1668</v>
      </c>
      <c r="D133" s="3941"/>
      <c r="E133" s="3692"/>
      <c r="F133" s="3838"/>
      <c r="G133" s="3910"/>
      <c r="H133" s="1422"/>
      <c r="I133" s="585" t="s">
        <v>1667</v>
      </c>
      <c r="J133" s="505"/>
      <c r="K133" s="1422"/>
      <c r="L133" s="149"/>
      <c r="M133" s="276"/>
      <c r="N133" s="269"/>
      <c r="O133" s="1546"/>
      <c r="P133" s="1546"/>
      <c r="AH133" s="1553">
        <v>0</v>
      </c>
    </row>
    <row r="134" spans="1:34" s="1557" customFormat="1" ht="0.75" hidden="1" customHeight="1">
      <c r="A134" s="1672"/>
      <c r="B134" s="1672"/>
      <c r="C134" s="303" t="s">
        <v>1675</v>
      </c>
      <c r="D134" s="3941"/>
      <c r="E134" s="3692"/>
      <c r="F134" s="3838"/>
      <c r="G134" s="334"/>
      <c r="H134" s="1422"/>
      <c r="I134" s="585"/>
      <c r="J134" s="505"/>
      <c r="K134" s="1422"/>
      <c r="L134" s="149"/>
      <c r="M134" s="276"/>
      <c r="N134" s="269"/>
      <c r="O134" s="1546"/>
      <c r="P134" s="1546"/>
      <c r="AH134" s="1553">
        <v>0</v>
      </c>
    </row>
    <row r="135" spans="1:34" s="1557" customFormat="1" ht="18.75" hidden="1" customHeight="1">
      <c r="A135" s="1672" t="s">
        <v>305</v>
      </c>
      <c r="B135" s="1672" t="s">
        <v>306</v>
      </c>
      <c r="C135" s="303"/>
      <c r="D135" s="3941"/>
      <c r="E135" s="3692"/>
      <c r="F135" s="38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3910" t="str">
        <f>INDEX(PT_DIFFERENTIATION_NTAR,MATCH(B135,PT_DIFFERENTIATION_NTAR_ID,0))</f>
        <v/>
      </c>
      <c r="H135" s="1751"/>
      <c r="I135" s="1632"/>
      <c r="J135" s="1666"/>
      <c r="K135" s="1670"/>
      <c r="L135" s="1751" t="s">
        <v>351</v>
      </c>
      <c r="M135" s="276"/>
      <c r="N135" s="269"/>
      <c r="O135" s="1546"/>
      <c r="P135" s="1546"/>
      <c r="AH135" s="1553">
        <v>0</v>
      </c>
    </row>
    <row r="136" spans="1:34" s="1557" customFormat="1" ht="18.75" hidden="1" customHeight="1">
      <c r="A136" s="1672"/>
      <c r="B136" s="1672"/>
      <c r="C136" s="303" t="s">
        <v>1668</v>
      </c>
      <c r="D136" s="3941"/>
      <c r="E136" s="3692"/>
      <c r="F136" s="3838"/>
      <c r="G136" s="3910"/>
      <c r="H136" s="1422"/>
      <c r="I136" s="585" t="s">
        <v>1667</v>
      </c>
      <c r="J136" s="505"/>
      <c r="K136" s="1422"/>
      <c r="L136" s="149"/>
      <c r="M136" s="276"/>
      <c r="N136" s="269"/>
      <c r="O136" s="1546"/>
      <c r="P136" s="1546"/>
      <c r="AH136" s="1553">
        <v>0</v>
      </c>
    </row>
    <row r="137" spans="1:34" s="1557" customFormat="1" ht="0.75" hidden="1" customHeight="1">
      <c r="A137" s="1672"/>
      <c r="B137" s="1672"/>
      <c r="C137" s="303" t="s">
        <v>1675</v>
      </c>
      <c r="D137" s="3941"/>
      <c r="E137" s="3692"/>
      <c r="F137" s="3838"/>
      <c r="G137" s="334"/>
      <c r="H137" s="1422"/>
      <c r="I137" s="585"/>
      <c r="J137" s="505"/>
      <c r="K137" s="1422"/>
      <c r="L137" s="149"/>
      <c r="M137" s="276"/>
      <c r="N137" s="269"/>
      <c r="O137" s="1546"/>
      <c r="P137" s="1546"/>
      <c r="AH137" s="1553">
        <v>0</v>
      </c>
    </row>
    <row r="138" spans="1:34" s="1557" customFormat="1" ht="18.75" hidden="1" customHeight="1">
      <c r="A138" s="1672" t="s">
        <v>310</v>
      </c>
      <c r="B138" s="1672" t="s">
        <v>311</v>
      </c>
      <c r="C138" s="303"/>
      <c r="D138" s="3941"/>
      <c r="E138" s="3692"/>
      <c r="F138" s="3838" t="str">
        <f>INDEX(PT_DIFFERENTIATION_VTAR,MATCH(A138,PT_DIFFERENTIATION_VTAR_ID,0))</f>
        <v>Тариф на водоотведение</v>
      </c>
      <c r="G138" s="3910" t="str">
        <f>INDEX(PT_DIFFERENTIATION_NTAR,MATCH(B138,PT_DIFFERENTIATION_NTAR_ID,0))</f>
        <v/>
      </c>
      <c r="H138" s="1751"/>
      <c r="I138" s="1632"/>
      <c r="J138" s="1666"/>
      <c r="K138" s="1670"/>
      <c r="L138" s="1751" t="s">
        <v>351</v>
      </c>
      <c r="M138" s="276"/>
      <c r="N138" s="269"/>
      <c r="O138" s="1546"/>
      <c r="P138" s="1546"/>
      <c r="AH138" s="1553">
        <v>0</v>
      </c>
    </row>
    <row r="139" spans="1:34" s="1557" customFormat="1" ht="18.75" hidden="1" customHeight="1">
      <c r="A139" s="1672"/>
      <c r="B139" s="1672"/>
      <c r="C139" s="303" t="s">
        <v>1668</v>
      </c>
      <c r="D139" s="3941"/>
      <c r="E139" s="3692"/>
      <c r="F139" s="3838"/>
      <c r="G139" s="3910"/>
      <c r="H139" s="1422"/>
      <c r="I139" s="585" t="s">
        <v>1667</v>
      </c>
      <c r="J139" s="505"/>
      <c r="K139" s="1422"/>
      <c r="L139" s="149"/>
      <c r="M139" s="276"/>
      <c r="N139" s="269"/>
      <c r="O139" s="1546"/>
      <c r="P139" s="1546"/>
      <c r="AH139" s="1553">
        <v>0</v>
      </c>
    </row>
    <row r="140" spans="1:34" s="1557" customFormat="1" ht="0.75" hidden="1" customHeight="1">
      <c r="A140" s="1672"/>
      <c r="B140" s="1672"/>
      <c r="C140" s="303" t="s">
        <v>1675</v>
      </c>
      <c r="D140" s="3941"/>
      <c r="E140" s="3692"/>
      <c r="F140" s="3838"/>
      <c r="G140" s="334"/>
      <c r="H140" s="1422"/>
      <c r="I140" s="585"/>
      <c r="J140" s="505"/>
      <c r="K140" s="1422"/>
      <c r="L140" s="149"/>
      <c r="M140" s="276"/>
      <c r="N140" s="269"/>
      <c r="O140" s="1546"/>
      <c r="P140" s="1546"/>
      <c r="AH140" s="1553">
        <v>0</v>
      </c>
    </row>
    <row r="141" spans="1:34" s="1557" customFormat="1" ht="18.75" hidden="1" customHeight="1">
      <c r="A141" s="1672" t="s">
        <v>315</v>
      </c>
      <c r="B141" s="1672" t="s">
        <v>316</v>
      </c>
      <c r="C141" s="303"/>
      <c r="D141" s="3941"/>
      <c r="E141" s="3692"/>
      <c r="F141" s="3838" t="str">
        <f>INDEX(PT_DIFFERENTIATION_VTAR,MATCH(A141,PT_DIFFERENTIATION_VTAR_ID,0))</f>
        <v>Тариф на транспортировку сточных вод</v>
      </c>
      <c r="G141" s="3910" t="str">
        <f>INDEX(PT_DIFFERENTIATION_NTAR,MATCH(B141,PT_DIFFERENTIATION_NTAR_ID,0))</f>
        <v/>
      </c>
      <c r="H141" s="1751"/>
      <c r="I141" s="1632"/>
      <c r="J141" s="1666"/>
      <c r="K141" s="1670"/>
      <c r="L141" s="1751" t="s">
        <v>351</v>
      </c>
      <c r="M141" s="276"/>
      <c r="N141" s="269"/>
      <c r="O141" s="1546"/>
      <c r="P141" s="1546"/>
      <c r="AH141" s="1553">
        <v>0</v>
      </c>
    </row>
    <row r="142" spans="1:34" s="1557" customFormat="1" ht="18.75" hidden="1" customHeight="1">
      <c r="A142" s="1672"/>
      <c r="B142" s="1672"/>
      <c r="C142" s="303" t="s">
        <v>1668</v>
      </c>
      <c r="D142" s="3941"/>
      <c r="E142" s="3692"/>
      <c r="F142" s="3838"/>
      <c r="G142" s="3910"/>
      <c r="H142" s="1422"/>
      <c r="I142" s="585" t="s">
        <v>1667</v>
      </c>
      <c r="J142" s="505"/>
      <c r="K142" s="1422"/>
      <c r="L142" s="149"/>
      <c r="M142" s="276"/>
      <c r="N142" s="269"/>
      <c r="O142" s="1546"/>
      <c r="P142" s="1546"/>
      <c r="AH142" s="1553">
        <v>0</v>
      </c>
    </row>
    <row r="143" spans="1:34" s="1557" customFormat="1" ht="0.75" hidden="1" customHeight="1">
      <c r="A143" s="1672"/>
      <c r="B143" s="1672"/>
      <c r="C143" s="303" t="s">
        <v>1675</v>
      </c>
      <c r="D143" s="3941"/>
      <c r="E143" s="3692"/>
      <c r="F143" s="3838"/>
      <c r="G143" s="334"/>
      <c r="H143" s="1422"/>
      <c r="I143" s="585"/>
      <c r="J143" s="505"/>
      <c r="K143" s="1422"/>
      <c r="L143" s="149"/>
      <c r="M143" s="276"/>
      <c r="N143" s="269"/>
      <c r="O143" s="1546"/>
      <c r="P143" s="1546"/>
      <c r="AH143" s="1553">
        <v>0</v>
      </c>
    </row>
    <row r="144" spans="1:34" s="1557" customFormat="1" ht="18.75" hidden="1" customHeight="1">
      <c r="A144" s="1672" t="s">
        <v>320</v>
      </c>
      <c r="B144" s="1672" t="s">
        <v>321</v>
      </c>
      <c r="C144" s="303"/>
      <c r="D144" s="3941"/>
      <c r="E144" s="3692"/>
      <c r="F144" s="3838" t="str">
        <f>INDEX(PT_DIFFERENTIATION_VTAR,MATCH(A144,PT_DIFFERENTIATION_VTAR_ID,0))</f>
        <v>Тариф на подключение (технологическое присоединение) к централизованной системе водоотведения</v>
      </c>
      <c r="G144" s="3910" t="str">
        <f>INDEX(PT_DIFFERENTIATION_NTAR,MATCH(B144,PT_DIFFERENTIATION_NTAR_ID,0))</f>
        <v/>
      </c>
      <c r="H144" s="1751"/>
      <c r="I144" s="1632"/>
      <c r="J144" s="1666"/>
      <c r="K144" s="1670"/>
      <c r="L144" s="1751" t="s">
        <v>351</v>
      </c>
      <c r="M144" s="276"/>
      <c r="N144" s="269"/>
      <c r="O144" s="1546"/>
      <c r="P144" s="1546"/>
      <c r="AH144" s="1553">
        <v>0</v>
      </c>
    </row>
    <row r="145" spans="1:34" s="1557" customFormat="1" ht="18.75" hidden="1" customHeight="1">
      <c r="A145" s="1672"/>
      <c r="B145" s="1672"/>
      <c r="C145" s="303" t="s">
        <v>1668</v>
      </c>
      <c r="D145" s="3941"/>
      <c r="E145" s="3692"/>
      <c r="F145" s="3838"/>
      <c r="G145" s="3910"/>
      <c r="H145" s="1422"/>
      <c r="I145" s="585" t="s">
        <v>1667</v>
      </c>
      <c r="J145" s="505"/>
      <c r="K145" s="1422"/>
      <c r="L145" s="149"/>
      <c r="M145" s="276"/>
      <c r="N145" s="269"/>
      <c r="O145" s="1546"/>
      <c r="P145" s="1546"/>
      <c r="AH145" s="1553">
        <v>0</v>
      </c>
    </row>
    <row r="146" spans="1:34" s="1557" customFormat="1" ht="1.1499999999999999" customHeight="1">
      <c r="A146" s="1672"/>
      <c r="B146" s="1672"/>
      <c r="C146" s="303" t="s">
        <v>1675</v>
      </c>
      <c r="D146" s="3941"/>
      <c r="E146" s="3692"/>
      <c r="F146" s="3838"/>
      <c r="G146" s="334"/>
      <c r="H146" s="1422"/>
      <c r="I146" s="585"/>
      <c r="J146" s="505"/>
      <c r="K146" s="1422"/>
      <c r="L146" s="149"/>
      <c r="M146" s="276"/>
      <c r="N146" s="269"/>
      <c r="O146" s="1546"/>
      <c r="P146" s="1546"/>
      <c r="AH146" s="1553">
        <v>1</v>
      </c>
    </row>
    <row r="147" spans="1:34" ht="19.899999999999999" customHeight="1">
      <c r="A147" s="1672"/>
      <c r="B147" s="1672"/>
      <c r="D147" s="310"/>
      <c r="E147" s="83" t="s">
        <v>79</v>
      </c>
      <c r="F147" s="39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940"/>
      <c r="H147" s="3940"/>
      <c r="I147" s="3940"/>
      <c r="J147" s="3940"/>
      <c r="K147" s="3940"/>
      <c r="L147" s="3940"/>
      <c r="M147" s="232"/>
      <c r="N147" s="269"/>
      <c r="AH147" s="308">
        <v>19</v>
      </c>
    </row>
    <row r="148" spans="1:34" s="1557" customFormat="1" ht="60.75" hidden="1" customHeight="1">
      <c r="A148" s="1672" t="s">
        <v>202</v>
      </c>
      <c r="B148" s="1672" t="s">
        <v>203</v>
      </c>
      <c r="C148" s="303"/>
      <c r="D148" s="3941"/>
      <c r="E148" s="3692"/>
      <c r="F148" s="38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910" t="str">
        <f>INDEX(PT_DIFFERENTIATION_NTAR,MATCH(B148,PT_DIFFERENTIATION_NTAR_ID,0))</f>
        <v/>
      </c>
      <c r="H148" s="1751"/>
      <c r="I148" s="1632"/>
      <c r="J148" s="1666"/>
      <c r="K148" s="1670"/>
      <c r="L148" s="1751" t="s">
        <v>351</v>
      </c>
      <c r="M148" s="36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6"/>
      <c r="P148" s="1546"/>
      <c r="AH148" s="1553">
        <v>0</v>
      </c>
    </row>
    <row r="149" spans="1:34" s="1557" customFormat="1" ht="18.75" hidden="1" customHeight="1">
      <c r="A149" s="1672"/>
      <c r="B149" s="1672"/>
      <c r="C149" s="303" t="s">
        <v>1668</v>
      </c>
      <c r="D149" s="3941"/>
      <c r="E149" s="3692"/>
      <c r="F149" s="3838"/>
      <c r="G149" s="3910"/>
      <c r="H149" s="1422"/>
      <c r="I149" s="585" t="s">
        <v>1667</v>
      </c>
      <c r="J149" s="505"/>
      <c r="K149" s="1422"/>
      <c r="L149" s="149"/>
      <c r="M149" s="3661"/>
      <c r="N149" s="269"/>
      <c r="O149" s="1546"/>
      <c r="P149" s="1546"/>
      <c r="AH149" s="1553">
        <v>0</v>
      </c>
    </row>
    <row r="150" spans="1:34" s="1557" customFormat="1" ht="0.75" hidden="1" customHeight="1">
      <c r="A150" s="1672"/>
      <c r="B150" s="1672"/>
      <c r="C150" s="303" t="s">
        <v>1675</v>
      </c>
      <c r="D150" s="3941"/>
      <c r="E150" s="3692"/>
      <c r="F150" s="3838"/>
      <c r="G150" s="334"/>
      <c r="H150" s="1422"/>
      <c r="I150" s="585"/>
      <c r="J150" s="505"/>
      <c r="K150" s="1422"/>
      <c r="L150" s="149"/>
      <c r="M150" s="3661"/>
      <c r="N150" s="269"/>
      <c r="O150" s="1546"/>
      <c r="P150" s="1546"/>
      <c r="AH150" s="1553">
        <v>0</v>
      </c>
    </row>
    <row r="151" spans="1:34" s="1557" customFormat="1" ht="45" hidden="1" customHeight="1">
      <c r="A151" s="1672" t="s">
        <v>207</v>
      </c>
      <c r="B151" s="1672" t="s">
        <v>208</v>
      </c>
      <c r="C151" s="303"/>
      <c r="D151" s="3941"/>
      <c r="E151" s="3692"/>
      <c r="F151" s="3838" t="str">
        <f>INDEX(PT_DIFFERENTIATION_VTAR,MATCH(A151,PT_DIFFERENTIATION_VTAR_ID,0))</f>
        <v/>
      </c>
      <c r="G151" s="3910" t="str">
        <f>INDEX(PT_DIFFERENTIATION_NTAR,MATCH(B151,PT_DIFFERENTIATION_NTAR_ID,0))</f>
        <v/>
      </c>
      <c r="H151" s="1751"/>
      <c r="I151" s="1632"/>
      <c r="J151" s="1666"/>
      <c r="K151" s="1670"/>
      <c r="L151" s="1751" t="s">
        <v>351</v>
      </c>
      <c r="M151" s="3662"/>
      <c r="N151" s="269"/>
      <c r="O151" s="1546"/>
      <c r="P151" s="1546"/>
      <c r="AH151" s="1553">
        <v>0</v>
      </c>
    </row>
    <row r="152" spans="1:34" s="1557" customFormat="1" ht="18.75" hidden="1" customHeight="1">
      <c r="A152" s="1672"/>
      <c r="B152" s="1672"/>
      <c r="C152" s="303" t="s">
        <v>1668</v>
      </c>
      <c r="D152" s="3941"/>
      <c r="E152" s="3692"/>
      <c r="F152" s="3838"/>
      <c r="G152" s="3910"/>
      <c r="H152" s="1422"/>
      <c r="I152" s="585" t="s">
        <v>1667</v>
      </c>
      <c r="J152" s="505"/>
      <c r="K152" s="1422"/>
      <c r="L152" s="149"/>
      <c r="M152" s="1750"/>
      <c r="N152" s="269"/>
      <c r="O152" s="1546"/>
      <c r="P152" s="1546"/>
      <c r="AH152" s="1553">
        <v>0</v>
      </c>
    </row>
    <row r="153" spans="1:34" s="1557" customFormat="1" ht="0.75" hidden="1" customHeight="1">
      <c r="A153" s="1672"/>
      <c r="B153" s="1672"/>
      <c r="C153" s="303" t="s">
        <v>1675</v>
      </c>
      <c r="D153" s="3941"/>
      <c r="E153" s="3692"/>
      <c r="F153" s="3838"/>
      <c r="G153" s="334"/>
      <c r="H153" s="1422"/>
      <c r="I153" s="585"/>
      <c r="J153" s="505"/>
      <c r="K153" s="1422"/>
      <c r="L153" s="149"/>
      <c r="M153" s="276"/>
      <c r="N153" s="269"/>
      <c r="O153" s="1546"/>
      <c r="P153" s="1546"/>
      <c r="AH153" s="1553">
        <v>0</v>
      </c>
    </row>
    <row r="154" spans="1:34" s="1557" customFormat="1" ht="45" hidden="1" customHeight="1">
      <c r="A154" s="1672" t="s">
        <v>214</v>
      </c>
      <c r="B154" s="1672" t="s">
        <v>215</v>
      </c>
      <c r="C154" s="303"/>
      <c r="D154" s="3941"/>
      <c r="E154" s="3692"/>
      <c r="F154" s="38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910" t="str">
        <f>INDEX(PT_DIFFERENTIATION_NTAR,MATCH(B154,PT_DIFFERENTIATION_NTAR_ID,0))</f>
        <v/>
      </c>
      <c r="H154" s="1751"/>
      <c r="I154" s="1632"/>
      <c r="J154" s="1666"/>
      <c r="K154" s="1670"/>
      <c r="L154" s="1751" t="s">
        <v>351</v>
      </c>
      <c r="M154" s="276"/>
      <c r="N154" s="269"/>
      <c r="O154" s="1546"/>
      <c r="P154" s="1546"/>
      <c r="AH154" s="1553">
        <v>0</v>
      </c>
    </row>
    <row r="155" spans="1:34" s="1557" customFormat="1" ht="18.75" hidden="1" customHeight="1">
      <c r="A155" s="1672"/>
      <c r="B155" s="1672"/>
      <c r="C155" s="303" t="s">
        <v>1668</v>
      </c>
      <c r="D155" s="3941"/>
      <c r="E155" s="3692"/>
      <c r="F155" s="3838"/>
      <c r="G155" s="3910"/>
      <c r="H155" s="1422"/>
      <c r="I155" s="585" t="s">
        <v>1667</v>
      </c>
      <c r="J155" s="505"/>
      <c r="K155" s="1422"/>
      <c r="L155" s="149"/>
      <c r="M155" s="276"/>
      <c r="N155" s="269"/>
      <c r="O155" s="1546"/>
      <c r="P155" s="1546"/>
      <c r="AH155" s="1553">
        <v>0</v>
      </c>
    </row>
    <row r="156" spans="1:34" s="1557" customFormat="1" ht="0.75" hidden="1" customHeight="1">
      <c r="A156" s="1672"/>
      <c r="B156" s="1672"/>
      <c r="C156" s="303" t="s">
        <v>1675</v>
      </c>
      <c r="D156" s="3941"/>
      <c r="E156" s="3692"/>
      <c r="F156" s="3838"/>
      <c r="G156" s="334"/>
      <c r="H156" s="1422"/>
      <c r="I156" s="585"/>
      <c r="J156" s="505"/>
      <c r="K156" s="1422"/>
      <c r="L156" s="149"/>
      <c r="M156" s="276"/>
      <c r="N156" s="269"/>
      <c r="O156" s="1546"/>
      <c r="P156" s="1546"/>
      <c r="AH156" s="1553">
        <v>0</v>
      </c>
    </row>
    <row r="157" spans="1:34" s="1557" customFormat="1" ht="45" hidden="1" customHeight="1">
      <c r="A157" s="1672" t="s">
        <v>220</v>
      </c>
      <c r="B157" s="1672" t="s">
        <v>221</v>
      </c>
      <c r="C157" s="303"/>
      <c r="D157" s="3941"/>
      <c r="E157" s="3692"/>
      <c r="F157" s="38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910" t="str">
        <f>INDEX(PT_DIFFERENTIATION_NTAR,MATCH(B157,PT_DIFFERENTIATION_NTAR_ID,0))</f>
        <v/>
      </c>
      <c r="H157" s="1751"/>
      <c r="I157" s="1632"/>
      <c r="J157" s="1666"/>
      <c r="K157" s="1670"/>
      <c r="L157" s="1751" t="s">
        <v>351</v>
      </c>
      <c r="M157" s="276"/>
      <c r="N157" s="269"/>
      <c r="O157" s="1546"/>
      <c r="P157" s="1546"/>
      <c r="AH157" s="1553">
        <v>0</v>
      </c>
    </row>
    <row r="158" spans="1:34" s="1557" customFormat="1" ht="18.75" hidden="1" customHeight="1">
      <c r="A158" s="1672"/>
      <c r="B158" s="1672"/>
      <c r="C158" s="303" t="s">
        <v>1668</v>
      </c>
      <c r="D158" s="3941"/>
      <c r="E158" s="3692"/>
      <c r="F158" s="3838"/>
      <c r="G158" s="3910"/>
      <c r="H158" s="1422"/>
      <c r="I158" s="585" t="s">
        <v>1667</v>
      </c>
      <c r="J158" s="505"/>
      <c r="K158" s="1422"/>
      <c r="L158" s="149"/>
      <c r="M158" s="276"/>
      <c r="N158" s="269"/>
      <c r="O158" s="1546"/>
      <c r="P158" s="1546"/>
      <c r="AH158" s="1553">
        <v>0</v>
      </c>
    </row>
    <row r="159" spans="1:34" s="1557" customFormat="1" ht="0.75" hidden="1" customHeight="1">
      <c r="A159" s="1672"/>
      <c r="B159" s="1672"/>
      <c r="C159" s="303" t="s">
        <v>1675</v>
      </c>
      <c r="D159" s="3941"/>
      <c r="E159" s="3692"/>
      <c r="F159" s="3838"/>
      <c r="G159" s="334"/>
      <c r="H159" s="1422"/>
      <c r="I159" s="585"/>
      <c r="J159" s="505"/>
      <c r="K159" s="1422"/>
      <c r="L159" s="149"/>
      <c r="M159" s="276"/>
      <c r="N159" s="269"/>
      <c r="O159" s="1546"/>
      <c r="P159" s="1546"/>
      <c r="AH159" s="1553">
        <v>0</v>
      </c>
    </row>
    <row r="160" spans="1:34" s="1557" customFormat="1" ht="18.75" hidden="1" customHeight="1">
      <c r="A160" s="1672" t="s">
        <v>226</v>
      </c>
      <c r="B160" s="1672" t="s">
        <v>227</v>
      </c>
      <c r="C160" s="303"/>
      <c r="D160" s="3941"/>
      <c r="E160" s="3692"/>
      <c r="F160" s="3838" t="str">
        <f>INDEX(PT_DIFFERENTIATION_VTAR,MATCH(A160,PT_DIFFERENTIATION_VTAR_ID,0))</f>
        <v>Тарифы на услуги по передаче тепловой энергии</v>
      </c>
      <c r="G160" s="3910" t="str">
        <f>INDEX(PT_DIFFERENTIATION_NTAR,MATCH(B160,PT_DIFFERENTIATION_NTAR_ID,0))</f>
        <v/>
      </c>
      <c r="H160" s="1751"/>
      <c r="I160" s="1632"/>
      <c r="J160" s="1666"/>
      <c r="K160" s="1670"/>
      <c r="L160" s="1751" t="s">
        <v>351</v>
      </c>
      <c r="M160" s="276"/>
      <c r="N160" s="269"/>
      <c r="O160" s="1546"/>
      <c r="P160" s="1546"/>
      <c r="AH160" s="1553">
        <v>0</v>
      </c>
    </row>
    <row r="161" spans="1:34" s="1557" customFormat="1" ht="18.75" hidden="1" customHeight="1">
      <c r="A161" s="1672"/>
      <c r="B161" s="1672"/>
      <c r="C161" s="303" t="s">
        <v>1668</v>
      </c>
      <c r="D161" s="3941"/>
      <c r="E161" s="3692"/>
      <c r="F161" s="3838"/>
      <c r="G161" s="3910"/>
      <c r="H161" s="1422"/>
      <c r="I161" s="585" t="s">
        <v>1667</v>
      </c>
      <c r="J161" s="505"/>
      <c r="K161" s="1422"/>
      <c r="L161" s="149"/>
      <c r="M161" s="276"/>
      <c r="N161" s="269"/>
      <c r="O161" s="1546"/>
      <c r="P161" s="1546"/>
      <c r="AH161" s="1553">
        <v>0</v>
      </c>
    </row>
    <row r="162" spans="1:34" s="1557" customFormat="1" ht="0.75" hidden="1" customHeight="1">
      <c r="A162" s="1672"/>
      <c r="B162" s="1672"/>
      <c r="C162" s="303" t="s">
        <v>1675</v>
      </c>
      <c r="D162" s="3941"/>
      <c r="E162" s="3692"/>
      <c r="F162" s="3838"/>
      <c r="G162" s="334"/>
      <c r="H162" s="1422"/>
      <c r="I162" s="585"/>
      <c r="J162" s="505"/>
      <c r="K162" s="1422"/>
      <c r="L162" s="149"/>
      <c r="M162" s="276"/>
      <c r="N162" s="269"/>
      <c r="O162" s="1546"/>
      <c r="P162" s="1546"/>
      <c r="AH162" s="1553">
        <v>0</v>
      </c>
    </row>
    <row r="163" spans="1:34" s="1557" customFormat="1" ht="18.75" hidden="1" customHeight="1">
      <c r="A163" s="1672" t="s">
        <v>232</v>
      </c>
      <c r="B163" s="1672" t="s">
        <v>233</v>
      </c>
      <c r="C163" s="303"/>
      <c r="D163" s="3941"/>
      <c r="E163" s="3692"/>
      <c r="F163" s="3838" t="str">
        <f>INDEX(PT_DIFFERENTIATION_VTAR,MATCH(A163,PT_DIFFERENTIATION_VTAR_ID,0))</f>
        <v>Тарифы на услуги по передаче теплоносителя</v>
      </c>
      <c r="G163" s="3910" t="str">
        <f>INDEX(PT_DIFFERENTIATION_NTAR,MATCH(B163,PT_DIFFERENTIATION_NTAR_ID,0))</f>
        <v/>
      </c>
      <c r="H163" s="1751"/>
      <c r="I163" s="1632"/>
      <c r="J163" s="1666"/>
      <c r="K163" s="1670"/>
      <c r="L163" s="1751" t="s">
        <v>351</v>
      </c>
      <c r="M163" s="276"/>
      <c r="N163" s="269"/>
      <c r="O163" s="1546"/>
      <c r="P163" s="1546"/>
      <c r="AH163" s="1553">
        <v>0</v>
      </c>
    </row>
    <row r="164" spans="1:34" s="1557" customFormat="1" ht="18.75" hidden="1" customHeight="1">
      <c r="A164" s="1672"/>
      <c r="B164" s="1672"/>
      <c r="C164" s="303" t="s">
        <v>1668</v>
      </c>
      <c r="D164" s="3941"/>
      <c r="E164" s="3692"/>
      <c r="F164" s="3838"/>
      <c r="G164" s="3910"/>
      <c r="H164" s="1422"/>
      <c r="I164" s="585" t="s">
        <v>1667</v>
      </c>
      <c r="J164" s="505"/>
      <c r="K164" s="1422"/>
      <c r="L164" s="149"/>
      <c r="M164" s="276"/>
      <c r="N164" s="269"/>
      <c r="O164" s="1546"/>
      <c r="P164" s="1546"/>
      <c r="AH164" s="1553">
        <v>0</v>
      </c>
    </row>
    <row r="165" spans="1:34" s="1557" customFormat="1" ht="0.75" hidden="1" customHeight="1">
      <c r="A165" s="1672"/>
      <c r="B165" s="1672"/>
      <c r="C165" s="303" t="s">
        <v>1675</v>
      </c>
      <c r="D165" s="3941"/>
      <c r="E165" s="3692"/>
      <c r="F165" s="3838"/>
      <c r="G165" s="334"/>
      <c r="H165" s="1422"/>
      <c r="I165" s="585"/>
      <c r="J165" s="505"/>
      <c r="K165" s="1422"/>
      <c r="L165" s="149"/>
      <c r="M165" s="276"/>
      <c r="N165" s="269"/>
      <c r="O165" s="1546"/>
      <c r="P165" s="1546"/>
      <c r="AH165" s="1553">
        <v>0</v>
      </c>
    </row>
    <row r="166" spans="1:34" s="1557" customFormat="1" ht="18.75" hidden="1" customHeight="1">
      <c r="A166" s="1672" t="s">
        <v>238</v>
      </c>
      <c r="B166" s="1672" t="s">
        <v>239</v>
      </c>
      <c r="C166" s="303"/>
      <c r="D166" s="3941"/>
      <c r="E166" s="3692"/>
      <c r="F166" s="38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910" t="str">
        <f>INDEX(PT_DIFFERENTIATION_NTAR,MATCH(B166,PT_DIFFERENTIATION_NTAR_ID,0))</f>
        <v/>
      </c>
      <c r="H166" s="1751"/>
      <c r="I166" s="1632"/>
      <c r="J166" s="1666"/>
      <c r="K166" s="1670"/>
      <c r="L166" s="1751" t="s">
        <v>351</v>
      </c>
      <c r="M166" s="276"/>
      <c r="N166" s="269"/>
      <c r="O166" s="1546"/>
      <c r="P166" s="1546"/>
      <c r="AH166" s="1553">
        <v>0</v>
      </c>
    </row>
    <row r="167" spans="1:34" s="1557" customFormat="1" ht="18.75" hidden="1" customHeight="1">
      <c r="A167" s="1672"/>
      <c r="B167" s="1672"/>
      <c r="C167" s="303" t="s">
        <v>1668</v>
      </c>
      <c r="D167" s="3941"/>
      <c r="E167" s="3692"/>
      <c r="F167" s="3838"/>
      <c r="G167" s="3910"/>
      <c r="H167" s="1422"/>
      <c r="I167" s="585" t="s">
        <v>1667</v>
      </c>
      <c r="J167" s="505"/>
      <c r="K167" s="1422"/>
      <c r="L167" s="149"/>
      <c r="M167" s="276"/>
      <c r="N167" s="269"/>
      <c r="O167" s="1546"/>
      <c r="P167" s="1546"/>
      <c r="AH167" s="1553">
        <v>0</v>
      </c>
    </row>
    <row r="168" spans="1:34" s="1557" customFormat="1" ht="0.75" hidden="1" customHeight="1">
      <c r="A168" s="1672"/>
      <c r="B168" s="1672"/>
      <c r="C168" s="303" t="s">
        <v>1675</v>
      </c>
      <c r="D168" s="3941"/>
      <c r="E168" s="3692"/>
      <c r="F168" s="3838"/>
      <c r="G168" s="334"/>
      <c r="H168" s="1422"/>
      <c r="I168" s="585"/>
      <c r="J168" s="505"/>
      <c r="K168" s="1422"/>
      <c r="L168" s="149"/>
      <c r="M168" s="276"/>
      <c r="N168" s="269"/>
      <c r="O168" s="1546"/>
      <c r="P168" s="1546"/>
      <c r="AH168" s="1553">
        <v>0</v>
      </c>
    </row>
    <row r="169" spans="1:34" s="1557" customFormat="1" ht="18.75" hidden="1" customHeight="1">
      <c r="A169" s="1672" t="s">
        <v>244</v>
      </c>
      <c r="B169" s="1672" t="s">
        <v>245</v>
      </c>
      <c r="C169" s="303"/>
      <c r="D169" s="3941"/>
      <c r="E169" s="3692"/>
      <c r="F169" s="3838" t="str">
        <f>INDEX(PT_DIFFERENTIATION_VTAR,MATCH(A169,PT_DIFFERENTIATION_VTAR_ID,0))</f>
        <v>Плата за подключение (технологическое присоединение) к системе теплоснабжения</v>
      </c>
      <c r="G169" s="3910" t="str">
        <f>INDEX(PT_DIFFERENTIATION_NTAR,MATCH(B169,PT_DIFFERENTIATION_NTAR_ID,0))</f>
        <v/>
      </c>
      <c r="H169" s="1751"/>
      <c r="I169" s="1632"/>
      <c r="J169" s="1666"/>
      <c r="K169" s="1670"/>
      <c r="L169" s="1751" t="s">
        <v>351</v>
      </c>
      <c r="M169" s="276"/>
      <c r="N169" s="269"/>
      <c r="O169" s="1546"/>
      <c r="P169" s="1546"/>
      <c r="AH169" s="1553">
        <v>0</v>
      </c>
    </row>
    <row r="170" spans="1:34" s="1557" customFormat="1" ht="18.75" hidden="1" customHeight="1">
      <c r="A170" s="1672"/>
      <c r="B170" s="1672"/>
      <c r="C170" s="303" t="s">
        <v>1668</v>
      </c>
      <c r="D170" s="3941"/>
      <c r="E170" s="3692"/>
      <c r="F170" s="3838"/>
      <c r="G170" s="3910"/>
      <c r="H170" s="1422"/>
      <c r="I170" s="585" t="s">
        <v>1667</v>
      </c>
      <c r="J170" s="505"/>
      <c r="K170" s="1422"/>
      <c r="L170" s="149"/>
      <c r="M170" s="276"/>
      <c r="N170" s="269"/>
      <c r="O170" s="1546"/>
      <c r="P170" s="1546"/>
      <c r="AH170" s="1553">
        <v>0</v>
      </c>
    </row>
    <row r="171" spans="1:34" s="1557" customFormat="1" ht="0.75" hidden="1" customHeight="1">
      <c r="A171" s="1672"/>
      <c r="B171" s="1672"/>
      <c r="C171" s="303" t="s">
        <v>1675</v>
      </c>
      <c r="D171" s="3941"/>
      <c r="E171" s="3692"/>
      <c r="F171" s="3838"/>
      <c r="G171" s="334"/>
      <c r="H171" s="1422"/>
      <c r="I171" s="585"/>
      <c r="J171" s="505"/>
      <c r="K171" s="1422"/>
      <c r="L171" s="149"/>
      <c r="M171" s="276"/>
      <c r="N171" s="269"/>
      <c r="O171" s="1546"/>
      <c r="P171" s="1546"/>
      <c r="AH171" s="1553">
        <v>0</v>
      </c>
    </row>
    <row r="172" spans="1:34" s="1557" customFormat="1" ht="18.75" hidden="1" customHeight="1">
      <c r="A172" s="1672" t="s">
        <v>250</v>
      </c>
      <c r="B172" s="1672" t="s">
        <v>251</v>
      </c>
      <c r="C172" s="303"/>
      <c r="D172" s="3941"/>
      <c r="E172" s="3692"/>
      <c r="F172" s="3838" t="str">
        <f>INDEX(PT_DIFFERENTIATION_VTAR,MATCH(A172,PT_DIFFERENTIATION_VTAR_ID,0))</f>
        <v>Плата за подключение (технологическое присоединение) к системе теплоснабжения (индивидуальная)</v>
      </c>
      <c r="G172" s="3910" t="str">
        <f>INDEX(PT_DIFFERENTIATION_NTAR,MATCH(B172,PT_DIFFERENTIATION_NTAR_ID,0))</f>
        <v/>
      </c>
      <c r="H172" s="1875"/>
      <c r="I172" s="1632"/>
      <c r="J172" s="1666"/>
      <c r="K172" s="1670"/>
      <c r="L172" s="1875" t="s">
        <v>351</v>
      </c>
      <c r="M172" s="276"/>
      <c r="N172" s="269"/>
      <c r="O172" s="1546"/>
      <c r="P172" s="1546"/>
      <c r="AH172" s="1553">
        <v>0</v>
      </c>
    </row>
    <row r="173" spans="1:34" s="1557" customFormat="1" ht="18.75" hidden="1" customHeight="1">
      <c r="A173" s="1672"/>
      <c r="B173" s="1672"/>
      <c r="C173" s="303" t="s">
        <v>1668</v>
      </c>
      <c r="D173" s="3941"/>
      <c r="E173" s="3692"/>
      <c r="F173" s="3838"/>
      <c r="G173" s="3910"/>
      <c r="H173" s="1422"/>
      <c r="I173" s="585" t="s">
        <v>1667</v>
      </c>
      <c r="J173" s="505"/>
      <c r="K173" s="1422"/>
      <c r="L173" s="149"/>
      <c r="M173" s="276"/>
      <c r="N173" s="269"/>
      <c r="O173" s="1546"/>
      <c r="P173" s="1546"/>
      <c r="AH173" s="1553">
        <v>0</v>
      </c>
    </row>
    <row r="174" spans="1:34" s="1557" customFormat="1" ht="0.75" hidden="1" customHeight="1">
      <c r="A174" s="1672"/>
      <c r="B174" s="1672"/>
      <c r="C174" s="303" t="s">
        <v>1675</v>
      </c>
      <c r="D174" s="3941"/>
      <c r="E174" s="3692"/>
      <c r="F174" s="3838"/>
      <c r="G174" s="334"/>
      <c r="H174" s="1422"/>
      <c r="I174" s="585"/>
      <c r="J174" s="505"/>
      <c r="K174" s="1422"/>
      <c r="L174" s="149"/>
      <c r="M174" s="276"/>
      <c r="N174" s="269"/>
      <c r="O174" s="1546"/>
      <c r="P174" s="1546"/>
      <c r="AH174" s="1553">
        <v>0</v>
      </c>
    </row>
    <row r="175" spans="1:34" s="1557" customFormat="1" ht="18.75" hidden="1" customHeight="1">
      <c r="A175" s="1672" t="s">
        <v>270</v>
      </c>
      <c r="B175" s="1672" t="s">
        <v>271</v>
      </c>
      <c r="C175" s="303"/>
      <c r="D175" s="3941"/>
      <c r="E175" s="3692"/>
      <c r="F175" s="3838" t="str">
        <f>INDEX(PT_DIFFERENTIATION_VTAR,MATCH(A175,PT_DIFFERENTIATION_VTAR_ID,0))</f>
        <v>Тариф на питьевую воду (питьевое водоснабжение)</v>
      </c>
      <c r="G175" s="3910" t="str">
        <f>INDEX(PT_DIFFERENTIATION_NTAR,MATCH(B175,PT_DIFFERENTIATION_NTAR_ID,0))</f>
        <v/>
      </c>
      <c r="H175" s="1751"/>
      <c r="I175" s="1632"/>
      <c r="J175" s="1666"/>
      <c r="K175" s="1670"/>
      <c r="L175" s="1751" t="s">
        <v>351</v>
      </c>
      <c r="M175" s="276"/>
      <c r="N175" s="269"/>
      <c r="O175" s="1546"/>
      <c r="P175" s="1546"/>
      <c r="AH175" s="1553">
        <v>0</v>
      </c>
    </row>
    <row r="176" spans="1:34" s="1557" customFormat="1" ht="18.75" hidden="1" customHeight="1">
      <c r="A176" s="1672"/>
      <c r="B176" s="1672"/>
      <c r="C176" s="303" t="s">
        <v>1668</v>
      </c>
      <c r="D176" s="3941"/>
      <c r="E176" s="3692"/>
      <c r="F176" s="3838"/>
      <c r="G176" s="3910"/>
      <c r="H176" s="1422"/>
      <c r="I176" s="585" t="s">
        <v>1667</v>
      </c>
      <c r="J176" s="505"/>
      <c r="K176" s="1422"/>
      <c r="L176" s="149"/>
      <c r="M176" s="276"/>
      <c r="N176" s="269"/>
      <c r="O176" s="1546"/>
      <c r="P176" s="1546"/>
      <c r="AH176" s="1553">
        <v>0</v>
      </c>
    </row>
    <row r="177" spans="1:34" s="1557" customFormat="1" ht="0.75" hidden="1" customHeight="1">
      <c r="A177" s="1672"/>
      <c r="B177" s="1672"/>
      <c r="C177" s="303" t="s">
        <v>1675</v>
      </c>
      <c r="D177" s="3941"/>
      <c r="E177" s="3692"/>
      <c r="F177" s="3838"/>
      <c r="G177" s="334"/>
      <c r="H177" s="1422"/>
      <c r="I177" s="585"/>
      <c r="J177" s="505"/>
      <c r="K177" s="1422"/>
      <c r="L177" s="149"/>
      <c r="M177" s="276"/>
      <c r="N177" s="269"/>
      <c r="O177" s="1546"/>
      <c r="P177" s="1546"/>
      <c r="AH177" s="1553">
        <v>0</v>
      </c>
    </row>
    <row r="178" spans="1:34" s="1557" customFormat="1" ht="18.75" hidden="1" customHeight="1">
      <c r="A178" s="1672" t="s">
        <v>275</v>
      </c>
      <c r="B178" s="1672" t="s">
        <v>276</v>
      </c>
      <c r="C178" s="303"/>
      <c r="D178" s="3941"/>
      <c r="E178" s="3692"/>
      <c r="F178" s="3838" t="str">
        <f>INDEX(PT_DIFFERENTIATION_VTAR,MATCH(A178,PT_DIFFERENTIATION_VTAR_ID,0))</f>
        <v>Тариф на техническую воду</v>
      </c>
      <c r="G178" s="3910" t="str">
        <f>INDEX(PT_DIFFERENTIATION_NTAR,MATCH(B178,PT_DIFFERENTIATION_NTAR_ID,0))</f>
        <v/>
      </c>
      <c r="H178" s="1751"/>
      <c r="I178" s="1632"/>
      <c r="J178" s="1666"/>
      <c r="K178" s="1670"/>
      <c r="L178" s="1751" t="s">
        <v>351</v>
      </c>
      <c r="M178" s="276"/>
      <c r="N178" s="269"/>
      <c r="O178" s="1546"/>
      <c r="P178" s="1546"/>
      <c r="AH178" s="1553">
        <v>0</v>
      </c>
    </row>
    <row r="179" spans="1:34" s="1557" customFormat="1" ht="18.75" hidden="1" customHeight="1">
      <c r="A179" s="1672"/>
      <c r="B179" s="1672"/>
      <c r="C179" s="303" t="s">
        <v>1668</v>
      </c>
      <c r="D179" s="3941"/>
      <c r="E179" s="3692"/>
      <c r="F179" s="3838"/>
      <c r="G179" s="3910"/>
      <c r="H179" s="1422"/>
      <c r="I179" s="585" t="s">
        <v>1667</v>
      </c>
      <c r="J179" s="505"/>
      <c r="K179" s="1422"/>
      <c r="L179" s="149"/>
      <c r="M179" s="276"/>
      <c r="N179" s="269"/>
      <c r="O179" s="1546"/>
      <c r="P179" s="1546"/>
      <c r="AH179" s="1553">
        <v>0</v>
      </c>
    </row>
    <row r="180" spans="1:34" s="1557" customFormat="1" ht="0.75" hidden="1" customHeight="1">
      <c r="A180" s="1672"/>
      <c r="B180" s="1672"/>
      <c r="C180" s="303" t="s">
        <v>1675</v>
      </c>
      <c r="D180" s="3941"/>
      <c r="E180" s="3692"/>
      <c r="F180" s="3838"/>
      <c r="G180" s="334"/>
      <c r="H180" s="1422"/>
      <c r="I180" s="585"/>
      <c r="J180" s="505"/>
      <c r="K180" s="1422"/>
      <c r="L180" s="149"/>
      <c r="M180" s="276"/>
      <c r="N180" s="269"/>
      <c r="O180" s="1546"/>
      <c r="P180" s="1546"/>
      <c r="AH180" s="1553">
        <v>0</v>
      </c>
    </row>
    <row r="181" spans="1:34" s="1557" customFormat="1" ht="18.75" hidden="1" customHeight="1">
      <c r="A181" s="1672" t="s">
        <v>280</v>
      </c>
      <c r="B181" s="1672" t="s">
        <v>281</v>
      </c>
      <c r="C181" s="303"/>
      <c r="D181" s="3941"/>
      <c r="E181" s="3692"/>
      <c r="F181" s="3838" t="str">
        <f>INDEX(PT_DIFFERENTIATION_VTAR,MATCH(A181,PT_DIFFERENTIATION_VTAR_ID,0))</f>
        <v>Тариф на транспортировку воды</v>
      </c>
      <c r="G181" s="3910" t="str">
        <f>INDEX(PT_DIFFERENTIATION_NTAR,MATCH(B181,PT_DIFFERENTIATION_NTAR_ID,0))</f>
        <v/>
      </c>
      <c r="H181" s="1751"/>
      <c r="I181" s="1632"/>
      <c r="J181" s="1666"/>
      <c r="K181" s="1670"/>
      <c r="L181" s="1751" t="s">
        <v>351</v>
      </c>
      <c r="M181" s="276"/>
      <c r="N181" s="269"/>
      <c r="O181" s="1546"/>
      <c r="P181" s="1546"/>
      <c r="AH181" s="1553">
        <v>0</v>
      </c>
    </row>
    <row r="182" spans="1:34" s="1557" customFormat="1" ht="18.75" hidden="1" customHeight="1">
      <c r="A182" s="1672"/>
      <c r="B182" s="1672"/>
      <c r="C182" s="303" t="s">
        <v>1668</v>
      </c>
      <c r="D182" s="3941"/>
      <c r="E182" s="3692"/>
      <c r="F182" s="3838"/>
      <c r="G182" s="3910"/>
      <c r="H182" s="1422"/>
      <c r="I182" s="585" t="s">
        <v>1667</v>
      </c>
      <c r="J182" s="505"/>
      <c r="K182" s="1422"/>
      <c r="L182" s="149"/>
      <c r="M182" s="276"/>
      <c r="N182" s="269"/>
      <c r="O182" s="1546"/>
      <c r="P182" s="1546"/>
      <c r="AH182" s="1553">
        <v>0</v>
      </c>
    </row>
    <row r="183" spans="1:34" s="1557" customFormat="1" ht="0.75" hidden="1" customHeight="1">
      <c r="A183" s="1672"/>
      <c r="B183" s="1672"/>
      <c r="C183" s="303" t="s">
        <v>1675</v>
      </c>
      <c r="D183" s="3941"/>
      <c r="E183" s="3692"/>
      <c r="F183" s="3838"/>
      <c r="G183" s="334"/>
      <c r="H183" s="1422"/>
      <c r="I183" s="585"/>
      <c r="J183" s="505"/>
      <c r="K183" s="1422"/>
      <c r="L183" s="149"/>
      <c r="M183" s="276"/>
      <c r="N183" s="269"/>
      <c r="O183" s="1546"/>
      <c r="P183" s="1546"/>
      <c r="AH183" s="1553">
        <v>0</v>
      </c>
    </row>
    <row r="184" spans="1:34" s="1557" customFormat="1" ht="18.75" hidden="1" customHeight="1">
      <c r="A184" s="1672" t="s">
        <v>285</v>
      </c>
      <c r="B184" s="1672" t="s">
        <v>286</v>
      </c>
      <c r="C184" s="303"/>
      <c r="D184" s="3941"/>
      <c r="E184" s="3692"/>
      <c r="F184" s="3838" t="str">
        <f>INDEX(PT_DIFFERENTIATION_VTAR,MATCH(A184,PT_DIFFERENTIATION_VTAR_ID,0))</f>
        <v>Тариф на подвоз воды</v>
      </c>
      <c r="G184" s="3910" t="str">
        <f>INDEX(PT_DIFFERENTIATION_NTAR,MATCH(B184,PT_DIFFERENTIATION_NTAR_ID,0))</f>
        <v/>
      </c>
      <c r="H184" s="1751"/>
      <c r="I184" s="1632"/>
      <c r="J184" s="1666"/>
      <c r="K184" s="1670"/>
      <c r="L184" s="1751" t="s">
        <v>351</v>
      </c>
      <c r="M184" s="276"/>
      <c r="N184" s="269"/>
      <c r="O184" s="1546"/>
      <c r="P184" s="1546"/>
      <c r="AH184" s="1553">
        <v>0</v>
      </c>
    </row>
    <row r="185" spans="1:34" s="1557" customFormat="1" ht="18.75" hidden="1" customHeight="1">
      <c r="A185" s="1672"/>
      <c r="B185" s="1672"/>
      <c r="C185" s="303" t="s">
        <v>1668</v>
      </c>
      <c r="D185" s="3941"/>
      <c r="E185" s="3692"/>
      <c r="F185" s="3838"/>
      <c r="G185" s="3910"/>
      <c r="H185" s="1422"/>
      <c r="I185" s="585" t="s">
        <v>1667</v>
      </c>
      <c r="J185" s="505"/>
      <c r="K185" s="1422"/>
      <c r="L185" s="149"/>
      <c r="M185" s="276"/>
      <c r="N185" s="269"/>
      <c r="O185" s="1546"/>
      <c r="P185" s="1546"/>
      <c r="AH185" s="1553">
        <v>0</v>
      </c>
    </row>
    <row r="186" spans="1:34" s="1557" customFormat="1" ht="0.75" hidden="1" customHeight="1">
      <c r="A186" s="1672"/>
      <c r="B186" s="1672"/>
      <c r="C186" s="303" t="s">
        <v>1675</v>
      </c>
      <c r="D186" s="3941"/>
      <c r="E186" s="3692"/>
      <c r="F186" s="3838"/>
      <c r="G186" s="334"/>
      <c r="H186" s="1422"/>
      <c r="I186" s="585"/>
      <c r="J186" s="505"/>
      <c r="K186" s="1422"/>
      <c r="L186" s="149"/>
      <c r="M186" s="276"/>
      <c r="N186" s="269"/>
      <c r="O186" s="1546"/>
      <c r="P186" s="1546"/>
      <c r="AH186" s="1553">
        <v>0</v>
      </c>
    </row>
    <row r="187" spans="1:34" s="1557" customFormat="1" ht="18.75" hidden="1" customHeight="1">
      <c r="A187" s="1672" t="s">
        <v>290</v>
      </c>
      <c r="B187" s="1672" t="s">
        <v>291</v>
      </c>
      <c r="C187" s="303"/>
      <c r="D187" s="3941"/>
      <c r="E187" s="3692"/>
      <c r="F187" s="38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910" t="str">
        <f>INDEX(PT_DIFFERENTIATION_NTAR,MATCH(B187,PT_DIFFERENTIATION_NTAR_ID,0))</f>
        <v/>
      </c>
      <c r="H187" s="1751"/>
      <c r="I187" s="1632"/>
      <c r="J187" s="1666"/>
      <c r="K187" s="1670"/>
      <c r="L187" s="1751" t="s">
        <v>351</v>
      </c>
      <c r="M187" s="276"/>
      <c r="N187" s="269"/>
      <c r="O187" s="1546"/>
      <c r="P187" s="1546"/>
      <c r="AH187" s="1553">
        <v>0</v>
      </c>
    </row>
    <row r="188" spans="1:34" s="1557" customFormat="1" ht="18.75" hidden="1" customHeight="1">
      <c r="A188" s="1672"/>
      <c r="B188" s="1672"/>
      <c r="C188" s="303" t="s">
        <v>1668</v>
      </c>
      <c r="D188" s="3941"/>
      <c r="E188" s="3692"/>
      <c r="F188" s="3838"/>
      <c r="G188" s="3910"/>
      <c r="H188" s="1422"/>
      <c r="I188" s="585" t="s">
        <v>1667</v>
      </c>
      <c r="J188" s="505"/>
      <c r="K188" s="1422"/>
      <c r="L188" s="149"/>
      <c r="M188" s="276"/>
      <c r="N188" s="269"/>
      <c r="O188" s="1546"/>
      <c r="P188" s="1546"/>
      <c r="AH188" s="1553">
        <v>0</v>
      </c>
    </row>
    <row r="189" spans="1:34" s="1557" customFormat="1" ht="0.75" hidden="1" customHeight="1">
      <c r="A189" s="1672"/>
      <c r="B189" s="1672"/>
      <c r="C189" s="303" t="s">
        <v>1675</v>
      </c>
      <c r="D189" s="3941"/>
      <c r="E189" s="3692"/>
      <c r="F189" s="3838"/>
      <c r="G189" s="334"/>
      <c r="H189" s="1422"/>
      <c r="I189" s="585"/>
      <c r="J189" s="505"/>
      <c r="K189" s="1422"/>
      <c r="L189" s="149"/>
      <c r="M189" s="276"/>
      <c r="N189" s="269"/>
      <c r="O189" s="1546"/>
      <c r="P189" s="1546"/>
      <c r="AH189" s="1553">
        <v>0</v>
      </c>
    </row>
    <row r="190" spans="1:34" s="1557" customFormat="1" ht="18.75" hidden="1" customHeight="1">
      <c r="A190" s="1672" t="s">
        <v>295</v>
      </c>
      <c r="B190" s="1672" t="s">
        <v>296</v>
      </c>
      <c r="C190" s="303"/>
      <c r="D190" s="3941"/>
      <c r="E190" s="3692"/>
      <c r="F190" s="3838" t="str">
        <f>INDEX(PT_DIFFERENTIATION_VTAR,MATCH(A190,PT_DIFFERENTIATION_VTAR_ID,0))</f>
        <v>Тариф на горячую воду (горячее водоснабжение)</v>
      </c>
      <c r="G190" s="3910" t="str">
        <f>INDEX(PT_DIFFERENTIATION_NTAR,MATCH(B190,PT_DIFFERENTIATION_NTAR_ID,0))</f>
        <v/>
      </c>
      <c r="H190" s="1751"/>
      <c r="I190" s="1632"/>
      <c r="J190" s="1666"/>
      <c r="K190" s="1670"/>
      <c r="L190" s="1751" t="s">
        <v>351</v>
      </c>
      <c r="M190" s="276"/>
      <c r="N190" s="269"/>
      <c r="O190" s="1546"/>
      <c r="P190" s="1546"/>
      <c r="AH190" s="1553">
        <v>0</v>
      </c>
    </row>
    <row r="191" spans="1:34" s="1557" customFormat="1" ht="18.75" hidden="1" customHeight="1">
      <c r="A191" s="1672"/>
      <c r="B191" s="1672"/>
      <c r="C191" s="303" t="s">
        <v>1668</v>
      </c>
      <c r="D191" s="3941"/>
      <c r="E191" s="3692"/>
      <c r="F191" s="3838"/>
      <c r="G191" s="3910"/>
      <c r="H191" s="1422"/>
      <c r="I191" s="585" t="s">
        <v>1667</v>
      </c>
      <c r="J191" s="505"/>
      <c r="K191" s="1422"/>
      <c r="L191" s="149"/>
      <c r="M191" s="276"/>
      <c r="N191" s="269"/>
      <c r="O191" s="1546"/>
      <c r="P191" s="1546"/>
      <c r="AH191" s="1553">
        <v>0</v>
      </c>
    </row>
    <row r="192" spans="1:34" s="1557" customFormat="1" ht="0.75" hidden="1" customHeight="1">
      <c r="A192" s="1672"/>
      <c r="B192" s="1672"/>
      <c r="C192" s="303" t="s">
        <v>1675</v>
      </c>
      <c r="D192" s="3941"/>
      <c r="E192" s="3692"/>
      <c r="F192" s="3838"/>
      <c r="G192" s="334"/>
      <c r="H192" s="1422"/>
      <c r="I192" s="585"/>
      <c r="J192" s="505"/>
      <c r="K192" s="1422"/>
      <c r="L192" s="149"/>
      <c r="M192" s="276"/>
      <c r="N192" s="269"/>
      <c r="O192" s="1546"/>
      <c r="P192" s="1546"/>
      <c r="AH192" s="1553">
        <v>0</v>
      </c>
    </row>
    <row r="193" spans="1:34" s="1557" customFormat="1" ht="18.75" hidden="1" customHeight="1">
      <c r="A193" s="1672" t="s">
        <v>300</v>
      </c>
      <c r="B193" s="1672" t="s">
        <v>301</v>
      </c>
      <c r="C193" s="303"/>
      <c r="D193" s="3941"/>
      <c r="E193" s="3692"/>
      <c r="F193" s="3838" t="str">
        <f>INDEX(PT_DIFFERENTIATION_VTAR,MATCH(A193,PT_DIFFERENTIATION_VTAR_ID,0))</f>
        <v>Тариф на транспортировку горячей воды</v>
      </c>
      <c r="G193" s="3910" t="str">
        <f>INDEX(PT_DIFFERENTIATION_NTAR,MATCH(B193,PT_DIFFERENTIATION_NTAR_ID,0))</f>
        <v/>
      </c>
      <c r="H193" s="1751"/>
      <c r="I193" s="1632"/>
      <c r="J193" s="1666"/>
      <c r="K193" s="1670"/>
      <c r="L193" s="1751" t="s">
        <v>351</v>
      </c>
      <c r="M193" s="276"/>
      <c r="N193" s="269"/>
      <c r="O193" s="1546"/>
      <c r="P193" s="1546"/>
      <c r="AH193" s="1553">
        <v>0</v>
      </c>
    </row>
    <row r="194" spans="1:34" s="1557" customFormat="1" ht="18.75" hidden="1" customHeight="1">
      <c r="A194" s="1672"/>
      <c r="B194" s="1672"/>
      <c r="C194" s="303" t="s">
        <v>1668</v>
      </c>
      <c r="D194" s="3941"/>
      <c r="E194" s="3692"/>
      <c r="F194" s="3838"/>
      <c r="G194" s="3910"/>
      <c r="H194" s="1422"/>
      <c r="I194" s="585" t="s">
        <v>1667</v>
      </c>
      <c r="J194" s="505"/>
      <c r="K194" s="1422"/>
      <c r="L194" s="149"/>
      <c r="M194" s="276"/>
      <c r="N194" s="269"/>
      <c r="O194" s="1546"/>
      <c r="P194" s="1546"/>
      <c r="AH194" s="1553">
        <v>0</v>
      </c>
    </row>
    <row r="195" spans="1:34" s="1557" customFormat="1" ht="0.75" hidden="1" customHeight="1">
      <c r="A195" s="1672"/>
      <c r="B195" s="1672"/>
      <c r="C195" s="303" t="s">
        <v>1675</v>
      </c>
      <c r="D195" s="3941"/>
      <c r="E195" s="3692"/>
      <c r="F195" s="3838"/>
      <c r="G195" s="334"/>
      <c r="H195" s="1422"/>
      <c r="I195" s="585"/>
      <c r="J195" s="505"/>
      <c r="K195" s="1422"/>
      <c r="L195" s="149"/>
      <c r="M195" s="276"/>
      <c r="N195" s="269"/>
      <c r="O195" s="1546"/>
      <c r="P195" s="1546"/>
      <c r="AH195" s="1553">
        <v>0</v>
      </c>
    </row>
    <row r="196" spans="1:34" s="1557" customFormat="1" ht="18.75" hidden="1" customHeight="1">
      <c r="A196" s="1672" t="s">
        <v>305</v>
      </c>
      <c r="B196" s="1672" t="s">
        <v>306</v>
      </c>
      <c r="C196" s="303"/>
      <c r="D196" s="3941"/>
      <c r="E196" s="3692"/>
      <c r="F196" s="38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3910" t="str">
        <f>INDEX(PT_DIFFERENTIATION_NTAR,MATCH(B196,PT_DIFFERENTIATION_NTAR_ID,0))</f>
        <v/>
      </c>
      <c r="H196" s="1751"/>
      <c r="I196" s="1632"/>
      <c r="J196" s="1666"/>
      <c r="K196" s="1670"/>
      <c r="L196" s="1751" t="s">
        <v>351</v>
      </c>
      <c r="M196" s="276"/>
      <c r="N196" s="269"/>
      <c r="O196" s="1546"/>
      <c r="P196" s="1546"/>
      <c r="AH196" s="1553">
        <v>0</v>
      </c>
    </row>
    <row r="197" spans="1:34" s="1557" customFormat="1" ht="18.75" hidden="1" customHeight="1">
      <c r="A197" s="1672"/>
      <c r="B197" s="1672"/>
      <c r="C197" s="303" t="s">
        <v>1668</v>
      </c>
      <c r="D197" s="3941"/>
      <c r="E197" s="3692"/>
      <c r="F197" s="3838"/>
      <c r="G197" s="3910"/>
      <c r="H197" s="1422"/>
      <c r="I197" s="585" t="s">
        <v>1667</v>
      </c>
      <c r="J197" s="505"/>
      <c r="K197" s="1422"/>
      <c r="L197" s="149"/>
      <c r="M197" s="276"/>
      <c r="N197" s="269"/>
      <c r="O197" s="1546"/>
      <c r="P197" s="1546"/>
      <c r="AH197" s="1553">
        <v>0</v>
      </c>
    </row>
    <row r="198" spans="1:34" s="1557" customFormat="1" ht="0.75" hidden="1" customHeight="1">
      <c r="A198" s="1672"/>
      <c r="B198" s="1672"/>
      <c r="C198" s="303" t="s">
        <v>1675</v>
      </c>
      <c r="D198" s="3941"/>
      <c r="E198" s="3692"/>
      <c r="F198" s="3838"/>
      <c r="G198" s="334"/>
      <c r="H198" s="1422"/>
      <c r="I198" s="585"/>
      <c r="J198" s="505"/>
      <c r="K198" s="1422"/>
      <c r="L198" s="149"/>
      <c r="M198" s="276"/>
      <c r="N198" s="269"/>
      <c r="O198" s="1546"/>
      <c r="P198" s="1546"/>
      <c r="AH198" s="1553">
        <v>0</v>
      </c>
    </row>
    <row r="199" spans="1:34" s="1557" customFormat="1" ht="18.75" hidden="1" customHeight="1">
      <c r="A199" s="1672" t="s">
        <v>310</v>
      </c>
      <c r="B199" s="1672" t="s">
        <v>311</v>
      </c>
      <c r="C199" s="303"/>
      <c r="D199" s="3941"/>
      <c r="E199" s="3692"/>
      <c r="F199" s="3838" t="str">
        <f>INDEX(PT_DIFFERENTIATION_VTAR,MATCH(A199,PT_DIFFERENTIATION_VTAR_ID,0))</f>
        <v>Тариф на водоотведение</v>
      </c>
      <c r="G199" s="3910" t="str">
        <f>INDEX(PT_DIFFERENTIATION_NTAR,MATCH(B199,PT_DIFFERENTIATION_NTAR_ID,0))</f>
        <v/>
      </c>
      <c r="H199" s="1751"/>
      <c r="I199" s="1632"/>
      <c r="J199" s="1666"/>
      <c r="K199" s="1670"/>
      <c r="L199" s="1751" t="s">
        <v>351</v>
      </c>
      <c r="M199" s="276"/>
      <c r="N199" s="269"/>
      <c r="O199" s="1546"/>
      <c r="P199" s="1546"/>
      <c r="AH199" s="1553">
        <v>0</v>
      </c>
    </row>
    <row r="200" spans="1:34" s="1557" customFormat="1" ht="18.75" hidden="1" customHeight="1">
      <c r="A200" s="1672"/>
      <c r="B200" s="1672"/>
      <c r="C200" s="303" t="s">
        <v>1668</v>
      </c>
      <c r="D200" s="3941"/>
      <c r="E200" s="3692"/>
      <c r="F200" s="3838"/>
      <c r="G200" s="3910"/>
      <c r="H200" s="1422"/>
      <c r="I200" s="585" t="s">
        <v>1667</v>
      </c>
      <c r="J200" s="505"/>
      <c r="K200" s="1422"/>
      <c r="L200" s="149"/>
      <c r="M200" s="276"/>
      <c r="N200" s="269"/>
      <c r="O200" s="1546"/>
      <c r="P200" s="1546"/>
      <c r="AH200" s="1553">
        <v>0</v>
      </c>
    </row>
    <row r="201" spans="1:34" s="1557" customFormat="1" ht="0.75" hidden="1" customHeight="1">
      <c r="A201" s="1672"/>
      <c r="B201" s="1672"/>
      <c r="C201" s="303" t="s">
        <v>1675</v>
      </c>
      <c r="D201" s="3941"/>
      <c r="E201" s="3692"/>
      <c r="F201" s="3838"/>
      <c r="G201" s="334"/>
      <c r="H201" s="1422"/>
      <c r="I201" s="585"/>
      <c r="J201" s="505"/>
      <c r="K201" s="1422"/>
      <c r="L201" s="149"/>
      <c r="M201" s="276"/>
      <c r="N201" s="269"/>
      <c r="O201" s="1546"/>
      <c r="P201" s="1546"/>
      <c r="AH201" s="1553">
        <v>0</v>
      </c>
    </row>
    <row r="202" spans="1:34" s="1557" customFormat="1" ht="18.75" hidden="1" customHeight="1">
      <c r="A202" s="1672" t="s">
        <v>315</v>
      </c>
      <c r="B202" s="1672" t="s">
        <v>316</v>
      </c>
      <c r="C202" s="303"/>
      <c r="D202" s="3941"/>
      <c r="E202" s="3692"/>
      <c r="F202" s="3838" t="str">
        <f>INDEX(PT_DIFFERENTIATION_VTAR,MATCH(A202,PT_DIFFERENTIATION_VTAR_ID,0))</f>
        <v>Тариф на транспортировку сточных вод</v>
      </c>
      <c r="G202" s="3910" t="str">
        <f>INDEX(PT_DIFFERENTIATION_NTAR,MATCH(B202,PT_DIFFERENTIATION_NTAR_ID,0))</f>
        <v/>
      </c>
      <c r="H202" s="1751"/>
      <c r="I202" s="1632"/>
      <c r="J202" s="1666"/>
      <c r="K202" s="1670"/>
      <c r="L202" s="1751" t="s">
        <v>351</v>
      </c>
      <c r="M202" s="276"/>
      <c r="N202" s="269"/>
      <c r="O202" s="1546"/>
      <c r="P202" s="1546"/>
      <c r="AH202" s="1553">
        <v>0</v>
      </c>
    </row>
    <row r="203" spans="1:34" s="1557" customFormat="1" ht="18.75" hidden="1" customHeight="1">
      <c r="A203" s="1672"/>
      <c r="B203" s="1672"/>
      <c r="C203" s="303" t="s">
        <v>1668</v>
      </c>
      <c r="D203" s="3941"/>
      <c r="E203" s="3692"/>
      <c r="F203" s="3838"/>
      <c r="G203" s="3910"/>
      <c r="H203" s="1422"/>
      <c r="I203" s="585" t="s">
        <v>1667</v>
      </c>
      <c r="J203" s="505"/>
      <c r="K203" s="1422"/>
      <c r="L203" s="149"/>
      <c r="M203" s="276"/>
      <c r="N203" s="269"/>
      <c r="O203" s="1546"/>
      <c r="P203" s="1546"/>
      <c r="AH203" s="1553">
        <v>0</v>
      </c>
    </row>
    <row r="204" spans="1:34" s="1557" customFormat="1" ht="0.75" hidden="1" customHeight="1">
      <c r="A204" s="1672"/>
      <c r="B204" s="1672"/>
      <c r="C204" s="303" t="s">
        <v>1675</v>
      </c>
      <c r="D204" s="3941"/>
      <c r="E204" s="3692"/>
      <c r="F204" s="3838"/>
      <c r="G204" s="334"/>
      <c r="H204" s="1422"/>
      <c r="I204" s="585"/>
      <c r="J204" s="505"/>
      <c r="K204" s="1422"/>
      <c r="L204" s="149"/>
      <c r="M204" s="276"/>
      <c r="N204" s="269"/>
      <c r="O204" s="1546"/>
      <c r="P204" s="1546"/>
      <c r="AH204" s="1553">
        <v>0</v>
      </c>
    </row>
    <row r="205" spans="1:34" s="1557" customFormat="1" ht="18.75" hidden="1" customHeight="1">
      <c r="A205" s="1672" t="s">
        <v>320</v>
      </c>
      <c r="B205" s="1672" t="s">
        <v>321</v>
      </c>
      <c r="C205" s="303"/>
      <c r="D205" s="3941"/>
      <c r="E205" s="3692"/>
      <c r="F205" s="3838" t="str">
        <f>INDEX(PT_DIFFERENTIATION_VTAR,MATCH(A205,PT_DIFFERENTIATION_VTAR_ID,0))</f>
        <v>Тариф на подключение (технологическое присоединение) к централизованной системе водоотведения</v>
      </c>
      <c r="G205" s="3910" t="str">
        <f>INDEX(PT_DIFFERENTIATION_NTAR,MATCH(B205,PT_DIFFERENTIATION_NTAR_ID,0))</f>
        <v/>
      </c>
      <c r="H205" s="1751"/>
      <c r="I205" s="1632"/>
      <c r="J205" s="1666"/>
      <c r="K205" s="1670"/>
      <c r="L205" s="1751" t="s">
        <v>351</v>
      </c>
      <c r="M205" s="276"/>
      <c r="N205" s="269"/>
      <c r="O205" s="1546"/>
      <c r="P205" s="1546"/>
      <c r="AH205" s="1553">
        <v>0</v>
      </c>
    </row>
    <row r="206" spans="1:34" s="1557" customFormat="1" ht="18.75" hidden="1" customHeight="1">
      <c r="A206" s="1672"/>
      <c r="B206" s="1672"/>
      <c r="C206" s="303" t="s">
        <v>1668</v>
      </c>
      <c r="D206" s="3941"/>
      <c r="E206" s="3692"/>
      <c r="F206" s="3838"/>
      <c r="G206" s="3910"/>
      <c r="H206" s="1422"/>
      <c r="I206" s="585" t="s">
        <v>1667</v>
      </c>
      <c r="J206" s="505"/>
      <c r="K206" s="1422"/>
      <c r="L206" s="149"/>
      <c r="M206" s="276"/>
      <c r="N206" s="269"/>
      <c r="O206" s="1546"/>
      <c r="P206" s="1546"/>
      <c r="AH206" s="1553">
        <v>0</v>
      </c>
    </row>
    <row r="207" spans="1:34" s="1557" customFormat="1" ht="1.1499999999999999" customHeight="1">
      <c r="A207" s="1672"/>
      <c r="B207" s="1672"/>
      <c r="C207" s="303" t="s">
        <v>1675</v>
      </c>
      <c r="D207" s="3941"/>
      <c r="E207" s="3692"/>
      <c r="F207" s="3838"/>
      <c r="G207" s="334"/>
      <c r="H207" s="1422"/>
      <c r="I207" s="585"/>
      <c r="J207" s="505"/>
      <c r="K207" s="1422"/>
      <c r="L207" s="149"/>
      <c r="M207" s="276"/>
      <c r="N207" s="269"/>
      <c r="O207" s="1546"/>
      <c r="P207" s="1546"/>
      <c r="AH207" s="1553">
        <v>1</v>
      </c>
    </row>
    <row r="208" spans="1:34" ht="27.4" customHeight="1">
      <c r="A208" s="1672"/>
      <c r="B208" s="1672"/>
      <c r="D208" s="310"/>
      <c r="E208" s="83" t="s">
        <v>100</v>
      </c>
      <c r="F208" s="39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940"/>
      <c r="H208" s="3940"/>
      <c r="I208" s="3940"/>
      <c r="J208" s="3940"/>
      <c r="K208" s="3940"/>
      <c r="L208" s="3940"/>
      <c r="M208" s="232"/>
      <c r="N208" s="269"/>
      <c r="AH208" s="308">
        <v>26</v>
      </c>
    </row>
    <row r="209" spans="1:34" s="1557" customFormat="1" ht="60.75" hidden="1" customHeight="1">
      <c r="A209" s="1672" t="s">
        <v>202</v>
      </c>
      <c r="B209" s="1672" t="s">
        <v>203</v>
      </c>
      <c r="C209" s="303"/>
      <c r="D209" s="3941"/>
      <c r="E209" s="3692"/>
      <c r="F209" s="38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910" t="str">
        <f>INDEX(PT_DIFFERENTIATION_NTAR,MATCH(B209,PT_DIFFERENTIATION_NTAR_ID,0))</f>
        <v/>
      </c>
      <c r="H209" s="1751"/>
      <c r="I209" s="1632"/>
      <c r="J209" s="1666"/>
      <c r="K209" s="1670"/>
      <c r="L209" s="1751" t="s">
        <v>351</v>
      </c>
      <c r="M209" s="36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6"/>
      <c r="P209" s="1546"/>
      <c r="AH209" s="1553">
        <v>0</v>
      </c>
    </row>
    <row r="210" spans="1:34" s="1557" customFormat="1" ht="18.75" hidden="1" customHeight="1">
      <c r="A210" s="1672"/>
      <c r="B210" s="1672"/>
      <c r="C210" s="303" t="s">
        <v>1668</v>
      </c>
      <c r="D210" s="3941"/>
      <c r="E210" s="3692"/>
      <c r="F210" s="3838"/>
      <c r="G210" s="3910"/>
      <c r="H210" s="1422"/>
      <c r="I210" s="585" t="s">
        <v>1667</v>
      </c>
      <c r="J210" s="505"/>
      <c r="K210" s="1422"/>
      <c r="L210" s="149"/>
      <c r="M210" s="3661"/>
      <c r="N210" s="269"/>
      <c r="O210" s="1546"/>
      <c r="P210" s="1546"/>
      <c r="AH210" s="1553">
        <v>0</v>
      </c>
    </row>
    <row r="211" spans="1:34" s="1557" customFormat="1" ht="0.75" hidden="1" customHeight="1">
      <c r="A211" s="1672"/>
      <c r="B211" s="1672"/>
      <c r="C211" s="303" t="s">
        <v>1675</v>
      </c>
      <c r="D211" s="3941"/>
      <c r="E211" s="3692"/>
      <c r="F211" s="3838"/>
      <c r="G211" s="334"/>
      <c r="H211" s="1422"/>
      <c r="I211" s="585"/>
      <c r="J211" s="505"/>
      <c r="K211" s="1422"/>
      <c r="L211" s="149"/>
      <c r="M211" s="3661"/>
      <c r="N211" s="269"/>
      <c r="O211" s="1546"/>
      <c r="P211" s="1546"/>
      <c r="AH211" s="1553">
        <v>0</v>
      </c>
    </row>
    <row r="212" spans="1:34" s="1557" customFormat="1" ht="45" hidden="1" customHeight="1">
      <c r="A212" s="1672" t="s">
        <v>207</v>
      </c>
      <c r="B212" s="1672" t="s">
        <v>208</v>
      </c>
      <c r="C212" s="303"/>
      <c r="D212" s="3941"/>
      <c r="E212" s="3692"/>
      <c r="F212" s="3838" t="str">
        <f>INDEX(PT_DIFFERENTIATION_VTAR,MATCH(A212,PT_DIFFERENTIATION_VTAR_ID,0))</f>
        <v/>
      </c>
      <c r="G212" s="3910" t="str">
        <f>INDEX(PT_DIFFERENTIATION_NTAR,MATCH(B212,PT_DIFFERENTIATION_NTAR_ID,0))</f>
        <v/>
      </c>
      <c r="H212" s="1751"/>
      <c r="I212" s="1632"/>
      <c r="J212" s="1666"/>
      <c r="K212" s="1670"/>
      <c r="L212" s="1751" t="s">
        <v>351</v>
      </c>
      <c r="M212" s="3662"/>
      <c r="N212" s="269"/>
      <c r="O212" s="1546"/>
      <c r="P212" s="1546"/>
      <c r="AH212" s="1553">
        <v>0</v>
      </c>
    </row>
    <row r="213" spans="1:34" s="1557" customFormat="1" ht="18.75" hidden="1" customHeight="1">
      <c r="A213" s="1672"/>
      <c r="B213" s="1672"/>
      <c r="C213" s="303" t="s">
        <v>1668</v>
      </c>
      <c r="D213" s="3941"/>
      <c r="E213" s="3692"/>
      <c r="F213" s="3838"/>
      <c r="G213" s="3910"/>
      <c r="H213" s="1422"/>
      <c r="I213" s="585" t="s">
        <v>1667</v>
      </c>
      <c r="J213" s="505"/>
      <c r="K213" s="1422"/>
      <c r="L213" s="149"/>
      <c r="M213" s="1750"/>
      <c r="N213" s="269"/>
      <c r="O213" s="1546"/>
      <c r="P213" s="1546"/>
      <c r="AH213" s="1553">
        <v>0</v>
      </c>
    </row>
    <row r="214" spans="1:34" s="1557" customFormat="1" ht="0.75" hidden="1" customHeight="1">
      <c r="A214" s="1672"/>
      <c r="B214" s="1672"/>
      <c r="C214" s="303" t="s">
        <v>1675</v>
      </c>
      <c r="D214" s="3941"/>
      <c r="E214" s="3692"/>
      <c r="F214" s="3838"/>
      <c r="G214" s="334"/>
      <c r="H214" s="1422"/>
      <c r="I214" s="585"/>
      <c r="J214" s="505"/>
      <c r="K214" s="1422"/>
      <c r="L214" s="149"/>
      <c r="M214" s="276"/>
      <c r="N214" s="269"/>
      <c r="O214" s="1546"/>
      <c r="P214" s="1546"/>
      <c r="AH214" s="1553">
        <v>0</v>
      </c>
    </row>
    <row r="215" spans="1:34" s="1557" customFormat="1" ht="45" hidden="1" customHeight="1">
      <c r="A215" s="1672" t="s">
        <v>214</v>
      </c>
      <c r="B215" s="1672" t="s">
        <v>215</v>
      </c>
      <c r="C215" s="303"/>
      <c r="D215" s="3941"/>
      <c r="E215" s="3692"/>
      <c r="F215" s="38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910" t="str">
        <f>INDEX(PT_DIFFERENTIATION_NTAR,MATCH(B215,PT_DIFFERENTIATION_NTAR_ID,0))</f>
        <v/>
      </c>
      <c r="H215" s="1751"/>
      <c r="I215" s="1632"/>
      <c r="J215" s="1666"/>
      <c r="K215" s="1670"/>
      <c r="L215" s="1751" t="s">
        <v>351</v>
      </c>
      <c r="M215" s="276"/>
      <c r="N215" s="269"/>
      <c r="O215" s="1546"/>
      <c r="P215" s="1546"/>
      <c r="AH215" s="1553">
        <v>0</v>
      </c>
    </row>
    <row r="216" spans="1:34" s="1557" customFormat="1" ht="18.75" hidden="1" customHeight="1">
      <c r="A216" s="1672"/>
      <c r="B216" s="1672"/>
      <c r="C216" s="303" t="s">
        <v>1668</v>
      </c>
      <c r="D216" s="3941"/>
      <c r="E216" s="3692"/>
      <c r="F216" s="3838"/>
      <c r="G216" s="3910"/>
      <c r="H216" s="1422"/>
      <c r="I216" s="585" t="s">
        <v>1667</v>
      </c>
      <c r="J216" s="505"/>
      <c r="K216" s="1422"/>
      <c r="L216" s="149"/>
      <c r="M216" s="276"/>
      <c r="N216" s="269"/>
      <c r="O216" s="1546"/>
      <c r="P216" s="1546"/>
      <c r="AH216" s="1553">
        <v>0</v>
      </c>
    </row>
    <row r="217" spans="1:34" s="1557" customFormat="1" ht="0.75" hidden="1" customHeight="1">
      <c r="A217" s="1672"/>
      <c r="B217" s="1672"/>
      <c r="C217" s="303" t="s">
        <v>1675</v>
      </c>
      <c r="D217" s="3941"/>
      <c r="E217" s="3692"/>
      <c r="F217" s="3838"/>
      <c r="G217" s="334"/>
      <c r="H217" s="1422"/>
      <c r="I217" s="585"/>
      <c r="J217" s="505"/>
      <c r="K217" s="1422"/>
      <c r="L217" s="149"/>
      <c r="M217" s="276"/>
      <c r="N217" s="269"/>
      <c r="O217" s="1546"/>
      <c r="P217" s="1546"/>
      <c r="AH217" s="1553">
        <v>0</v>
      </c>
    </row>
    <row r="218" spans="1:34" s="1557" customFormat="1" ht="45" hidden="1" customHeight="1">
      <c r="A218" s="1672" t="s">
        <v>220</v>
      </c>
      <c r="B218" s="1672" t="s">
        <v>221</v>
      </c>
      <c r="C218" s="303"/>
      <c r="D218" s="3941"/>
      <c r="E218" s="3692"/>
      <c r="F218" s="38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910" t="str">
        <f>INDEX(PT_DIFFERENTIATION_NTAR,MATCH(B218,PT_DIFFERENTIATION_NTAR_ID,0))</f>
        <v/>
      </c>
      <c r="H218" s="1751"/>
      <c r="I218" s="1632"/>
      <c r="J218" s="1666"/>
      <c r="K218" s="1670"/>
      <c r="L218" s="1751" t="s">
        <v>351</v>
      </c>
      <c r="M218" s="276"/>
      <c r="N218" s="269"/>
      <c r="O218" s="1546"/>
      <c r="P218" s="1546"/>
      <c r="AH218" s="1553">
        <v>0</v>
      </c>
    </row>
    <row r="219" spans="1:34" s="1557" customFormat="1" ht="18.75" hidden="1" customHeight="1">
      <c r="A219" s="1672"/>
      <c r="B219" s="1672"/>
      <c r="C219" s="303" t="s">
        <v>1668</v>
      </c>
      <c r="D219" s="3941"/>
      <c r="E219" s="3692"/>
      <c r="F219" s="3838"/>
      <c r="G219" s="3910"/>
      <c r="H219" s="1422"/>
      <c r="I219" s="585" t="s">
        <v>1667</v>
      </c>
      <c r="J219" s="505"/>
      <c r="K219" s="1422"/>
      <c r="L219" s="149"/>
      <c r="M219" s="276"/>
      <c r="N219" s="269"/>
      <c r="O219" s="1546"/>
      <c r="P219" s="1546"/>
      <c r="AH219" s="1553">
        <v>0</v>
      </c>
    </row>
    <row r="220" spans="1:34" s="1557" customFormat="1" ht="0.75" hidden="1" customHeight="1">
      <c r="A220" s="1672"/>
      <c r="B220" s="1672"/>
      <c r="C220" s="303" t="s">
        <v>1675</v>
      </c>
      <c r="D220" s="3941"/>
      <c r="E220" s="3692"/>
      <c r="F220" s="3838"/>
      <c r="G220" s="334"/>
      <c r="H220" s="1422"/>
      <c r="I220" s="585"/>
      <c r="J220" s="505"/>
      <c r="K220" s="1422"/>
      <c r="L220" s="149"/>
      <c r="M220" s="276"/>
      <c r="N220" s="269"/>
      <c r="O220" s="1546"/>
      <c r="P220" s="1546"/>
      <c r="AH220" s="1553">
        <v>0</v>
      </c>
    </row>
    <row r="221" spans="1:34" s="1557" customFormat="1" ht="18.75" hidden="1" customHeight="1">
      <c r="A221" s="1672" t="s">
        <v>226</v>
      </c>
      <c r="B221" s="1672" t="s">
        <v>227</v>
      </c>
      <c r="C221" s="303"/>
      <c r="D221" s="3941"/>
      <c r="E221" s="3692"/>
      <c r="F221" s="3838" t="str">
        <f>INDEX(PT_DIFFERENTIATION_VTAR,MATCH(A221,PT_DIFFERENTIATION_VTAR_ID,0))</f>
        <v>Тарифы на услуги по передаче тепловой энергии</v>
      </c>
      <c r="G221" s="3910" t="str">
        <f>INDEX(PT_DIFFERENTIATION_NTAR,MATCH(B221,PT_DIFFERENTIATION_NTAR_ID,0))</f>
        <v/>
      </c>
      <c r="H221" s="1751"/>
      <c r="I221" s="1632"/>
      <c r="J221" s="1666"/>
      <c r="K221" s="1670"/>
      <c r="L221" s="1751" t="s">
        <v>351</v>
      </c>
      <c r="M221" s="276"/>
      <c r="N221" s="269"/>
      <c r="O221" s="1546"/>
      <c r="P221" s="1546"/>
      <c r="AH221" s="1553">
        <v>0</v>
      </c>
    </row>
    <row r="222" spans="1:34" s="1557" customFormat="1" ht="18.75" hidden="1" customHeight="1">
      <c r="A222" s="1672"/>
      <c r="B222" s="1672"/>
      <c r="C222" s="303" t="s">
        <v>1668</v>
      </c>
      <c r="D222" s="3941"/>
      <c r="E222" s="3692"/>
      <c r="F222" s="3838"/>
      <c r="G222" s="3910"/>
      <c r="H222" s="1422"/>
      <c r="I222" s="585" t="s">
        <v>1667</v>
      </c>
      <c r="J222" s="505"/>
      <c r="K222" s="1422"/>
      <c r="L222" s="149"/>
      <c r="M222" s="276"/>
      <c r="N222" s="269"/>
      <c r="O222" s="1546"/>
      <c r="P222" s="1546"/>
      <c r="AH222" s="1553">
        <v>0</v>
      </c>
    </row>
    <row r="223" spans="1:34" s="1557" customFormat="1" ht="0.75" hidden="1" customHeight="1">
      <c r="A223" s="1672"/>
      <c r="B223" s="1672"/>
      <c r="C223" s="303" t="s">
        <v>1675</v>
      </c>
      <c r="D223" s="3941"/>
      <c r="E223" s="3692"/>
      <c r="F223" s="3838"/>
      <c r="G223" s="334"/>
      <c r="H223" s="1422"/>
      <c r="I223" s="585"/>
      <c r="J223" s="505"/>
      <c r="K223" s="1422"/>
      <c r="L223" s="149"/>
      <c r="M223" s="276"/>
      <c r="N223" s="269"/>
      <c r="O223" s="1546"/>
      <c r="P223" s="1546"/>
      <c r="AH223" s="1553">
        <v>0</v>
      </c>
    </row>
    <row r="224" spans="1:34" s="1557" customFormat="1" ht="18.75" hidden="1" customHeight="1">
      <c r="A224" s="1672" t="s">
        <v>232</v>
      </c>
      <c r="B224" s="1672" t="s">
        <v>233</v>
      </c>
      <c r="C224" s="303"/>
      <c r="D224" s="3941"/>
      <c r="E224" s="3692"/>
      <c r="F224" s="3838" t="str">
        <f>INDEX(PT_DIFFERENTIATION_VTAR,MATCH(A224,PT_DIFFERENTIATION_VTAR_ID,0))</f>
        <v>Тарифы на услуги по передаче теплоносителя</v>
      </c>
      <c r="G224" s="3910" t="str">
        <f>INDEX(PT_DIFFERENTIATION_NTAR,MATCH(B224,PT_DIFFERENTIATION_NTAR_ID,0))</f>
        <v/>
      </c>
      <c r="H224" s="1751"/>
      <c r="I224" s="1632"/>
      <c r="J224" s="1666"/>
      <c r="K224" s="1670"/>
      <c r="L224" s="1751" t="s">
        <v>351</v>
      </c>
      <c r="M224" s="276"/>
      <c r="N224" s="269"/>
      <c r="O224" s="1546"/>
      <c r="P224" s="1546"/>
      <c r="AH224" s="1553">
        <v>0</v>
      </c>
    </row>
    <row r="225" spans="1:34" s="1557" customFormat="1" ht="18.75" hidden="1" customHeight="1">
      <c r="A225" s="1672"/>
      <c r="B225" s="1672"/>
      <c r="C225" s="303" t="s">
        <v>1668</v>
      </c>
      <c r="D225" s="3941"/>
      <c r="E225" s="3692"/>
      <c r="F225" s="3838"/>
      <c r="G225" s="3910"/>
      <c r="H225" s="1422"/>
      <c r="I225" s="585" t="s">
        <v>1667</v>
      </c>
      <c r="J225" s="505"/>
      <c r="K225" s="1422"/>
      <c r="L225" s="149"/>
      <c r="M225" s="276"/>
      <c r="N225" s="269"/>
      <c r="O225" s="1546"/>
      <c r="P225" s="1546"/>
      <c r="AH225" s="1553">
        <v>0</v>
      </c>
    </row>
    <row r="226" spans="1:34" s="1557" customFormat="1" ht="0.75" hidden="1" customHeight="1">
      <c r="A226" s="1672"/>
      <c r="B226" s="1672"/>
      <c r="C226" s="303" t="s">
        <v>1675</v>
      </c>
      <c r="D226" s="3941"/>
      <c r="E226" s="3692"/>
      <c r="F226" s="3838"/>
      <c r="G226" s="334"/>
      <c r="H226" s="1422"/>
      <c r="I226" s="585"/>
      <c r="J226" s="505"/>
      <c r="K226" s="1422"/>
      <c r="L226" s="149"/>
      <c r="M226" s="276"/>
      <c r="N226" s="269"/>
      <c r="O226" s="1546"/>
      <c r="P226" s="1546"/>
      <c r="AH226" s="1553">
        <v>0</v>
      </c>
    </row>
    <row r="227" spans="1:34" s="1557" customFormat="1" ht="18.75" hidden="1" customHeight="1">
      <c r="A227" s="1672" t="s">
        <v>238</v>
      </c>
      <c r="B227" s="1672" t="s">
        <v>239</v>
      </c>
      <c r="C227" s="303"/>
      <c r="D227" s="3941"/>
      <c r="E227" s="3692"/>
      <c r="F227" s="38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910" t="str">
        <f>INDEX(PT_DIFFERENTIATION_NTAR,MATCH(B227,PT_DIFFERENTIATION_NTAR_ID,0))</f>
        <v/>
      </c>
      <c r="H227" s="1751"/>
      <c r="I227" s="1632"/>
      <c r="J227" s="1666"/>
      <c r="K227" s="1670"/>
      <c r="L227" s="1751" t="s">
        <v>351</v>
      </c>
      <c r="M227" s="276"/>
      <c r="N227" s="269"/>
      <c r="O227" s="1546"/>
      <c r="P227" s="1546"/>
      <c r="AH227" s="1553">
        <v>0</v>
      </c>
    </row>
    <row r="228" spans="1:34" s="1557" customFormat="1" ht="18.75" hidden="1" customHeight="1">
      <c r="A228" s="1672"/>
      <c r="B228" s="1672"/>
      <c r="C228" s="303" t="s">
        <v>1668</v>
      </c>
      <c r="D228" s="3941"/>
      <c r="E228" s="3692"/>
      <c r="F228" s="3838"/>
      <c r="G228" s="3910"/>
      <c r="H228" s="1422"/>
      <c r="I228" s="585" t="s">
        <v>1667</v>
      </c>
      <c r="J228" s="505"/>
      <c r="K228" s="1422"/>
      <c r="L228" s="149"/>
      <c r="M228" s="276"/>
      <c r="N228" s="269"/>
      <c r="O228" s="1546"/>
      <c r="P228" s="1546"/>
      <c r="AH228" s="1553">
        <v>0</v>
      </c>
    </row>
    <row r="229" spans="1:34" s="1557" customFormat="1" ht="0.75" hidden="1" customHeight="1">
      <c r="A229" s="1672"/>
      <c r="B229" s="1672"/>
      <c r="C229" s="303" t="s">
        <v>1675</v>
      </c>
      <c r="D229" s="3941"/>
      <c r="E229" s="3692"/>
      <c r="F229" s="3838"/>
      <c r="G229" s="334"/>
      <c r="H229" s="1422"/>
      <c r="I229" s="585"/>
      <c r="J229" s="505"/>
      <c r="K229" s="1422"/>
      <c r="L229" s="149"/>
      <c r="M229" s="276"/>
      <c r="N229" s="269"/>
      <c r="O229" s="1546"/>
      <c r="P229" s="1546"/>
      <c r="AH229" s="1553">
        <v>0</v>
      </c>
    </row>
    <row r="230" spans="1:34" s="1557" customFormat="1" ht="18.75" hidden="1" customHeight="1">
      <c r="A230" s="1672" t="s">
        <v>244</v>
      </c>
      <c r="B230" s="1672" t="s">
        <v>245</v>
      </c>
      <c r="C230" s="303"/>
      <c r="D230" s="3941"/>
      <c r="E230" s="3692"/>
      <c r="F230" s="3838" t="str">
        <f>INDEX(PT_DIFFERENTIATION_VTAR,MATCH(A230,PT_DIFFERENTIATION_VTAR_ID,0))</f>
        <v>Плата за подключение (технологическое присоединение) к системе теплоснабжения</v>
      </c>
      <c r="G230" s="3910" t="str">
        <f>INDEX(PT_DIFFERENTIATION_NTAR,MATCH(B230,PT_DIFFERENTIATION_NTAR_ID,0))</f>
        <v/>
      </c>
      <c r="H230" s="1751"/>
      <c r="I230" s="1632"/>
      <c r="J230" s="1666"/>
      <c r="K230" s="1670"/>
      <c r="L230" s="1751" t="s">
        <v>351</v>
      </c>
      <c r="M230" s="276"/>
      <c r="N230" s="269"/>
      <c r="O230" s="1546"/>
      <c r="P230" s="1546"/>
      <c r="AH230" s="1553">
        <v>0</v>
      </c>
    </row>
    <row r="231" spans="1:34" s="1557" customFormat="1" ht="18.75" hidden="1" customHeight="1">
      <c r="A231" s="1672"/>
      <c r="B231" s="1672"/>
      <c r="C231" s="303" t="s">
        <v>1668</v>
      </c>
      <c r="D231" s="3941"/>
      <c r="E231" s="3692"/>
      <c r="F231" s="3838"/>
      <c r="G231" s="3910"/>
      <c r="H231" s="1422"/>
      <c r="I231" s="585" t="s">
        <v>1667</v>
      </c>
      <c r="J231" s="505"/>
      <c r="K231" s="1422"/>
      <c r="L231" s="149"/>
      <c r="M231" s="276"/>
      <c r="N231" s="269"/>
      <c r="O231" s="1546"/>
      <c r="P231" s="1546"/>
      <c r="AH231" s="1553">
        <v>0</v>
      </c>
    </row>
    <row r="232" spans="1:34" s="1557" customFormat="1" ht="0.75" hidden="1" customHeight="1">
      <c r="A232" s="1672"/>
      <c r="B232" s="1672"/>
      <c r="C232" s="303" t="s">
        <v>1675</v>
      </c>
      <c r="D232" s="3941"/>
      <c r="E232" s="3692"/>
      <c r="F232" s="3838"/>
      <c r="G232" s="334"/>
      <c r="H232" s="1422"/>
      <c r="I232" s="585"/>
      <c r="J232" s="505"/>
      <c r="K232" s="1422"/>
      <c r="L232" s="149"/>
      <c r="M232" s="276"/>
      <c r="N232" s="269"/>
      <c r="O232" s="1546"/>
      <c r="P232" s="1546"/>
      <c r="AH232" s="1553">
        <v>0</v>
      </c>
    </row>
    <row r="233" spans="1:34" s="1557" customFormat="1" ht="18.75" hidden="1" customHeight="1">
      <c r="A233" s="1672" t="s">
        <v>250</v>
      </c>
      <c r="B233" s="1672" t="s">
        <v>251</v>
      </c>
      <c r="C233" s="303"/>
      <c r="D233" s="3941"/>
      <c r="E233" s="3692"/>
      <c r="F233" s="3838" t="str">
        <f>INDEX(PT_DIFFERENTIATION_VTAR,MATCH(A233,PT_DIFFERENTIATION_VTAR_ID,0))</f>
        <v>Плата за подключение (технологическое присоединение) к системе теплоснабжения (индивидуальная)</v>
      </c>
      <c r="G233" s="3910" t="str">
        <f>INDEX(PT_DIFFERENTIATION_NTAR,MATCH(B233,PT_DIFFERENTIATION_NTAR_ID,0))</f>
        <v/>
      </c>
      <c r="H233" s="1875"/>
      <c r="I233" s="1632"/>
      <c r="J233" s="1666"/>
      <c r="K233" s="1670"/>
      <c r="L233" s="1875" t="s">
        <v>351</v>
      </c>
      <c r="M233" s="276"/>
      <c r="N233" s="269"/>
      <c r="O233" s="1546"/>
      <c r="P233" s="1546"/>
      <c r="AH233" s="1553">
        <v>0</v>
      </c>
    </row>
    <row r="234" spans="1:34" s="1557" customFormat="1" ht="18.75" hidden="1" customHeight="1">
      <c r="A234" s="1672"/>
      <c r="B234" s="1672"/>
      <c r="C234" s="303" t="s">
        <v>1668</v>
      </c>
      <c r="D234" s="3941"/>
      <c r="E234" s="3692"/>
      <c r="F234" s="3838"/>
      <c r="G234" s="3910"/>
      <c r="H234" s="1422"/>
      <c r="I234" s="585" t="s">
        <v>1667</v>
      </c>
      <c r="J234" s="505"/>
      <c r="K234" s="1422"/>
      <c r="L234" s="149"/>
      <c r="M234" s="276"/>
      <c r="N234" s="269"/>
      <c r="O234" s="1546"/>
      <c r="P234" s="1546"/>
      <c r="AH234" s="1553">
        <v>0</v>
      </c>
    </row>
    <row r="235" spans="1:34" s="1557" customFormat="1" ht="0.75" hidden="1" customHeight="1">
      <c r="A235" s="1672"/>
      <c r="B235" s="1672"/>
      <c r="C235" s="303" t="s">
        <v>1675</v>
      </c>
      <c r="D235" s="3941"/>
      <c r="E235" s="3692"/>
      <c r="F235" s="3838"/>
      <c r="G235" s="334"/>
      <c r="H235" s="1422"/>
      <c r="I235" s="585"/>
      <c r="J235" s="505"/>
      <c r="K235" s="1422"/>
      <c r="L235" s="149"/>
      <c r="M235" s="276"/>
      <c r="N235" s="269"/>
      <c r="O235" s="1546"/>
      <c r="P235" s="1546"/>
      <c r="AH235" s="1553">
        <v>0</v>
      </c>
    </row>
    <row r="236" spans="1:34" s="1557" customFormat="1" ht="18.75" hidden="1" customHeight="1">
      <c r="A236" s="1672" t="s">
        <v>270</v>
      </c>
      <c r="B236" s="1672" t="s">
        <v>271</v>
      </c>
      <c r="C236" s="303"/>
      <c r="D236" s="3941"/>
      <c r="E236" s="3692"/>
      <c r="F236" s="3838" t="str">
        <f>INDEX(PT_DIFFERENTIATION_VTAR,MATCH(A236,PT_DIFFERENTIATION_VTAR_ID,0))</f>
        <v>Тариф на питьевую воду (питьевое водоснабжение)</v>
      </c>
      <c r="G236" s="3910" t="str">
        <f>INDEX(PT_DIFFERENTIATION_NTAR,MATCH(B236,PT_DIFFERENTIATION_NTAR_ID,0))</f>
        <v/>
      </c>
      <c r="H236" s="1751"/>
      <c r="I236" s="1632"/>
      <c r="J236" s="1666"/>
      <c r="K236" s="1670"/>
      <c r="L236" s="1751" t="s">
        <v>351</v>
      </c>
      <c r="M236" s="276"/>
      <c r="N236" s="269"/>
      <c r="O236" s="1546"/>
      <c r="P236" s="1546"/>
      <c r="AH236" s="1553">
        <v>0</v>
      </c>
    </row>
    <row r="237" spans="1:34" s="1557" customFormat="1" ht="18.75" hidden="1" customHeight="1">
      <c r="A237" s="1672"/>
      <c r="B237" s="1672"/>
      <c r="C237" s="303" t="s">
        <v>1668</v>
      </c>
      <c r="D237" s="3941"/>
      <c r="E237" s="3692"/>
      <c r="F237" s="3838"/>
      <c r="G237" s="3910"/>
      <c r="H237" s="1422"/>
      <c r="I237" s="585" t="s">
        <v>1667</v>
      </c>
      <c r="J237" s="505"/>
      <c r="K237" s="1422"/>
      <c r="L237" s="149"/>
      <c r="M237" s="276"/>
      <c r="N237" s="269"/>
      <c r="O237" s="1546"/>
      <c r="P237" s="1546"/>
      <c r="AH237" s="1553">
        <v>0</v>
      </c>
    </row>
    <row r="238" spans="1:34" s="1557" customFormat="1" ht="0.75" hidden="1" customHeight="1">
      <c r="A238" s="1672"/>
      <c r="B238" s="1672"/>
      <c r="C238" s="303" t="s">
        <v>1675</v>
      </c>
      <c r="D238" s="3941"/>
      <c r="E238" s="3692"/>
      <c r="F238" s="3838"/>
      <c r="G238" s="334"/>
      <c r="H238" s="1422"/>
      <c r="I238" s="585"/>
      <c r="J238" s="505"/>
      <c r="K238" s="1422"/>
      <c r="L238" s="149"/>
      <c r="M238" s="276"/>
      <c r="N238" s="269"/>
      <c r="O238" s="1546"/>
      <c r="P238" s="1546"/>
      <c r="AH238" s="1553">
        <v>0</v>
      </c>
    </row>
    <row r="239" spans="1:34" s="1557" customFormat="1" ht="18.75" hidden="1" customHeight="1">
      <c r="A239" s="1672" t="s">
        <v>275</v>
      </c>
      <c r="B239" s="1672" t="s">
        <v>276</v>
      </c>
      <c r="C239" s="303"/>
      <c r="D239" s="3941"/>
      <c r="E239" s="3692"/>
      <c r="F239" s="3838" t="str">
        <f>INDEX(PT_DIFFERENTIATION_VTAR,MATCH(A239,PT_DIFFERENTIATION_VTAR_ID,0))</f>
        <v>Тариф на техническую воду</v>
      </c>
      <c r="G239" s="3910" t="str">
        <f>INDEX(PT_DIFFERENTIATION_NTAR,MATCH(B239,PT_DIFFERENTIATION_NTAR_ID,0))</f>
        <v/>
      </c>
      <c r="H239" s="1751"/>
      <c r="I239" s="1632"/>
      <c r="J239" s="1666"/>
      <c r="K239" s="1670"/>
      <c r="L239" s="1751" t="s">
        <v>351</v>
      </c>
      <c r="M239" s="276"/>
      <c r="N239" s="269"/>
      <c r="O239" s="1546"/>
      <c r="P239" s="1546"/>
      <c r="AH239" s="1553">
        <v>0</v>
      </c>
    </row>
    <row r="240" spans="1:34" s="1557" customFormat="1" ht="18.75" hidden="1" customHeight="1">
      <c r="A240" s="1672"/>
      <c r="B240" s="1672"/>
      <c r="C240" s="303" t="s">
        <v>1668</v>
      </c>
      <c r="D240" s="3941"/>
      <c r="E240" s="3692"/>
      <c r="F240" s="3838"/>
      <c r="G240" s="3910"/>
      <c r="H240" s="1422"/>
      <c r="I240" s="585" t="s">
        <v>1667</v>
      </c>
      <c r="J240" s="505"/>
      <c r="K240" s="1422"/>
      <c r="L240" s="149"/>
      <c r="M240" s="276"/>
      <c r="N240" s="269"/>
      <c r="O240" s="1546"/>
      <c r="P240" s="1546"/>
      <c r="AH240" s="1553">
        <v>0</v>
      </c>
    </row>
    <row r="241" spans="1:34" s="1557" customFormat="1" ht="0.75" hidden="1" customHeight="1">
      <c r="A241" s="1672"/>
      <c r="B241" s="1672"/>
      <c r="C241" s="303" t="s">
        <v>1675</v>
      </c>
      <c r="D241" s="3941"/>
      <c r="E241" s="3692"/>
      <c r="F241" s="3838"/>
      <c r="G241" s="334"/>
      <c r="H241" s="1422"/>
      <c r="I241" s="585"/>
      <c r="J241" s="505"/>
      <c r="K241" s="1422"/>
      <c r="L241" s="149"/>
      <c r="M241" s="276"/>
      <c r="N241" s="269"/>
      <c r="O241" s="1546"/>
      <c r="P241" s="1546"/>
      <c r="AH241" s="1553">
        <v>0</v>
      </c>
    </row>
    <row r="242" spans="1:34" s="1557" customFormat="1" ht="18.75" hidden="1" customHeight="1">
      <c r="A242" s="1672" t="s">
        <v>280</v>
      </c>
      <c r="B242" s="1672" t="s">
        <v>281</v>
      </c>
      <c r="C242" s="303"/>
      <c r="D242" s="3941"/>
      <c r="E242" s="3692"/>
      <c r="F242" s="3838" t="str">
        <f>INDEX(PT_DIFFERENTIATION_VTAR,MATCH(A242,PT_DIFFERENTIATION_VTAR_ID,0))</f>
        <v>Тариф на транспортировку воды</v>
      </c>
      <c r="G242" s="3910" t="str">
        <f>INDEX(PT_DIFFERENTIATION_NTAR,MATCH(B242,PT_DIFFERENTIATION_NTAR_ID,0))</f>
        <v/>
      </c>
      <c r="H242" s="1751"/>
      <c r="I242" s="1632"/>
      <c r="J242" s="1666"/>
      <c r="K242" s="1670"/>
      <c r="L242" s="1751" t="s">
        <v>351</v>
      </c>
      <c r="M242" s="276"/>
      <c r="N242" s="269"/>
      <c r="O242" s="1546"/>
      <c r="P242" s="1546"/>
      <c r="AH242" s="1553">
        <v>0</v>
      </c>
    </row>
    <row r="243" spans="1:34" s="1557" customFormat="1" ht="18.75" hidden="1" customHeight="1">
      <c r="A243" s="1672"/>
      <c r="B243" s="1672"/>
      <c r="C243" s="303" t="s">
        <v>1668</v>
      </c>
      <c r="D243" s="3941"/>
      <c r="E243" s="3692"/>
      <c r="F243" s="3838"/>
      <c r="G243" s="3910"/>
      <c r="H243" s="1422"/>
      <c r="I243" s="585" t="s">
        <v>1667</v>
      </c>
      <c r="J243" s="505"/>
      <c r="K243" s="1422"/>
      <c r="L243" s="149"/>
      <c r="M243" s="276"/>
      <c r="N243" s="269"/>
      <c r="O243" s="1546"/>
      <c r="P243" s="1546"/>
      <c r="AH243" s="1553">
        <v>0</v>
      </c>
    </row>
    <row r="244" spans="1:34" s="1557" customFormat="1" ht="0.75" hidden="1" customHeight="1">
      <c r="A244" s="1672"/>
      <c r="B244" s="1672"/>
      <c r="C244" s="303" t="s">
        <v>1675</v>
      </c>
      <c r="D244" s="3941"/>
      <c r="E244" s="3692"/>
      <c r="F244" s="3838"/>
      <c r="G244" s="334"/>
      <c r="H244" s="1422"/>
      <c r="I244" s="585"/>
      <c r="J244" s="505"/>
      <c r="K244" s="1422"/>
      <c r="L244" s="149"/>
      <c r="M244" s="276"/>
      <c r="N244" s="269"/>
      <c r="O244" s="1546"/>
      <c r="P244" s="1546"/>
      <c r="AH244" s="1553">
        <v>0</v>
      </c>
    </row>
    <row r="245" spans="1:34" s="1557" customFormat="1" ht="18.75" hidden="1" customHeight="1">
      <c r="A245" s="1672" t="s">
        <v>285</v>
      </c>
      <c r="B245" s="1672" t="s">
        <v>286</v>
      </c>
      <c r="C245" s="303"/>
      <c r="D245" s="3941"/>
      <c r="E245" s="3692"/>
      <c r="F245" s="3838" t="str">
        <f>INDEX(PT_DIFFERENTIATION_VTAR,MATCH(A245,PT_DIFFERENTIATION_VTAR_ID,0))</f>
        <v>Тариф на подвоз воды</v>
      </c>
      <c r="G245" s="3910" t="str">
        <f>INDEX(PT_DIFFERENTIATION_NTAR,MATCH(B245,PT_DIFFERENTIATION_NTAR_ID,0))</f>
        <v/>
      </c>
      <c r="H245" s="1751"/>
      <c r="I245" s="1632"/>
      <c r="J245" s="1666"/>
      <c r="K245" s="1670"/>
      <c r="L245" s="1751" t="s">
        <v>351</v>
      </c>
      <c r="M245" s="276"/>
      <c r="N245" s="269"/>
      <c r="O245" s="1546"/>
      <c r="P245" s="1546"/>
      <c r="AH245" s="1553">
        <v>0</v>
      </c>
    </row>
    <row r="246" spans="1:34" s="1557" customFormat="1" ht="18.75" hidden="1" customHeight="1">
      <c r="A246" s="1672"/>
      <c r="B246" s="1672"/>
      <c r="C246" s="303" t="s">
        <v>1668</v>
      </c>
      <c r="D246" s="3941"/>
      <c r="E246" s="3692"/>
      <c r="F246" s="3838"/>
      <c r="G246" s="3910"/>
      <c r="H246" s="1422"/>
      <c r="I246" s="585" t="s">
        <v>1667</v>
      </c>
      <c r="J246" s="505"/>
      <c r="K246" s="1422"/>
      <c r="L246" s="149"/>
      <c r="M246" s="276"/>
      <c r="N246" s="269"/>
      <c r="O246" s="1546"/>
      <c r="P246" s="1546"/>
      <c r="AH246" s="1553">
        <v>0</v>
      </c>
    </row>
    <row r="247" spans="1:34" s="1557" customFormat="1" ht="0.75" hidden="1" customHeight="1">
      <c r="A247" s="1672"/>
      <c r="B247" s="1672"/>
      <c r="C247" s="303" t="s">
        <v>1675</v>
      </c>
      <c r="D247" s="3941"/>
      <c r="E247" s="3692"/>
      <c r="F247" s="3838"/>
      <c r="G247" s="334"/>
      <c r="H247" s="1422"/>
      <c r="I247" s="585"/>
      <c r="J247" s="505"/>
      <c r="K247" s="1422"/>
      <c r="L247" s="149"/>
      <c r="M247" s="276"/>
      <c r="N247" s="269"/>
      <c r="O247" s="1546"/>
      <c r="P247" s="1546"/>
      <c r="AH247" s="1553">
        <v>0</v>
      </c>
    </row>
    <row r="248" spans="1:34" s="1557" customFormat="1" ht="18.75" hidden="1" customHeight="1">
      <c r="A248" s="1672" t="s">
        <v>290</v>
      </c>
      <c r="B248" s="1672" t="s">
        <v>291</v>
      </c>
      <c r="C248" s="303"/>
      <c r="D248" s="3941"/>
      <c r="E248" s="3692"/>
      <c r="F248" s="38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910" t="str">
        <f>INDEX(PT_DIFFERENTIATION_NTAR,MATCH(B248,PT_DIFFERENTIATION_NTAR_ID,0))</f>
        <v/>
      </c>
      <c r="H248" s="1751"/>
      <c r="I248" s="1632"/>
      <c r="J248" s="1666"/>
      <c r="K248" s="1670"/>
      <c r="L248" s="1751" t="s">
        <v>351</v>
      </c>
      <c r="M248" s="276"/>
      <c r="N248" s="269"/>
      <c r="O248" s="1546"/>
      <c r="P248" s="1546"/>
      <c r="AH248" s="1553">
        <v>0</v>
      </c>
    </row>
    <row r="249" spans="1:34" s="1557" customFormat="1" ht="18.75" hidden="1" customHeight="1">
      <c r="A249" s="1672"/>
      <c r="B249" s="1672"/>
      <c r="C249" s="303" t="s">
        <v>1668</v>
      </c>
      <c r="D249" s="3941"/>
      <c r="E249" s="3692"/>
      <c r="F249" s="3838"/>
      <c r="G249" s="3910"/>
      <c r="H249" s="1422"/>
      <c r="I249" s="585" t="s">
        <v>1667</v>
      </c>
      <c r="J249" s="505"/>
      <c r="K249" s="1422"/>
      <c r="L249" s="149"/>
      <c r="M249" s="276"/>
      <c r="N249" s="269"/>
      <c r="O249" s="1546"/>
      <c r="P249" s="1546"/>
      <c r="AH249" s="1553">
        <v>0</v>
      </c>
    </row>
    <row r="250" spans="1:34" s="1557" customFormat="1" ht="0.75" hidden="1" customHeight="1">
      <c r="A250" s="1672"/>
      <c r="B250" s="1672"/>
      <c r="C250" s="303" t="s">
        <v>1675</v>
      </c>
      <c r="D250" s="3941"/>
      <c r="E250" s="3692"/>
      <c r="F250" s="3838"/>
      <c r="G250" s="334"/>
      <c r="H250" s="1422"/>
      <c r="I250" s="585"/>
      <c r="J250" s="505"/>
      <c r="K250" s="1422"/>
      <c r="L250" s="149"/>
      <c r="M250" s="276"/>
      <c r="N250" s="269"/>
      <c r="O250" s="1546"/>
      <c r="P250" s="1546"/>
      <c r="AH250" s="1553">
        <v>0</v>
      </c>
    </row>
    <row r="251" spans="1:34" s="1557" customFormat="1" ht="18.75" hidden="1" customHeight="1">
      <c r="A251" s="1672" t="s">
        <v>295</v>
      </c>
      <c r="B251" s="1672" t="s">
        <v>296</v>
      </c>
      <c r="C251" s="303"/>
      <c r="D251" s="3941"/>
      <c r="E251" s="3692"/>
      <c r="F251" s="3838" t="str">
        <f>INDEX(PT_DIFFERENTIATION_VTAR,MATCH(A251,PT_DIFFERENTIATION_VTAR_ID,0))</f>
        <v>Тариф на горячую воду (горячее водоснабжение)</v>
      </c>
      <c r="G251" s="3910" t="str">
        <f>INDEX(PT_DIFFERENTIATION_NTAR,MATCH(B251,PT_DIFFERENTIATION_NTAR_ID,0))</f>
        <v/>
      </c>
      <c r="H251" s="1751"/>
      <c r="I251" s="1632"/>
      <c r="J251" s="1666"/>
      <c r="K251" s="1670"/>
      <c r="L251" s="1751" t="s">
        <v>351</v>
      </c>
      <c r="M251" s="276"/>
      <c r="N251" s="269"/>
      <c r="O251" s="1546"/>
      <c r="P251" s="1546"/>
      <c r="AH251" s="1553">
        <v>0</v>
      </c>
    </row>
    <row r="252" spans="1:34" s="1557" customFormat="1" ht="18.75" hidden="1" customHeight="1">
      <c r="A252" s="1672"/>
      <c r="B252" s="1672"/>
      <c r="C252" s="303" t="s">
        <v>1668</v>
      </c>
      <c r="D252" s="3941"/>
      <c r="E252" s="3692"/>
      <c r="F252" s="3838"/>
      <c r="G252" s="3910"/>
      <c r="H252" s="1422"/>
      <c r="I252" s="585" t="s">
        <v>1667</v>
      </c>
      <c r="J252" s="505"/>
      <c r="K252" s="1422"/>
      <c r="L252" s="149"/>
      <c r="M252" s="276"/>
      <c r="N252" s="269"/>
      <c r="O252" s="1546"/>
      <c r="P252" s="1546"/>
      <c r="AH252" s="1553">
        <v>0</v>
      </c>
    </row>
    <row r="253" spans="1:34" s="1557" customFormat="1" ht="0.75" hidden="1" customHeight="1">
      <c r="A253" s="1672"/>
      <c r="B253" s="1672"/>
      <c r="C253" s="303" t="s">
        <v>1675</v>
      </c>
      <c r="D253" s="3941"/>
      <c r="E253" s="3692"/>
      <c r="F253" s="3838"/>
      <c r="G253" s="334"/>
      <c r="H253" s="1422"/>
      <c r="I253" s="585"/>
      <c r="J253" s="505"/>
      <c r="K253" s="1422"/>
      <c r="L253" s="149"/>
      <c r="M253" s="276"/>
      <c r="N253" s="269"/>
      <c r="O253" s="1546"/>
      <c r="P253" s="1546"/>
      <c r="AH253" s="1553">
        <v>0</v>
      </c>
    </row>
    <row r="254" spans="1:34" s="1557" customFormat="1" ht="18.75" hidden="1" customHeight="1">
      <c r="A254" s="1672" t="s">
        <v>300</v>
      </c>
      <c r="B254" s="1672" t="s">
        <v>301</v>
      </c>
      <c r="C254" s="303"/>
      <c r="D254" s="3941"/>
      <c r="E254" s="3692"/>
      <c r="F254" s="3838" t="str">
        <f>INDEX(PT_DIFFERENTIATION_VTAR,MATCH(A254,PT_DIFFERENTIATION_VTAR_ID,0))</f>
        <v>Тариф на транспортировку горячей воды</v>
      </c>
      <c r="G254" s="3910" t="str">
        <f>INDEX(PT_DIFFERENTIATION_NTAR,MATCH(B254,PT_DIFFERENTIATION_NTAR_ID,0))</f>
        <v/>
      </c>
      <c r="H254" s="1751"/>
      <c r="I254" s="1632"/>
      <c r="J254" s="1666"/>
      <c r="K254" s="1670"/>
      <c r="L254" s="1751" t="s">
        <v>351</v>
      </c>
      <c r="M254" s="276"/>
      <c r="N254" s="269"/>
      <c r="O254" s="1546"/>
      <c r="P254" s="1546"/>
      <c r="AH254" s="1553">
        <v>0</v>
      </c>
    </row>
    <row r="255" spans="1:34" s="1557" customFormat="1" ht="18.75" hidden="1" customHeight="1">
      <c r="A255" s="1672"/>
      <c r="B255" s="1672"/>
      <c r="C255" s="303" t="s">
        <v>1668</v>
      </c>
      <c r="D255" s="3941"/>
      <c r="E255" s="3692"/>
      <c r="F255" s="3838"/>
      <c r="G255" s="3910"/>
      <c r="H255" s="1422"/>
      <c r="I255" s="585" t="s">
        <v>1667</v>
      </c>
      <c r="J255" s="505"/>
      <c r="K255" s="1422"/>
      <c r="L255" s="149"/>
      <c r="M255" s="276"/>
      <c r="N255" s="269"/>
      <c r="O255" s="1546"/>
      <c r="P255" s="1546"/>
      <c r="AH255" s="1553">
        <v>0</v>
      </c>
    </row>
    <row r="256" spans="1:34" s="1557" customFormat="1" ht="0.75" hidden="1" customHeight="1">
      <c r="A256" s="1672"/>
      <c r="B256" s="1672"/>
      <c r="C256" s="303" t="s">
        <v>1675</v>
      </c>
      <c r="D256" s="3941"/>
      <c r="E256" s="3692"/>
      <c r="F256" s="3838"/>
      <c r="G256" s="334"/>
      <c r="H256" s="1422"/>
      <c r="I256" s="585"/>
      <c r="J256" s="505"/>
      <c r="K256" s="1422"/>
      <c r="L256" s="149"/>
      <c r="M256" s="276"/>
      <c r="N256" s="269"/>
      <c r="O256" s="1546"/>
      <c r="P256" s="1546"/>
      <c r="AH256" s="1553">
        <v>0</v>
      </c>
    </row>
    <row r="257" spans="1:34" s="1557" customFormat="1" ht="18.75" hidden="1" customHeight="1">
      <c r="A257" s="1672" t="s">
        <v>305</v>
      </c>
      <c r="B257" s="1672" t="s">
        <v>306</v>
      </c>
      <c r="C257" s="303"/>
      <c r="D257" s="3941"/>
      <c r="E257" s="3692"/>
      <c r="F257" s="38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3910" t="str">
        <f>INDEX(PT_DIFFERENTIATION_NTAR,MATCH(B257,PT_DIFFERENTIATION_NTAR_ID,0))</f>
        <v/>
      </c>
      <c r="H257" s="1751"/>
      <c r="I257" s="1632"/>
      <c r="J257" s="1666"/>
      <c r="K257" s="1670"/>
      <c r="L257" s="1751" t="s">
        <v>351</v>
      </c>
      <c r="M257" s="276"/>
      <c r="N257" s="269"/>
      <c r="O257" s="1546"/>
      <c r="P257" s="1546"/>
      <c r="AH257" s="1553">
        <v>0</v>
      </c>
    </row>
    <row r="258" spans="1:34" s="1557" customFormat="1" ht="18.75" hidden="1" customHeight="1">
      <c r="A258" s="1672"/>
      <c r="B258" s="1672"/>
      <c r="C258" s="303" t="s">
        <v>1668</v>
      </c>
      <c r="D258" s="3941"/>
      <c r="E258" s="3692"/>
      <c r="F258" s="3838"/>
      <c r="G258" s="3910"/>
      <c r="H258" s="1422"/>
      <c r="I258" s="585" t="s">
        <v>1667</v>
      </c>
      <c r="J258" s="505"/>
      <c r="K258" s="1422"/>
      <c r="L258" s="149"/>
      <c r="M258" s="276"/>
      <c r="N258" s="269"/>
      <c r="O258" s="1546"/>
      <c r="P258" s="1546"/>
      <c r="AH258" s="1553">
        <v>0</v>
      </c>
    </row>
    <row r="259" spans="1:34" s="1557" customFormat="1" ht="0.75" hidden="1" customHeight="1">
      <c r="A259" s="1672"/>
      <c r="B259" s="1672"/>
      <c r="C259" s="303" t="s">
        <v>1675</v>
      </c>
      <c r="D259" s="3941"/>
      <c r="E259" s="3692"/>
      <c r="F259" s="3838"/>
      <c r="G259" s="334"/>
      <c r="H259" s="1422"/>
      <c r="I259" s="585"/>
      <c r="J259" s="505"/>
      <c r="K259" s="1422"/>
      <c r="L259" s="149"/>
      <c r="M259" s="276"/>
      <c r="N259" s="269"/>
      <c r="O259" s="1546"/>
      <c r="P259" s="1546"/>
      <c r="AH259" s="1553">
        <v>0</v>
      </c>
    </row>
    <row r="260" spans="1:34" s="1557" customFormat="1" ht="18.75" hidden="1" customHeight="1">
      <c r="A260" s="1672" t="s">
        <v>310</v>
      </c>
      <c r="B260" s="1672" t="s">
        <v>311</v>
      </c>
      <c r="C260" s="303"/>
      <c r="D260" s="3941"/>
      <c r="E260" s="3692"/>
      <c r="F260" s="3838" t="str">
        <f>INDEX(PT_DIFFERENTIATION_VTAR,MATCH(A260,PT_DIFFERENTIATION_VTAR_ID,0))</f>
        <v>Тариф на водоотведение</v>
      </c>
      <c r="G260" s="3910" t="str">
        <f>INDEX(PT_DIFFERENTIATION_NTAR,MATCH(B260,PT_DIFFERENTIATION_NTAR_ID,0))</f>
        <v/>
      </c>
      <c r="H260" s="1751"/>
      <c r="I260" s="1632"/>
      <c r="J260" s="1666"/>
      <c r="K260" s="1670"/>
      <c r="L260" s="1751" t="s">
        <v>351</v>
      </c>
      <c r="M260" s="276"/>
      <c r="N260" s="269"/>
      <c r="O260" s="1546"/>
      <c r="P260" s="1546"/>
      <c r="AH260" s="1553">
        <v>0</v>
      </c>
    </row>
    <row r="261" spans="1:34" s="1557" customFormat="1" ht="18.75" hidden="1" customHeight="1">
      <c r="A261" s="1672"/>
      <c r="B261" s="1672"/>
      <c r="C261" s="303" t="s">
        <v>1668</v>
      </c>
      <c r="D261" s="3941"/>
      <c r="E261" s="3692"/>
      <c r="F261" s="3838"/>
      <c r="G261" s="3910"/>
      <c r="H261" s="1422"/>
      <c r="I261" s="585" t="s">
        <v>1667</v>
      </c>
      <c r="J261" s="505"/>
      <c r="K261" s="1422"/>
      <c r="L261" s="149"/>
      <c r="M261" s="276"/>
      <c r="N261" s="269"/>
      <c r="O261" s="1546"/>
      <c r="P261" s="1546"/>
      <c r="AH261" s="1553">
        <v>0</v>
      </c>
    </row>
    <row r="262" spans="1:34" s="1557" customFormat="1" ht="0.75" hidden="1" customHeight="1">
      <c r="A262" s="1672"/>
      <c r="B262" s="1672"/>
      <c r="C262" s="303" t="s">
        <v>1675</v>
      </c>
      <c r="D262" s="3941"/>
      <c r="E262" s="3692"/>
      <c r="F262" s="3838"/>
      <c r="G262" s="334"/>
      <c r="H262" s="1422"/>
      <c r="I262" s="585"/>
      <c r="J262" s="505"/>
      <c r="K262" s="1422"/>
      <c r="L262" s="149"/>
      <c r="M262" s="276"/>
      <c r="N262" s="269"/>
      <c r="O262" s="1546"/>
      <c r="P262" s="1546"/>
      <c r="AH262" s="1553">
        <v>0</v>
      </c>
    </row>
    <row r="263" spans="1:34" s="1557" customFormat="1" ht="18.75" hidden="1" customHeight="1">
      <c r="A263" s="1672" t="s">
        <v>315</v>
      </c>
      <c r="B263" s="1672" t="s">
        <v>316</v>
      </c>
      <c r="C263" s="303"/>
      <c r="D263" s="3941"/>
      <c r="E263" s="3692"/>
      <c r="F263" s="3838" t="str">
        <f>INDEX(PT_DIFFERENTIATION_VTAR,MATCH(A263,PT_DIFFERENTIATION_VTAR_ID,0))</f>
        <v>Тариф на транспортировку сточных вод</v>
      </c>
      <c r="G263" s="3910" t="str">
        <f>INDEX(PT_DIFFERENTIATION_NTAR,MATCH(B263,PT_DIFFERENTIATION_NTAR_ID,0))</f>
        <v/>
      </c>
      <c r="H263" s="1751"/>
      <c r="I263" s="1632"/>
      <c r="J263" s="1666"/>
      <c r="K263" s="1670"/>
      <c r="L263" s="1751" t="s">
        <v>351</v>
      </c>
      <c r="M263" s="276"/>
      <c r="N263" s="269"/>
      <c r="O263" s="1546"/>
      <c r="P263" s="1546"/>
      <c r="AH263" s="1553">
        <v>0</v>
      </c>
    </row>
    <row r="264" spans="1:34" s="1557" customFormat="1" ht="18.75" hidden="1" customHeight="1">
      <c r="A264" s="1672"/>
      <c r="B264" s="1672"/>
      <c r="C264" s="303" t="s">
        <v>1668</v>
      </c>
      <c r="D264" s="3941"/>
      <c r="E264" s="3692"/>
      <c r="F264" s="3838"/>
      <c r="G264" s="3910"/>
      <c r="H264" s="1422"/>
      <c r="I264" s="585" t="s">
        <v>1667</v>
      </c>
      <c r="J264" s="505"/>
      <c r="K264" s="1422"/>
      <c r="L264" s="149"/>
      <c r="M264" s="276"/>
      <c r="N264" s="269"/>
      <c r="O264" s="1546"/>
      <c r="P264" s="1546"/>
      <c r="AH264" s="1553">
        <v>0</v>
      </c>
    </row>
    <row r="265" spans="1:34" s="1557" customFormat="1" ht="0.75" hidden="1" customHeight="1">
      <c r="A265" s="1672"/>
      <c r="B265" s="1672"/>
      <c r="C265" s="303" t="s">
        <v>1675</v>
      </c>
      <c r="D265" s="3941"/>
      <c r="E265" s="3692"/>
      <c r="F265" s="3838"/>
      <c r="G265" s="334"/>
      <c r="H265" s="1422"/>
      <c r="I265" s="585"/>
      <c r="J265" s="505"/>
      <c r="K265" s="1422"/>
      <c r="L265" s="149"/>
      <c r="M265" s="276"/>
      <c r="N265" s="269"/>
      <c r="O265" s="1546"/>
      <c r="P265" s="1546"/>
      <c r="AH265" s="1553">
        <v>0</v>
      </c>
    </row>
    <row r="266" spans="1:34" s="1557" customFormat="1" ht="18.75" hidden="1" customHeight="1">
      <c r="A266" s="1672" t="s">
        <v>320</v>
      </c>
      <c r="B266" s="1672" t="s">
        <v>321</v>
      </c>
      <c r="C266" s="303"/>
      <c r="D266" s="3941"/>
      <c r="E266" s="3692"/>
      <c r="F266" s="3838" t="str">
        <f>INDEX(PT_DIFFERENTIATION_VTAR,MATCH(A266,PT_DIFFERENTIATION_VTAR_ID,0))</f>
        <v>Тариф на подключение (технологическое присоединение) к централизованной системе водоотведения</v>
      </c>
      <c r="G266" s="3910" t="str">
        <f>INDEX(PT_DIFFERENTIATION_NTAR,MATCH(B266,PT_DIFFERENTIATION_NTAR_ID,0))</f>
        <v/>
      </c>
      <c r="H266" s="1751"/>
      <c r="I266" s="1632"/>
      <c r="J266" s="1666"/>
      <c r="K266" s="1670"/>
      <c r="L266" s="1751" t="s">
        <v>351</v>
      </c>
      <c r="M266" s="276"/>
      <c r="N266" s="269"/>
      <c r="O266" s="1546"/>
      <c r="P266" s="1546"/>
      <c r="AH266" s="1553">
        <v>0</v>
      </c>
    </row>
    <row r="267" spans="1:34" s="1557" customFormat="1" ht="18.75" hidden="1" customHeight="1">
      <c r="A267" s="1672"/>
      <c r="B267" s="1672"/>
      <c r="C267" s="303" t="s">
        <v>1668</v>
      </c>
      <c r="D267" s="3941"/>
      <c r="E267" s="3692"/>
      <c r="F267" s="3838"/>
      <c r="G267" s="3910"/>
      <c r="H267" s="1422"/>
      <c r="I267" s="585" t="s">
        <v>1667</v>
      </c>
      <c r="J267" s="505"/>
      <c r="K267" s="1422"/>
      <c r="L267" s="149"/>
      <c r="M267" s="276"/>
      <c r="N267" s="269"/>
      <c r="O267" s="1546"/>
      <c r="P267" s="1546"/>
      <c r="AH267" s="1553">
        <v>0</v>
      </c>
    </row>
    <row r="268" spans="1:34" s="1557" customFormat="1" ht="1.1499999999999999" customHeight="1">
      <c r="A268" s="1672"/>
      <c r="B268" s="1672"/>
      <c r="C268" s="303" t="s">
        <v>1675</v>
      </c>
      <c r="D268" s="3941"/>
      <c r="E268" s="3692"/>
      <c r="F268" s="3838"/>
      <c r="G268" s="334"/>
      <c r="H268" s="1422"/>
      <c r="I268" s="585"/>
      <c r="J268" s="505"/>
      <c r="K268" s="1422"/>
      <c r="L268" s="149"/>
      <c r="M268" s="276"/>
      <c r="N268" s="269"/>
      <c r="O268" s="1546"/>
      <c r="P268" s="1546"/>
      <c r="AH268" s="1553">
        <v>1</v>
      </c>
    </row>
    <row r="269" spans="1:34" ht="27.4" customHeight="1">
      <c r="A269" s="1672"/>
      <c r="B269" s="1672"/>
      <c r="D269" s="310"/>
      <c r="E269" s="83" t="s">
        <v>80</v>
      </c>
      <c r="F269" s="39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940"/>
      <c r="H269" s="3940"/>
      <c r="I269" s="3940"/>
      <c r="J269" s="3940"/>
      <c r="K269" s="3940"/>
      <c r="L269" s="3940"/>
      <c r="M269" s="232"/>
      <c r="N269" s="269"/>
      <c r="AH269" s="308">
        <v>26</v>
      </c>
    </row>
    <row r="270" spans="1:34" s="1557" customFormat="1" ht="60.75" hidden="1" customHeight="1">
      <c r="A270" s="1672" t="s">
        <v>202</v>
      </c>
      <c r="B270" s="1672" t="s">
        <v>203</v>
      </c>
      <c r="C270" s="303"/>
      <c r="D270" s="3941"/>
      <c r="E270" s="3692"/>
      <c r="F270" s="38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910" t="str">
        <f>INDEX(PT_DIFFERENTIATION_NTAR,MATCH(B270,PT_DIFFERENTIATION_NTAR_ID,0))</f>
        <v/>
      </c>
      <c r="H270" s="1751"/>
      <c r="I270" s="1632"/>
      <c r="J270" s="1666"/>
      <c r="K270" s="1670"/>
      <c r="L270" s="1751" t="s">
        <v>351</v>
      </c>
      <c r="M270" s="36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6"/>
      <c r="P270" s="1546"/>
      <c r="AH270" s="1553">
        <v>0</v>
      </c>
    </row>
    <row r="271" spans="1:34" s="1557" customFormat="1" ht="18.75" hidden="1" customHeight="1">
      <c r="A271" s="1672"/>
      <c r="B271" s="1672"/>
      <c r="C271" s="303" t="s">
        <v>1668</v>
      </c>
      <c r="D271" s="3941"/>
      <c r="E271" s="3692"/>
      <c r="F271" s="3838"/>
      <c r="G271" s="3910"/>
      <c r="H271" s="1422"/>
      <c r="I271" s="585" t="s">
        <v>1667</v>
      </c>
      <c r="J271" s="505"/>
      <c r="K271" s="1422"/>
      <c r="L271" s="149"/>
      <c r="M271" s="3661"/>
      <c r="N271" s="269"/>
      <c r="O271" s="1546"/>
      <c r="P271" s="1546"/>
      <c r="AH271" s="1553">
        <v>0</v>
      </c>
    </row>
    <row r="272" spans="1:34" s="1557" customFormat="1" ht="0.75" hidden="1" customHeight="1">
      <c r="A272" s="1672"/>
      <c r="B272" s="1672"/>
      <c r="C272" s="303" t="s">
        <v>1675</v>
      </c>
      <c r="D272" s="3941"/>
      <c r="E272" s="3692"/>
      <c r="F272" s="3838"/>
      <c r="G272" s="334"/>
      <c r="H272" s="1422"/>
      <c r="I272" s="585"/>
      <c r="J272" s="505"/>
      <c r="K272" s="1422"/>
      <c r="L272" s="149"/>
      <c r="M272" s="3661"/>
      <c r="N272" s="269"/>
      <c r="O272" s="1546"/>
      <c r="P272" s="1546"/>
      <c r="AH272" s="1553">
        <v>0</v>
      </c>
    </row>
    <row r="273" spans="1:34" s="1557" customFormat="1" ht="45" hidden="1" customHeight="1">
      <c r="A273" s="1672" t="s">
        <v>207</v>
      </c>
      <c r="B273" s="1672" t="s">
        <v>208</v>
      </c>
      <c r="C273" s="303"/>
      <c r="D273" s="3941"/>
      <c r="E273" s="3692"/>
      <c r="F273" s="3838" t="str">
        <f>INDEX(PT_DIFFERENTIATION_VTAR,MATCH(A273,PT_DIFFERENTIATION_VTAR_ID,0))</f>
        <v/>
      </c>
      <c r="G273" s="3910" t="str">
        <f>INDEX(PT_DIFFERENTIATION_NTAR,MATCH(B273,PT_DIFFERENTIATION_NTAR_ID,0))</f>
        <v/>
      </c>
      <c r="H273" s="1751"/>
      <c r="I273" s="1632"/>
      <c r="J273" s="1666"/>
      <c r="K273" s="1670"/>
      <c r="L273" s="1751" t="s">
        <v>351</v>
      </c>
      <c r="M273" s="3662"/>
      <c r="N273" s="269"/>
      <c r="O273" s="1546"/>
      <c r="P273" s="1546"/>
      <c r="AH273" s="1553">
        <v>0</v>
      </c>
    </row>
    <row r="274" spans="1:34" s="1557" customFormat="1" ht="18.75" hidden="1" customHeight="1">
      <c r="A274" s="1672"/>
      <c r="B274" s="1672"/>
      <c r="C274" s="303" t="s">
        <v>1668</v>
      </c>
      <c r="D274" s="3941"/>
      <c r="E274" s="3692"/>
      <c r="F274" s="3838"/>
      <c r="G274" s="3910"/>
      <c r="H274" s="1422"/>
      <c r="I274" s="585" t="s">
        <v>1667</v>
      </c>
      <c r="J274" s="505"/>
      <c r="K274" s="1422"/>
      <c r="L274" s="149"/>
      <c r="M274" s="1750"/>
      <c r="N274" s="269"/>
      <c r="O274" s="1546"/>
      <c r="P274" s="1546"/>
      <c r="AH274" s="1553">
        <v>0</v>
      </c>
    </row>
    <row r="275" spans="1:34" s="1557" customFormat="1" ht="0.75" hidden="1" customHeight="1">
      <c r="A275" s="1672"/>
      <c r="B275" s="1672"/>
      <c r="C275" s="303" t="s">
        <v>1675</v>
      </c>
      <c r="D275" s="3941"/>
      <c r="E275" s="3692"/>
      <c r="F275" s="3838"/>
      <c r="G275" s="334"/>
      <c r="H275" s="1422"/>
      <c r="I275" s="585"/>
      <c r="J275" s="505"/>
      <c r="K275" s="1422"/>
      <c r="L275" s="149"/>
      <c r="M275" s="276"/>
      <c r="N275" s="269"/>
      <c r="O275" s="1546"/>
      <c r="P275" s="1546"/>
      <c r="AH275" s="1553">
        <v>0</v>
      </c>
    </row>
    <row r="276" spans="1:34" s="1557" customFormat="1" ht="45" hidden="1" customHeight="1">
      <c r="A276" s="1672" t="s">
        <v>214</v>
      </c>
      <c r="B276" s="1672" t="s">
        <v>215</v>
      </c>
      <c r="C276" s="303"/>
      <c r="D276" s="3941"/>
      <c r="E276" s="3692"/>
      <c r="F276" s="38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910" t="str">
        <f>INDEX(PT_DIFFERENTIATION_NTAR,MATCH(B276,PT_DIFFERENTIATION_NTAR_ID,0))</f>
        <v/>
      </c>
      <c r="H276" s="1751"/>
      <c r="I276" s="1632"/>
      <c r="J276" s="1666"/>
      <c r="K276" s="1670"/>
      <c r="L276" s="1751" t="s">
        <v>351</v>
      </c>
      <c r="M276" s="276"/>
      <c r="N276" s="269"/>
      <c r="O276" s="1546"/>
      <c r="P276" s="1546"/>
      <c r="AH276" s="1553">
        <v>0</v>
      </c>
    </row>
    <row r="277" spans="1:34" s="1557" customFormat="1" ht="18.75" hidden="1" customHeight="1">
      <c r="A277" s="1672"/>
      <c r="B277" s="1672"/>
      <c r="C277" s="303" t="s">
        <v>1668</v>
      </c>
      <c r="D277" s="3941"/>
      <c r="E277" s="3692"/>
      <c r="F277" s="3838"/>
      <c r="G277" s="3910"/>
      <c r="H277" s="1422"/>
      <c r="I277" s="585" t="s">
        <v>1667</v>
      </c>
      <c r="J277" s="505"/>
      <c r="K277" s="1422"/>
      <c r="L277" s="149"/>
      <c r="M277" s="276"/>
      <c r="N277" s="269"/>
      <c r="O277" s="1546"/>
      <c r="P277" s="1546"/>
      <c r="AH277" s="1553">
        <v>0</v>
      </c>
    </row>
    <row r="278" spans="1:34" s="1557" customFormat="1" ht="0.75" hidden="1" customHeight="1">
      <c r="A278" s="1672"/>
      <c r="B278" s="1672"/>
      <c r="C278" s="303" t="s">
        <v>1675</v>
      </c>
      <c r="D278" s="3941"/>
      <c r="E278" s="3692"/>
      <c r="F278" s="3838"/>
      <c r="G278" s="334"/>
      <c r="H278" s="1422"/>
      <c r="I278" s="585"/>
      <c r="J278" s="505"/>
      <c r="K278" s="1422"/>
      <c r="L278" s="149"/>
      <c r="M278" s="276"/>
      <c r="N278" s="269"/>
      <c r="O278" s="1546"/>
      <c r="P278" s="1546"/>
      <c r="AH278" s="1553">
        <v>0</v>
      </c>
    </row>
    <row r="279" spans="1:34" s="1557" customFormat="1" ht="45" hidden="1" customHeight="1">
      <c r="A279" s="1672" t="s">
        <v>220</v>
      </c>
      <c r="B279" s="1672" t="s">
        <v>221</v>
      </c>
      <c r="C279" s="303"/>
      <c r="D279" s="3941"/>
      <c r="E279" s="3692"/>
      <c r="F279" s="38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910" t="str">
        <f>INDEX(PT_DIFFERENTIATION_NTAR,MATCH(B279,PT_DIFFERENTIATION_NTAR_ID,0))</f>
        <v/>
      </c>
      <c r="H279" s="1751"/>
      <c r="I279" s="1632"/>
      <c r="J279" s="1666"/>
      <c r="K279" s="1670"/>
      <c r="L279" s="1751" t="s">
        <v>351</v>
      </c>
      <c r="M279" s="276"/>
      <c r="N279" s="269"/>
      <c r="O279" s="1546"/>
      <c r="P279" s="1546"/>
      <c r="AH279" s="1553">
        <v>0</v>
      </c>
    </row>
    <row r="280" spans="1:34" s="1557" customFormat="1" ht="18.75" hidden="1" customHeight="1">
      <c r="A280" s="1672"/>
      <c r="B280" s="1672"/>
      <c r="C280" s="303" t="s">
        <v>1668</v>
      </c>
      <c r="D280" s="3941"/>
      <c r="E280" s="3692"/>
      <c r="F280" s="3838"/>
      <c r="G280" s="3910"/>
      <c r="H280" s="1422"/>
      <c r="I280" s="585" t="s">
        <v>1667</v>
      </c>
      <c r="J280" s="505"/>
      <c r="K280" s="1422"/>
      <c r="L280" s="149"/>
      <c r="M280" s="276"/>
      <c r="N280" s="269"/>
      <c r="O280" s="1546"/>
      <c r="P280" s="1546"/>
      <c r="AH280" s="1553">
        <v>0</v>
      </c>
    </row>
    <row r="281" spans="1:34" s="1557" customFormat="1" ht="0.75" hidden="1" customHeight="1">
      <c r="A281" s="1672"/>
      <c r="B281" s="1672"/>
      <c r="C281" s="303" t="s">
        <v>1675</v>
      </c>
      <c r="D281" s="3941"/>
      <c r="E281" s="3692"/>
      <c r="F281" s="3838"/>
      <c r="G281" s="334"/>
      <c r="H281" s="1422"/>
      <c r="I281" s="585"/>
      <c r="J281" s="505"/>
      <c r="K281" s="1422"/>
      <c r="L281" s="149"/>
      <c r="M281" s="276"/>
      <c r="N281" s="269"/>
      <c r="O281" s="1546"/>
      <c r="P281" s="1546"/>
      <c r="AH281" s="1553">
        <v>0</v>
      </c>
    </row>
    <row r="282" spans="1:34" s="1557" customFormat="1" ht="18.75" hidden="1" customHeight="1">
      <c r="A282" s="1672" t="s">
        <v>226</v>
      </c>
      <c r="B282" s="1672" t="s">
        <v>227</v>
      </c>
      <c r="C282" s="303"/>
      <c r="D282" s="3941"/>
      <c r="E282" s="3692"/>
      <c r="F282" s="3838" t="str">
        <f>INDEX(PT_DIFFERENTIATION_VTAR,MATCH(A282,PT_DIFFERENTIATION_VTAR_ID,0))</f>
        <v>Тарифы на услуги по передаче тепловой энергии</v>
      </c>
      <c r="G282" s="3910" t="str">
        <f>INDEX(PT_DIFFERENTIATION_NTAR,MATCH(B282,PT_DIFFERENTIATION_NTAR_ID,0))</f>
        <v/>
      </c>
      <c r="H282" s="1751"/>
      <c r="I282" s="1632"/>
      <c r="J282" s="1666"/>
      <c r="K282" s="1670"/>
      <c r="L282" s="1751" t="s">
        <v>351</v>
      </c>
      <c r="M282" s="276"/>
      <c r="N282" s="269"/>
      <c r="O282" s="1546"/>
      <c r="P282" s="1546"/>
      <c r="AH282" s="1553">
        <v>0</v>
      </c>
    </row>
    <row r="283" spans="1:34" s="1557" customFormat="1" ht="18.75" hidden="1" customHeight="1">
      <c r="A283" s="1672"/>
      <c r="B283" s="1672"/>
      <c r="C283" s="303" t="s">
        <v>1668</v>
      </c>
      <c r="D283" s="3941"/>
      <c r="E283" s="3692"/>
      <c r="F283" s="3838"/>
      <c r="G283" s="3910"/>
      <c r="H283" s="1422"/>
      <c r="I283" s="585" t="s">
        <v>1667</v>
      </c>
      <c r="J283" s="505"/>
      <c r="K283" s="1422"/>
      <c r="L283" s="149"/>
      <c r="M283" s="276"/>
      <c r="N283" s="269"/>
      <c r="O283" s="1546"/>
      <c r="P283" s="1546"/>
      <c r="AH283" s="1553">
        <v>0</v>
      </c>
    </row>
    <row r="284" spans="1:34" s="1557" customFormat="1" ht="0.75" hidden="1" customHeight="1">
      <c r="A284" s="1672"/>
      <c r="B284" s="1672"/>
      <c r="C284" s="303" t="s">
        <v>1675</v>
      </c>
      <c r="D284" s="3941"/>
      <c r="E284" s="3692"/>
      <c r="F284" s="3838"/>
      <c r="G284" s="334"/>
      <c r="H284" s="1422"/>
      <c r="I284" s="585"/>
      <c r="J284" s="505"/>
      <c r="K284" s="1422"/>
      <c r="L284" s="149"/>
      <c r="M284" s="276"/>
      <c r="N284" s="269"/>
      <c r="O284" s="1546"/>
      <c r="P284" s="1546"/>
      <c r="AH284" s="1553">
        <v>0</v>
      </c>
    </row>
    <row r="285" spans="1:34" s="1557" customFormat="1" ht="18.75" hidden="1" customHeight="1">
      <c r="A285" s="1672" t="s">
        <v>232</v>
      </c>
      <c r="B285" s="1672" t="s">
        <v>233</v>
      </c>
      <c r="C285" s="303"/>
      <c r="D285" s="3941"/>
      <c r="E285" s="3692"/>
      <c r="F285" s="3838" t="str">
        <f>INDEX(PT_DIFFERENTIATION_VTAR,MATCH(A285,PT_DIFFERENTIATION_VTAR_ID,0))</f>
        <v>Тарифы на услуги по передаче теплоносителя</v>
      </c>
      <c r="G285" s="3910" t="str">
        <f>INDEX(PT_DIFFERENTIATION_NTAR,MATCH(B285,PT_DIFFERENTIATION_NTAR_ID,0))</f>
        <v/>
      </c>
      <c r="H285" s="1751"/>
      <c r="I285" s="1632"/>
      <c r="J285" s="1666"/>
      <c r="K285" s="1670"/>
      <c r="L285" s="1751" t="s">
        <v>351</v>
      </c>
      <c r="M285" s="276"/>
      <c r="N285" s="269"/>
      <c r="O285" s="1546"/>
      <c r="P285" s="1546"/>
      <c r="AH285" s="1553">
        <v>0</v>
      </c>
    </row>
    <row r="286" spans="1:34" s="1557" customFormat="1" ht="18.75" hidden="1" customHeight="1">
      <c r="A286" s="1672"/>
      <c r="B286" s="1672"/>
      <c r="C286" s="303" t="s">
        <v>1668</v>
      </c>
      <c r="D286" s="3941"/>
      <c r="E286" s="3692"/>
      <c r="F286" s="3838"/>
      <c r="G286" s="3910"/>
      <c r="H286" s="1422"/>
      <c r="I286" s="585" t="s">
        <v>1667</v>
      </c>
      <c r="J286" s="505"/>
      <c r="K286" s="1422"/>
      <c r="L286" s="149"/>
      <c r="M286" s="276"/>
      <c r="N286" s="269"/>
      <c r="O286" s="1546"/>
      <c r="P286" s="1546"/>
      <c r="AH286" s="1553">
        <v>0</v>
      </c>
    </row>
    <row r="287" spans="1:34" s="1557" customFormat="1" ht="0.75" hidden="1" customHeight="1">
      <c r="A287" s="1672"/>
      <c r="B287" s="1672"/>
      <c r="C287" s="303" t="s">
        <v>1675</v>
      </c>
      <c r="D287" s="3941"/>
      <c r="E287" s="3692"/>
      <c r="F287" s="3838"/>
      <c r="G287" s="334"/>
      <c r="H287" s="1422"/>
      <c r="I287" s="585"/>
      <c r="J287" s="505"/>
      <c r="K287" s="1422"/>
      <c r="L287" s="149"/>
      <c r="M287" s="276"/>
      <c r="N287" s="269"/>
      <c r="O287" s="1546"/>
      <c r="P287" s="1546"/>
      <c r="AH287" s="1553">
        <v>0</v>
      </c>
    </row>
    <row r="288" spans="1:34" s="1557" customFormat="1" ht="18.75" hidden="1" customHeight="1">
      <c r="A288" s="1672" t="s">
        <v>238</v>
      </c>
      <c r="B288" s="1672" t="s">
        <v>239</v>
      </c>
      <c r="C288" s="303"/>
      <c r="D288" s="3941"/>
      <c r="E288" s="3692"/>
      <c r="F288" s="38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910" t="str">
        <f>INDEX(PT_DIFFERENTIATION_NTAR,MATCH(B288,PT_DIFFERENTIATION_NTAR_ID,0))</f>
        <v/>
      </c>
      <c r="H288" s="1751"/>
      <c r="I288" s="1632"/>
      <c r="J288" s="1666"/>
      <c r="K288" s="1670"/>
      <c r="L288" s="1751" t="s">
        <v>351</v>
      </c>
      <c r="M288" s="276"/>
      <c r="N288" s="269"/>
      <c r="O288" s="1546"/>
      <c r="P288" s="1546"/>
      <c r="AH288" s="1553">
        <v>0</v>
      </c>
    </row>
    <row r="289" spans="1:34" s="1557" customFormat="1" ht="18.75" hidden="1" customHeight="1">
      <c r="A289" s="1672"/>
      <c r="B289" s="1672"/>
      <c r="C289" s="303" t="s">
        <v>1668</v>
      </c>
      <c r="D289" s="3941"/>
      <c r="E289" s="3692"/>
      <c r="F289" s="3838"/>
      <c r="G289" s="3910"/>
      <c r="H289" s="1422"/>
      <c r="I289" s="585" t="s">
        <v>1667</v>
      </c>
      <c r="J289" s="505"/>
      <c r="K289" s="1422"/>
      <c r="L289" s="149"/>
      <c r="M289" s="276"/>
      <c r="N289" s="269"/>
      <c r="O289" s="1546"/>
      <c r="P289" s="1546"/>
      <c r="AH289" s="1553">
        <v>0</v>
      </c>
    </row>
    <row r="290" spans="1:34" s="1557" customFormat="1" ht="0.75" hidden="1" customHeight="1">
      <c r="A290" s="1672"/>
      <c r="B290" s="1672"/>
      <c r="C290" s="303" t="s">
        <v>1675</v>
      </c>
      <c r="D290" s="3941"/>
      <c r="E290" s="3692"/>
      <c r="F290" s="3838"/>
      <c r="G290" s="334"/>
      <c r="H290" s="1422"/>
      <c r="I290" s="585"/>
      <c r="J290" s="505"/>
      <c r="K290" s="1422"/>
      <c r="L290" s="149"/>
      <c r="M290" s="276"/>
      <c r="N290" s="269"/>
      <c r="O290" s="1546"/>
      <c r="P290" s="1546"/>
      <c r="AH290" s="1553">
        <v>0</v>
      </c>
    </row>
    <row r="291" spans="1:34" s="1557" customFormat="1" ht="18.75" hidden="1" customHeight="1">
      <c r="A291" s="1672" t="s">
        <v>244</v>
      </c>
      <c r="B291" s="1672" t="s">
        <v>245</v>
      </c>
      <c r="C291" s="303"/>
      <c r="D291" s="3941"/>
      <c r="E291" s="3692"/>
      <c r="F291" s="3838" t="str">
        <f>INDEX(PT_DIFFERENTIATION_VTAR,MATCH(A291,PT_DIFFERENTIATION_VTAR_ID,0))</f>
        <v>Плата за подключение (технологическое присоединение) к системе теплоснабжения</v>
      </c>
      <c r="G291" s="3910" t="str">
        <f>INDEX(PT_DIFFERENTIATION_NTAR,MATCH(B291,PT_DIFFERENTIATION_NTAR_ID,0))</f>
        <v/>
      </c>
      <c r="H291" s="1751"/>
      <c r="I291" s="1632"/>
      <c r="J291" s="1666"/>
      <c r="K291" s="1670"/>
      <c r="L291" s="1751" t="s">
        <v>351</v>
      </c>
      <c r="M291" s="276"/>
      <c r="N291" s="269"/>
      <c r="O291" s="1546"/>
      <c r="P291" s="1546"/>
      <c r="AH291" s="1553">
        <v>0</v>
      </c>
    </row>
    <row r="292" spans="1:34" s="1557" customFormat="1" ht="18.75" hidden="1" customHeight="1">
      <c r="A292" s="1672"/>
      <c r="B292" s="1672"/>
      <c r="C292" s="303" t="s">
        <v>1668</v>
      </c>
      <c r="D292" s="3941"/>
      <c r="E292" s="3692"/>
      <c r="F292" s="3838"/>
      <c r="G292" s="3910"/>
      <c r="H292" s="1422"/>
      <c r="I292" s="585" t="s">
        <v>1667</v>
      </c>
      <c r="J292" s="505"/>
      <c r="K292" s="1422"/>
      <c r="L292" s="149"/>
      <c r="M292" s="276"/>
      <c r="N292" s="269"/>
      <c r="O292" s="1546"/>
      <c r="P292" s="1546"/>
      <c r="AH292" s="1553">
        <v>0</v>
      </c>
    </row>
    <row r="293" spans="1:34" s="1557" customFormat="1" ht="0.75" hidden="1" customHeight="1">
      <c r="A293" s="1672"/>
      <c r="B293" s="1672"/>
      <c r="C293" s="303" t="s">
        <v>1675</v>
      </c>
      <c r="D293" s="3941"/>
      <c r="E293" s="3692"/>
      <c r="F293" s="3838"/>
      <c r="G293" s="334"/>
      <c r="H293" s="1422"/>
      <c r="I293" s="585"/>
      <c r="J293" s="505"/>
      <c r="K293" s="1422"/>
      <c r="L293" s="149"/>
      <c r="M293" s="276"/>
      <c r="N293" s="269"/>
      <c r="O293" s="1546"/>
      <c r="P293" s="1546"/>
      <c r="AH293" s="1553">
        <v>0</v>
      </c>
    </row>
    <row r="294" spans="1:34" s="1557" customFormat="1" ht="18.75" hidden="1" customHeight="1">
      <c r="A294" s="1672" t="s">
        <v>250</v>
      </c>
      <c r="B294" s="1672" t="s">
        <v>251</v>
      </c>
      <c r="C294" s="303"/>
      <c r="D294" s="3941"/>
      <c r="E294" s="3692"/>
      <c r="F294" s="3838" t="str">
        <f>INDEX(PT_DIFFERENTIATION_VTAR,MATCH(A294,PT_DIFFERENTIATION_VTAR_ID,0))</f>
        <v>Плата за подключение (технологическое присоединение) к системе теплоснабжения (индивидуальная)</v>
      </c>
      <c r="G294" s="3910" t="str">
        <f>INDEX(PT_DIFFERENTIATION_NTAR,MATCH(B294,PT_DIFFERENTIATION_NTAR_ID,0))</f>
        <v/>
      </c>
      <c r="H294" s="1875"/>
      <c r="I294" s="1632"/>
      <c r="J294" s="1666"/>
      <c r="K294" s="1670"/>
      <c r="L294" s="1875" t="s">
        <v>351</v>
      </c>
      <c r="M294" s="276"/>
      <c r="N294" s="269"/>
      <c r="O294" s="1546"/>
      <c r="P294" s="1546"/>
      <c r="AH294" s="1553">
        <v>0</v>
      </c>
    </row>
    <row r="295" spans="1:34" s="1557" customFormat="1" ht="18.75" hidden="1" customHeight="1">
      <c r="A295" s="1672"/>
      <c r="B295" s="1672"/>
      <c r="C295" s="303" t="s">
        <v>1668</v>
      </c>
      <c r="D295" s="3941"/>
      <c r="E295" s="3692"/>
      <c r="F295" s="3838"/>
      <c r="G295" s="3910"/>
      <c r="H295" s="1422"/>
      <c r="I295" s="585" t="s">
        <v>1667</v>
      </c>
      <c r="J295" s="505"/>
      <c r="K295" s="1422"/>
      <c r="L295" s="149"/>
      <c r="M295" s="276"/>
      <c r="N295" s="269"/>
      <c r="O295" s="1546"/>
      <c r="P295" s="1546"/>
      <c r="AH295" s="1553">
        <v>0</v>
      </c>
    </row>
    <row r="296" spans="1:34" s="1557" customFormat="1" ht="0.75" hidden="1" customHeight="1">
      <c r="A296" s="1672"/>
      <c r="B296" s="1672"/>
      <c r="C296" s="303" t="s">
        <v>1675</v>
      </c>
      <c r="D296" s="3941"/>
      <c r="E296" s="3692"/>
      <c r="F296" s="3838"/>
      <c r="G296" s="334"/>
      <c r="H296" s="1422"/>
      <c r="I296" s="585"/>
      <c r="J296" s="505"/>
      <c r="K296" s="1422"/>
      <c r="L296" s="149"/>
      <c r="M296" s="276"/>
      <c r="N296" s="269"/>
      <c r="O296" s="1546"/>
      <c r="P296" s="1546"/>
      <c r="AH296" s="1553">
        <v>0</v>
      </c>
    </row>
    <row r="297" spans="1:34" s="1557" customFormat="1" ht="18.75" hidden="1" customHeight="1">
      <c r="A297" s="1672" t="s">
        <v>270</v>
      </c>
      <c r="B297" s="1672" t="s">
        <v>271</v>
      </c>
      <c r="C297" s="303"/>
      <c r="D297" s="3941"/>
      <c r="E297" s="3692"/>
      <c r="F297" s="3838" t="str">
        <f>INDEX(PT_DIFFERENTIATION_VTAR,MATCH(A297,PT_DIFFERENTIATION_VTAR_ID,0))</f>
        <v>Тариф на питьевую воду (питьевое водоснабжение)</v>
      </c>
      <c r="G297" s="3910" t="str">
        <f>INDEX(PT_DIFFERENTIATION_NTAR,MATCH(B297,PT_DIFFERENTIATION_NTAR_ID,0))</f>
        <v/>
      </c>
      <c r="H297" s="1751"/>
      <c r="I297" s="1632"/>
      <c r="J297" s="1666"/>
      <c r="K297" s="1670"/>
      <c r="L297" s="1751" t="s">
        <v>351</v>
      </c>
      <c r="M297" s="276"/>
      <c r="N297" s="269"/>
      <c r="O297" s="1546"/>
      <c r="P297" s="1546"/>
      <c r="AH297" s="1553">
        <v>0</v>
      </c>
    </row>
    <row r="298" spans="1:34" s="1557" customFormat="1" ht="18.75" hidden="1" customHeight="1">
      <c r="A298" s="1672"/>
      <c r="B298" s="1672"/>
      <c r="C298" s="303" t="s">
        <v>1668</v>
      </c>
      <c r="D298" s="3941"/>
      <c r="E298" s="3692"/>
      <c r="F298" s="3838"/>
      <c r="G298" s="3910"/>
      <c r="H298" s="1422"/>
      <c r="I298" s="585" t="s">
        <v>1667</v>
      </c>
      <c r="J298" s="505"/>
      <c r="K298" s="1422"/>
      <c r="L298" s="149"/>
      <c r="M298" s="276"/>
      <c r="N298" s="269"/>
      <c r="O298" s="1546"/>
      <c r="P298" s="1546"/>
      <c r="AH298" s="1553">
        <v>0</v>
      </c>
    </row>
    <row r="299" spans="1:34" s="1557" customFormat="1" ht="0.75" hidden="1" customHeight="1">
      <c r="A299" s="1672"/>
      <c r="B299" s="1672"/>
      <c r="C299" s="303" t="s">
        <v>1675</v>
      </c>
      <c r="D299" s="3941"/>
      <c r="E299" s="3692"/>
      <c r="F299" s="3838"/>
      <c r="G299" s="334"/>
      <c r="H299" s="1422"/>
      <c r="I299" s="585"/>
      <c r="J299" s="505"/>
      <c r="K299" s="1422"/>
      <c r="L299" s="149"/>
      <c r="M299" s="276"/>
      <c r="N299" s="269"/>
      <c r="O299" s="1546"/>
      <c r="P299" s="1546"/>
      <c r="AH299" s="1553">
        <v>0</v>
      </c>
    </row>
    <row r="300" spans="1:34" s="1557" customFormat="1" ht="18.75" hidden="1" customHeight="1">
      <c r="A300" s="1672" t="s">
        <v>275</v>
      </c>
      <c r="B300" s="1672" t="s">
        <v>276</v>
      </c>
      <c r="C300" s="303"/>
      <c r="D300" s="3941"/>
      <c r="E300" s="3692"/>
      <c r="F300" s="3838" t="str">
        <f>INDEX(PT_DIFFERENTIATION_VTAR,MATCH(A300,PT_DIFFERENTIATION_VTAR_ID,0))</f>
        <v>Тариф на техническую воду</v>
      </c>
      <c r="G300" s="3910" t="str">
        <f>INDEX(PT_DIFFERENTIATION_NTAR,MATCH(B300,PT_DIFFERENTIATION_NTAR_ID,0))</f>
        <v/>
      </c>
      <c r="H300" s="1751"/>
      <c r="I300" s="1632"/>
      <c r="J300" s="1666"/>
      <c r="K300" s="1670"/>
      <c r="L300" s="1751" t="s">
        <v>351</v>
      </c>
      <c r="M300" s="276"/>
      <c r="N300" s="269"/>
      <c r="O300" s="1546"/>
      <c r="P300" s="1546"/>
      <c r="AH300" s="1553">
        <v>0</v>
      </c>
    </row>
    <row r="301" spans="1:34" s="1557" customFormat="1" ht="18.75" hidden="1" customHeight="1">
      <c r="A301" s="1672"/>
      <c r="B301" s="1672"/>
      <c r="C301" s="303" t="s">
        <v>1668</v>
      </c>
      <c r="D301" s="3941"/>
      <c r="E301" s="3692"/>
      <c r="F301" s="3838"/>
      <c r="G301" s="3910"/>
      <c r="H301" s="1422"/>
      <c r="I301" s="585" t="s">
        <v>1667</v>
      </c>
      <c r="J301" s="505"/>
      <c r="K301" s="1422"/>
      <c r="L301" s="149"/>
      <c r="M301" s="276"/>
      <c r="N301" s="269"/>
      <c r="O301" s="1546"/>
      <c r="P301" s="1546"/>
      <c r="AH301" s="1553">
        <v>0</v>
      </c>
    </row>
    <row r="302" spans="1:34" s="1557" customFormat="1" ht="0.75" hidden="1" customHeight="1">
      <c r="A302" s="1672"/>
      <c r="B302" s="1672"/>
      <c r="C302" s="303" t="s">
        <v>1675</v>
      </c>
      <c r="D302" s="3941"/>
      <c r="E302" s="3692"/>
      <c r="F302" s="3838"/>
      <c r="G302" s="334"/>
      <c r="H302" s="1422"/>
      <c r="I302" s="585"/>
      <c r="J302" s="505"/>
      <c r="K302" s="1422"/>
      <c r="L302" s="149"/>
      <c r="M302" s="276"/>
      <c r="N302" s="269"/>
      <c r="O302" s="1546"/>
      <c r="P302" s="1546"/>
      <c r="AH302" s="1553">
        <v>0</v>
      </c>
    </row>
    <row r="303" spans="1:34" s="1557" customFormat="1" ht="18.75" hidden="1" customHeight="1">
      <c r="A303" s="1672" t="s">
        <v>280</v>
      </c>
      <c r="B303" s="1672" t="s">
        <v>281</v>
      </c>
      <c r="C303" s="303"/>
      <c r="D303" s="3941"/>
      <c r="E303" s="3692"/>
      <c r="F303" s="3838" t="str">
        <f>INDEX(PT_DIFFERENTIATION_VTAR,MATCH(A303,PT_DIFFERENTIATION_VTAR_ID,0))</f>
        <v>Тариф на транспортировку воды</v>
      </c>
      <c r="G303" s="3910" t="str">
        <f>INDEX(PT_DIFFERENTIATION_NTAR,MATCH(B303,PT_DIFFERENTIATION_NTAR_ID,0))</f>
        <v/>
      </c>
      <c r="H303" s="1751"/>
      <c r="I303" s="1632"/>
      <c r="J303" s="1666"/>
      <c r="K303" s="1670"/>
      <c r="L303" s="1751" t="s">
        <v>351</v>
      </c>
      <c r="M303" s="276"/>
      <c r="N303" s="269"/>
      <c r="O303" s="1546"/>
      <c r="P303" s="1546"/>
      <c r="AH303" s="1553">
        <v>0</v>
      </c>
    </row>
    <row r="304" spans="1:34" s="1557" customFormat="1" ht="18.75" hidden="1" customHeight="1">
      <c r="A304" s="1672"/>
      <c r="B304" s="1672"/>
      <c r="C304" s="303" t="s">
        <v>1668</v>
      </c>
      <c r="D304" s="3941"/>
      <c r="E304" s="3692"/>
      <c r="F304" s="3838"/>
      <c r="G304" s="3910"/>
      <c r="H304" s="1422"/>
      <c r="I304" s="585" t="s">
        <v>1667</v>
      </c>
      <c r="J304" s="505"/>
      <c r="K304" s="1422"/>
      <c r="L304" s="149"/>
      <c r="M304" s="276"/>
      <c r="N304" s="269"/>
      <c r="O304" s="1546"/>
      <c r="P304" s="1546"/>
      <c r="AH304" s="1553">
        <v>0</v>
      </c>
    </row>
    <row r="305" spans="1:34" s="1557" customFormat="1" ht="0.75" hidden="1" customHeight="1">
      <c r="A305" s="1672"/>
      <c r="B305" s="1672"/>
      <c r="C305" s="303" t="s">
        <v>1675</v>
      </c>
      <c r="D305" s="3941"/>
      <c r="E305" s="3692"/>
      <c r="F305" s="3838"/>
      <c r="G305" s="334"/>
      <c r="H305" s="1422"/>
      <c r="I305" s="585"/>
      <c r="J305" s="505"/>
      <c r="K305" s="1422"/>
      <c r="L305" s="149"/>
      <c r="M305" s="276"/>
      <c r="N305" s="269"/>
      <c r="O305" s="1546"/>
      <c r="P305" s="1546"/>
      <c r="AH305" s="1553">
        <v>0</v>
      </c>
    </row>
    <row r="306" spans="1:34" s="1557" customFormat="1" ht="18.75" hidden="1" customHeight="1">
      <c r="A306" s="1672" t="s">
        <v>285</v>
      </c>
      <c r="B306" s="1672" t="s">
        <v>286</v>
      </c>
      <c r="C306" s="303"/>
      <c r="D306" s="3941"/>
      <c r="E306" s="3692"/>
      <c r="F306" s="3838" t="str">
        <f>INDEX(PT_DIFFERENTIATION_VTAR,MATCH(A306,PT_DIFFERENTIATION_VTAR_ID,0))</f>
        <v>Тариф на подвоз воды</v>
      </c>
      <c r="G306" s="3910" t="str">
        <f>INDEX(PT_DIFFERENTIATION_NTAR,MATCH(B306,PT_DIFFERENTIATION_NTAR_ID,0))</f>
        <v/>
      </c>
      <c r="H306" s="1751"/>
      <c r="I306" s="1632"/>
      <c r="J306" s="1666"/>
      <c r="K306" s="1670"/>
      <c r="L306" s="1751" t="s">
        <v>351</v>
      </c>
      <c r="M306" s="276"/>
      <c r="N306" s="269"/>
      <c r="O306" s="1546"/>
      <c r="P306" s="1546"/>
      <c r="AH306" s="1553">
        <v>0</v>
      </c>
    </row>
    <row r="307" spans="1:34" s="1557" customFormat="1" ht="18.75" hidden="1" customHeight="1">
      <c r="A307" s="1672"/>
      <c r="B307" s="1672"/>
      <c r="C307" s="303" t="s">
        <v>1668</v>
      </c>
      <c r="D307" s="3941"/>
      <c r="E307" s="3692"/>
      <c r="F307" s="3838"/>
      <c r="G307" s="3910"/>
      <c r="H307" s="1422"/>
      <c r="I307" s="585" t="s">
        <v>1667</v>
      </c>
      <c r="J307" s="505"/>
      <c r="K307" s="1422"/>
      <c r="L307" s="149"/>
      <c r="M307" s="276"/>
      <c r="N307" s="269"/>
      <c r="O307" s="1546"/>
      <c r="P307" s="1546"/>
      <c r="AH307" s="1553">
        <v>0</v>
      </c>
    </row>
    <row r="308" spans="1:34" s="1557" customFormat="1" ht="0.75" hidden="1" customHeight="1">
      <c r="A308" s="1672"/>
      <c r="B308" s="1672"/>
      <c r="C308" s="303" t="s">
        <v>1675</v>
      </c>
      <c r="D308" s="3941"/>
      <c r="E308" s="3692"/>
      <c r="F308" s="3838"/>
      <c r="G308" s="334"/>
      <c r="H308" s="1422"/>
      <c r="I308" s="585"/>
      <c r="J308" s="505"/>
      <c r="K308" s="1422"/>
      <c r="L308" s="149"/>
      <c r="M308" s="276"/>
      <c r="N308" s="269"/>
      <c r="O308" s="1546"/>
      <c r="P308" s="1546"/>
      <c r="AH308" s="1553">
        <v>0</v>
      </c>
    </row>
    <row r="309" spans="1:34" s="1557" customFormat="1" ht="18.75" hidden="1" customHeight="1">
      <c r="A309" s="1672" t="s">
        <v>290</v>
      </c>
      <c r="B309" s="1672" t="s">
        <v>291</v>
      </c>
      <c r="C309" s="303"/>
      <c r="D309" s="3941"/>
      <c r="E309" s="3692"/>
      <c r="F309" s="38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910" t="str">
        <f>INDEX(PT_DIFFERENTIATION_NTAR,MATCH(B309,PT_DIFFERENTIATION_NTAR_ID,0))</f>
        <v/>
      </c>
      <c r="H309" s="1751"/>
      <c r="I309" s="1632"/>
      <c r="J309" s="1666"/>
      <c r="K309" s="1670"/>
      <c r="L309" s="1751" t="s">
        <v>351</v>
      </c>
      <c r="M309" s="276"/>
      <c r="N309" s="269"/>
      <c r="O309" s="1546"/>
      <c r="P309" s="1546"/>
      <c r="AH309" s="1553">
        <v>0</v>
      </c>
    </row>
    <row r="310" spans="1:34" s="1557" customFormat="1" ht="18.75" hidden="1" customHeight="1">
      <c r="A310" s="1672"/>
      <c r="B310" s="1672"/>
      <c r="C310" s="303" t="s">
        <v>1668</v>
      </c>
      <c r="D310" s="3941"/>
      <c r="E310" s="3692"/>
      <c r="F310" s="3838"/>
      <c r="G310" s="3910"/>
      <c r="H310" s="1422"/>
      <c r="I310" s="585" t="s">
        <v>1667</v>
      </c>
      <c r="J310" s="505"/>
      <c r="K310" s="1422"/>
      <c r="L310" s="149"/>
      <c r="M310" s="276"/>
      <c r="N310" s="269"/>
      <c r="O310" s="1546"/>
      <c r="P310" s="1546"/>
      <c r="AH310" s="1553">
        <v>0</v>
      </c>
    </row>
    <row r="311" spans="1:34" s="1557" customFormat="1" ht="0.75" hidden="1" customHeight="1">
      <c r="A311" s="1672"/>
      <c r="B311" s="1672"/>
      <c r="C311" s="303" t="s">
        <v>1675</v>
      </c>
      <c r="D311" s="3941"/>
      <c r="E311" s="3692"/>
      <c r="F311" s="3838"/>
      <c r="G311" s="334"/>
      <c r="H311" s="1422"/>
      <c r="I311" s="585"/>
      <c r="J311" s="505"/>
      <c r="K311" s="1422"/>
      <c r="L311" s="149"/>
      <c r="M311" s="276"/>
      <c r="N311" s="269"/>
      <c r="O311" s="1546"/>
      <c r="P311" s="1546"/>
      <c r="AH311" s="1553">
        <v>0</v>
      </c>
    </row>
    <row r="312" spans="1:34" s="1557" customFormat="1" ht="18.75" hidden="1" customHeight="1">
      <c r="A312" s="1672" t="s">
        <v>295</v>
      </c>
      <c r="B312" s="1672" t="s">
        <v>296</v>
      </c>
      <c r="C312" s="303"/>
      <c r="D312" s="3941"/>
      <c r="E312" s="3692"/>
      <c r="F312" s="3838" t="str">
        <f>INDEX(PT_DIFFERENTIATION_VTAR,MATCH(A312,PT_DIFFERENTIATION_VTAR_ID,0))</f>
        <v>Тариф на горячую воду (горячее водоснабжение)</v>
      </c>
      <c r="G312" s="3910" t="str">
        <f>INDEX(PT_DIFFERENTIATION_NTAR,MATCH(B312,PT_DIFFERENTIATION_NTAR_ID,0))</f>
        <v/>
      </c>
      <c r="H312" s="1751"/>
      <c r="I312" s="1632"/>
      <c r="J312" s="1666"/>
      <c r="K312" s="1670"/>
      <c r="L312" s="1751" t="s">
        <v>351</v>
      </c>
      <c r="M312" s="276"/>
      <c r="N312" s="269"/>
      <c r="O312" s="1546"/>
      <c r="P312" s="1546"/>
      <c r="AH312" s="1553">
        <v>0</v>
      </c>
    </row>
    <row r="313" spans="1:34" s="1557" customFormat="1" ht="18.75" hidden="1" customHeight="1">
      <c r="A313" s="1672"/>
      <c r="B313" s="1672"/>
      <c r="C313" s="303" t="s">
        <v>1668</v>
      </c>
      <c r="D313" s="3941"/>
      <c r="E313" s="3692"/>
      <c r="F313" s="3838"/>
      <c r="G313" s="3910"/>
      <c r="H313" s="1422"/>
      <c r="I313" s="585" t="s">
        <v>1667</v>
      </c>
      <c r="J313" s="505"/>
      <c r="K313" s="1422"/>
      <c r="L313" s="149"/>
      <c r="M313" s="276"/>
      <c r="N313" s="269"/>
      <c r="O313" s="1546"/>
      <c r="P313" s="1546"/>
      <c r="AH313" s="1553">
        <v>0</v>
      </c>
    </row>
    <row r="314" spans="1:34" s="1557" customFormat="1" ht="0.75" hidden="1" customHeight="1">
      <c r="A314" s="1672"/>
      <c r="B314" s="1672"/>
      <c r="C314" s="303" t="s">
        <v>1675</v>
      </c>
      <c r="D314" s="3941"/>
      <c r="E314" s="3692"/>
      <c r="F314" s="3838"/>
      <c r="G314" s="334"/>
      <c r="H314" s="1422"/>
      <c r="I314" s="585"/>
      <c r="J314" s="505"/>
      <c r="K314" s="1422"/>
      <c r="L314" s="149"/>
      <c r="M314" s="276"/>
      <c r="N314" s="269"/>
      <c r="O314" s="1546"/>
      <c r="P314" s="1546"/>
      <c r="AH314" s="1553">
        <v>0</v>
      </c>
    </row>
    <row r="315" spans="1:34" s="1557" customFormat="1" ht="18.75" hidden="1" customHeight="1">
      <c r="A315" s="1672" t="s">
        <v>300</v>
      </c>
      <c r="B315" s="1672" t="s">
        <v>301</v>
      </c>
      <c r="C315" s="303"/>
      <c r="D315" s="3941"/>
      <c r="E315" s="3692"/>
      <c r="F315" s="3838" t="str">
        <f>INDEX(PT_DIFFERENTIATION_VTAR,MATCH(A315,PT_DIFFERENTIATION_VTAR_ID,0))</f>
        <v>Тариф на транспортировку горячей воды</v>
      </c>
      <c r="G315" s="3910" t="str">
        <f>INDEX(PT_DIFFERENTIATION_NTAR,MATCH(B315,PT_DIFFERENTIATION_NTAR_ID,0))</f>
        <v/>
      </c>
      <c r="H315" s="1751"/>
      <c r="I315" s="1632"/>
      <c r="J315" s="1666"/>
      <c r="K315" s="1670"/>
      <c r="L315" s="1751" t="s">
        <v>351</v>
      </c>
      <c r="M315" s="276"/>
      <c r="N315" s="269"/>
      <c r="O315" s="1546"/>
      <c r="P315" s="1546"/>
      <c r="AH315" s="1553">
        <v>0</v>
      </c>
    </row>
    <row r="316" spans="1:34" s="1557" customFormat="1" ht="18.75" hidden="1" customHeight="1">
      <c r="A316" s="1672"/>
      <c r="B316" s="1672"/>
      <c r="C316" s="303" t="s">
        <v>1668</v>
      </c>
      <c r="D316" s="3941"/>
      <c r="E316" s="3692"/>
      <c r="F316" s="3838"/>
      <c r="G316" s="3910"/>
      <c r="H316" s="1422"/>
      <c r="I316" s="585" t="s">
        <v>1667</v>
      </c>
      <c r="J316" s="505"/>
      <c r="K316" s="1422"/>
      <c r="L316" s="149"/>
      <c r="M316" s="276"/>
      <c r="N316" s="269"/>
      <c r="O316" s="1546"/>
      <c r="P316" s="1546"/>
      <c r="AH316" s="1553">
        <v>0</v>
      </c>
    </row>
    <row r="317" spans="1:34" s="1557" customFormat="1" ht="0.75" hidden="1" customHeight="1">
      <c r="A317" s="1672"/>
      <c r="B317" s="1672"/>
      <c r="C317" s="303" t="s">
        <v>1675</v>
      </c>
      <c r="D317" s="3941"/>
      <c r="E317" s="3692"/>
      <c r="F317" s="3838"/>
      <c r="G317" s="334"/>
      <c r="H317" s="1422"/>
      <c r="I317" s="585"/>
      <c r="J317" s="505"/>
      <c r="K317" s="1422"/>
      <c r="L317" s="149"/>
      <c r="M317" s="276"/>
      <c r="N317" s="269"/>
      <c r="O317" s="1546"/>
      <c r="P317" s="1546"/>
      <c r="AH317" s="1553">
        <v>0</v>
      </c>
    </row>
    <row r="318" spans="1:34" s="1557" customFormat="1" ht="18.75" hidden="1" customHeight="1">
      <c r="A318" s="1672" t="s">
        <v>305</v>
      </c>
      <c r="B318" s="1672" t="s">
        <v>306</v>
      </c>
      <c r="C318" s="303"/>
      <c r="D318" s="3941"/>
      <c r="E318" s="3692"/>
      <c r="F318" s="38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3910" t="str">
        <f>INDEX(PT_DIFFERENTIATION_NTAR,MATCH(B318,PT_DIFFERENTIATION_NTAR_ID,0))</f>
        <v/>
      </c>
      <c r="H318" s="1751"/>
      <c r="I318" s="1632"/>
      <c r="J318" s="1666"/>
      <c r="K318" s="1670"/>
      <c r="L318" s="1751" t="s">
        <v>351</v>
      </c>
      <c r="M318" s="276"/>
      <c r="N318" s="269"/>
      <c r="O318" s="1546"/>
      <c r="P318" s="1546"/>
      <c r="AH318" s="1553">
        <v>0</v>
      </c>
    </row>
    <row r="319" spans="1:34" s="1557" customFormat="1" ht="18.75" hidden="1" customHeight="1">
      <c r="A319" s="1672"/>
      <c r="B319" s="1672"/>
      <c r="C319" s="303" t="s">
        <v>1668</v>
      </c>
      <c r="D319" s="3941"/>
      <c r="E319" s="3692"/>
      <c r="F319" s="3838"/>
      <c r="G319" s="3910"/>
      <c r="H319" s="1422"/>
      <c r="I319" s="585" t="s">
        <v>1667</v>
      </c>
      <c r="J319" s="505"/>
      <c r="K319" s="1422"/>
      <c r="L319" s="149"/>
      <c r="M319" s="276"/>
      <c r="N319" s="269"/>
      <c r="O319" s="1546"/>
      <c r="P319" s="1546"/>
      <c r="AH319" s="1553">
        <v>0</v>
      </c>
    </row>
    <row r="320" spans="1:34" s="1557" customFormat="1" ht="0.75" hidden="1" customHeight="1">
      <c r="A320" s="1672"/>
      <c r="B320" s="1672"/>
      <c r="C320" s="303" t="s">
        <v>1675</v>
      </c>
      <c r="D320" s="3941"/>
      <c r="E320" s="3692"/>
      <c r="F320" s="3838"/>
      <c r="G320" s="334"/>
      <c r="H320" s="1422"/>
      <c r="I320" s="585"/>
      <c r="J320" s="505"/>
      <c r="K320" s="1422"/>
      <c r="L320" s="149"/>
      <c r="M320" s="276"/>
      <c r="N320" s="269"/>
      <c r="O320" s="1546"/>
      <c r="P320" s="1546"/>
      <c r="AH320" s="1553">
        <v>0</v>
      </c>
    </row>
    <row r="321" spans="1:34" s="1557" customFormat="1" ht="18.75" hidden="1" customHeight="1">
      <c r="A321" s="1672" t="s">
        <v>310</v>
      </c>
      <c r="B321" s="1672" t="s">
        <v>311</v>
      </c>
      <c r="C321" s="303"/>
      <c r="D321" s="3941"/>
      <c r="E321" s="3692"/>
      <c r="F321" s="3838" t="str">
        <f>INDEX(PT_DIFFERENTIATION_VTAR,MATCH(A321,PT_DIFFERENTIATION_VTAR_ID,0))</f>
        <v>Тариф на водоотведение</v>
      </c>
      <c r="G321" s="3910" t="str">
        <f>INDEX(PT_DIFFERENTIATION_NTAR,MATCH(B321,PT_DIFFERENTIATION_NTAR_ID,0))</f>
        <v/>
      </c>
      <c r="H321" s="1751"/>
      <c r="I321" s="1632"/>
      <c r="J321" s="1666"/>
      <c r="K321" s="1670"/>
      <c r="L321" s="1751" t="s">
        <v>351</v>
      </c>
      <c r="M321" s="276"/>
      <c r="N321" s="269"/>
      <c r="O321" s="1546"/>
      <c r="P321" s="1546"/>
      <c r="AH321" s="1553">
        <v>0</v>
      </c>
    </row>
    <row r="322" spans="1:34" s="1557" customFormat="1" ht="18.75" hidden="1" customHeight="1">
      <c r="A322" s="1672"/>
      <c r="B322" s="1672"/>
      <c r="C322" s="303" t="s">
        <v>1668</v>
      </c>
      <c r="D322" s="3941"/>
      <c r="E322" s="3692"/>
      <c r="F322" s="3838"/>
      <c r="G322" s="3910"/>
      <c r="H322" s="1422"/>
      <c r="I322" s="585" t="s">
        <v>1667</v>
      </c>
      <c r="J322" s="505"/>
      <c r="K322" s="1422"/>
      <c r="L322" s="149"/>
      <c r="M322" s="276"/>
      <c r="N322" s="269"/>
      <c r="O322" s="1546"/>
      <c r="P322" s="1546"/>
      <c r="AH322" s="1553">
        <v>0</v>
      </c>
    </row>
    <row r="323" spans="1:34" s="1557" customFormat="1" ht="0.75" hidden="1" customHeight="1">
      <c r="A323" s="1672"/>
      <c r="B323" s="1672"/>
      <c r="C323" s="303" t="s">
        <v>1675</v>
      </c>
      <c r="D323" s="3941"/>
      <c r="E323" s="3692"/>
      <c r="F323" s="3838"/>
      <c r="G323" s="334"/>
      <c r="H323" s="1422"/>
      <c r="I323" s="585"/>
      <c r="J323" s="505"/>
      <c r="K323" s="1422"/>
      <c r="L323" s="149"/>
      <c r="M323" s="276"/>
      <c r="N323" s="269"/>
      <c r="O323" s="1546"/>
      <c r="P323" s="1546"/>
      <c r="AH323" s="1553">
        <v>0</v>
      </c>
    </row>
    <row r="324" spans="1:34" s="1557" customFormat="1" ht="18.75" hidden="1" customHeight="1">
      <c r="A324" s="1672" t="s">
        <v>315</v>
      </c>
      <c r="B324" s="1672" t="s">
        <v>316</v>
      </c>
      <c r="C324" s="303"/>
      <c r="D324" s="3941"/>
      <c r="E324" s="3692"/>
      <c r="F324" s="3838" t="str">
        <f>INDEX(PT_DIFFERENTIATION_VTAR,MATCH(A324,PT_DIFFERENTIATION_VTAR_ID,0))</f>
        <v>Тариф на транспортировку сточных вод</v>
      </c>
      <c r="G324" s="3910" t="str">
        <f>INDEX(PT_DIFFERENTIATION_NTAR,MATCH(B324,PT_DIFFERENTIATION_NTAR_ID,0))</f>
        <v/>
      </c>
      <c r="H324" s="1751"/>
      <c r="I324" s="1632"/>
      <c r="J324" s="1666"/>
      <c r="K324" s="1670"/>
      <c r="L324" s="1751" t="s">
        <v>351</v>
      </c>
      <c r="M324" s="276"/>
      <c r="N324" s="269"/>
      <c r="O324" s="1546"/>
      <c r="P324" s="1546"/>
      <c r="AH324" s="1553">
        <v>0</v>
      </c>
    </row>
    <row r="325" spans="1:34" s="1557" customFormat="1" ht="18.75" hidden="1" customHeight="1">
      <c r="A325" s="1672"/>
      <c r="B325" s="1672"/>
      <c r="C325" s="303" t="s">
        <v>1668</v>
      </c>
      <c r="D325" s="3941"/>
      <c r="E325" s="3692"/>
      <c r="F325" s="3838"/>
      <c r="G325" s="3910"/>
      <c r="H325" s="1422"/>
      <c r="I325" s="585" t="s">
        <v>1667</v>
      </c>
      <c r="J325" s="505"/>
      <c r="K325" s="1422"/>
      <c r="L325" s="149"/>
      <c r="M325" s="276"/>
      <c r="N325" s="269"/>
      <c r="O325" s="1546"/>
      <c r="P325" s="1546"/>
      <c r="AH325" s="1553">
        <v>0</v>
      </c>
    </row>
    <row r="326" spans="1:34" s="1557" customFormat="1" ht="0.75" hidden="1" customHeight="1">
      <c r="A326" s="1672"/>
      <c r="B326" s="1672"/>
      <c r="C326" s="303" t="s">
        <v>1675</v>
      </c>
      <c r="D326" s="3941"/>
      <c r="E326" s="3692"/>
      <c r="F326" s="3838"/>
      <c r="G326" s="334"/>
      <c r="H326" s="1422"/>
      <c r="I326" s="585"/>
      <c r="J326" s="505"/>
      <c r="K326" s="1422"/>
      <c r="L326" s="149"/>
      <c r="M326" s="276"/>
      <c r="N326" s="269"/>
      <c r="O326" s="1546"/>
      <c r="P326" s="1546"/>
      <c r="AH326" s="1553">
        <v>0</v>
      </c>
    </row>
    <row r="327" spans="1:34" s="1557" customFormat="1" ht="18.75" hidden="1" customHeight="1">
      <c r="A327" s="1672" t="s">
        <v>320</v>
      </c>
      <c r="B327" s="1672" t="s">
        <v>321</v>
      </c>
      <c r="C327" s="303"/>
      <c r="D327" s="3941"/>
      <c r="E327" s="3692"/>
      <c r="F327" s="3838" t="str">
        <f>INDEX(PT_DIFFERENTIATION_VTAR,MATCH(A327,PT_DIFFERENTIATION_VTAR_ID,0))</f>
        <v>Тариф на подключение (технологическое присоединение) к централизованной системе водоотведения</v>
      </c>
      <c r="G327" s="3910" t="str">
        <f>INDEX(PT_DIFFERENTIATION_NTAR,MATCH(B327,PT_DIFFERENTIATION_NTAR_ID,0))</f>
        <v/>
      </c>
      <c r="H327" s="1751"/>
      <c r="I327" s="1632"/>
      <c r="J327" s="1666"/>
      <c r="K327" s="1670"/>
      <c r="L327" s="1751" t="s">
        <v>351</v>
      </c>
      <c r="M327" s="276"/>
      <c r="N327" s="269"/>
      <c r="O327" s="1546"/>
      <c r="P327" s="1546"/>
      <c r="AH327" s="1553">
        <v>0</v>
      </c>
    </row>
    <row r="328" spans="1:34" s="1557" customFormat="1" ht="18.75" hidden="1" customHeight="1">
      <c r="A328" s="1672"/>
      <c r="B328" s="1672"/>
      <c r="C328" s="303" t="s">
        <v>1668</v>
      </c>
      <c r="D328" s="3941"/>
      <c r="E328" s="3692"/>
      <c r="F328" s="3838"/>
      <c r="G328" s="3910"/>
      <c r="H328" s="1422"/>
      <c r="I328" s="585" t="s">
        <v>1667</v>
      </c>
      <c r="J328" s="505"/>
      <c r="K328" s="1422"/>
      <c r="L328" s="149"/>
      <c r="M328" s="276"/>
      <c r="N328" s="269"/>
      <c r="O328" s="1546"/>
      <c r="P328" s="1546"/>
      <c r="AH328" s="1553">
        <v>0</v>
      </c>
    </row>
    <row r="329" spans="1:34" s="1557" customFormat="1" ht="1.1499999999999999" customHeight="1">
      <c r="A329" s="1672"/>
      <c r="B329" s="1672"/>
      <c r="C329" s="303" t="s">
        <v>1675</v>
      </c>
      <c r="D329" s="3941"/>
      <c r="E329" s="3692"/>
      <c r="F329" s="3838"/>
      <c r="G329" s="334"/>
      <c r="H329" s="1422"/>
      <c r="I329" s="585"/>
      <c r="J329" s="505"/>
      <c r="K329" s="1422"/>
      <c r="L329" s="149"/>
      <c r="M329" s="276"/>
      <c r="N329" s="269"/>
      <c r="O329" s="1546"/>
      <c r="P329" s="1546"/>
      <c r="AH329" s="1553">
        <v>1</v>
      </c>
    </row>
    <row r="330" spans="1:34" s="1714" customFormat="1" ht="3" customHeight="1">
      <c r="A330" s="1672"/>
      <c r="B330" s="1672"/>
      <c r="C330" s="1673"/>
      <c r="E330" s="336"/>
      <c r="F330" s="336"/>
      <c r="G330" s="336"/>
      <c r="H330" s="336"/>
      <c r="I330" s="336"/>
      <c r="J330" s="336"/>
      <c r="K330" s="336"/>
      <c r="L330" s="336"/>
      <c r="M330" s="336"/>
      <c r="O330" s="131"/>
      <c r="P330" s="131"/>
      <c r="AH330" s="77">
        <v>3</v>
      </c>
    </row>
    <row r="331" spans="1:34" ht="26.25" customHeight="1">
      <c r="E331" s="137"/>
      <c r="F331" s="3757"/>
      <c r="G331" s="3757"/>
      <c r="H331" s="3757"/>
      <c r="I331" s="3757"/>
      <c r="J331" s="3757"/>
      <c r="K331" s="3757"/>
      <c r="L331" s="3757"/>
      <c r="M331" s="3757"/>
      <c r="AH331" s="308">
        <v>25</v>
      </c>
    </row>
    <row r="332" spans="1:34" ht="14.25" hidden="1" customHeight="1">
      <c r="A332" s="1671" t="s">
        <v>70</v>
      </c>
      <c r="B332" s="1671">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991" hidden="1" customWidth="1"/>
    <col min="2" max="2" width="9.140625" style="1288" hidden="1" customWidth="1"/>
    <col min="3" max="3" width="3" style="279" customWidth="1"/>
    <col min="4" max="4" width="6" style="1557" customWidth="1"/>
    <col min="5" max="5" width="53" style="1557" customWidth="1"/>
    <col min="6" max="7" width="35" style="1557" customWidth="1"/>
    <col min="8" max="8" width="89" style="1557" customWidth="1"/>
    <col min="9" max="9" width="10" style="1557" customWidth="1"/>
    <col min="10" max="11" width="10" style="1546" customWidth="1"/>
    <col min="12" max="17" width="10" style="1557" customWidth="1"/>
    <col min="18" max="18" width="10.5703125" style="1557" hidden="1"/>
  </cols>
  <sheetData>
    <row r="1" spans="1:18" ht="22.5" hidden="1" customHeight="1">
      <c r="N1" s="190"/>
      <c r="O1" s="190"/>
      <c r="Q1" s="190"/>
      <c r="R1" s="308" t="s">
        <v>1</v>
      </c>
    </row>
    <row r="2" spans="1:18" s="1557" customFormat="1" ht="18.75" hidden="1" customHeight="1">
      <c r="A2" s="41"/>
      <c r="B2" s="1082"/>
      <c r="C2" s="1623" t="s">
        <v>90</v>
      </c>
      <c r="D2" s="1594"/>
      <c r="E2" s="1603"/>
      <c r="F2" s="192"/>
      <c r="G2" s="1083"/>
      <c r="H2" s="308"/>
      <c r="I2" s="1546"/>
      <c r="J2" s="1546"/>
      <c r="R2" s="1553">
        <v>0</v>
      </c>
    </row>
    <row r="3" spans="1:18" ht="14.25" hidden="1" customHeight="1">
      <c r="R3" s="308">
        <v>0</v>
      </c>
    </row>
    <row r="4" spans="1:18" ht="6.4" customHeight="1">
      <c r="C4" s="310"/>
      <c r="D4" s="297"/>
      <c r="E4" s="297"/>
      <c r="F4" s="297"/>
      <c r="G4" s="24"/>
      <c r="H4" s="24"/>
      <c r="R4" s="308">
        <v>6</v>
      </c>
    </row>
    <row r="5" spans="1:18" ht="34.5" customHeight="1">
      <c r="C5" s="310"/>
      <c r="D5" s="364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649"/>
      <c r="F5" s="3649"/>
      <c r="G5" s="3650"/>
      <c r="H5" s="201"/>
      <c r="R5" s="308">
        <v>33</v>
      </c>
    </row>
    <row r="6" spans="1:18" s="1557" customFormat="1" ht="18" customHeight="1">
      <c r="A6" s="1590"/>
      <c r="B6" s="1082"/>
      <c r="C6" s="310"/>
      <c r="D6" s="3702" t="str">
        <f>IF(org=0,"Не определено",org)</f>
        <v>ООО "Смоленскрегионтеплоэнерго"</v>
      </c>
      <c r="E6" s="3703"/>
      <c r="F6" s="3703"/>
      <c r="G6" s="3704"/>
      <c r="H6" s="201"/>
      <c r="J6" s="1546"/>
      <c r="K6" s="1546"/>
      <c r="R6" s="1553">
        <v>17</v>
      </c>
    </row>
    <row r="7" spans="1:18" ht="14.65" customHeight="1">
      <c r="C7" s="310"/>
      <c r="D7" s="297"/>
      <c r="E7" s="323"/>
      <c r="F7" s="323"/>
      <c r="G7" s="686"/>
      <c r="H7" s="128"/>
      <c r="R7" s="308">
        <v>14</v>
      </c>
    </row>
    <row r="8" spans="1:18" ht="14.65" customHeight="1">
      <c r="C8" s="310"/>
      <c r="D8" s="3697" t="s">
        <v>345</v>
      </c>
      <c r="E8" s="3697"/>
      <c r="F8" s="3697"/>
      <c r="G8" s="3697"/>
      <c r="H8" s="3843" t="s">
        <v>346</v>
      </c>
      <c r="R8" s="308">
        <v>14</v>
      </c>
    </row>
    <row r="9" spans="1:18" ht="24" customHeight="1">
      <c r="C9" s="310"/>
      <c r="D9" s="320" t="s">
        <v>76</v>
      </c>
      <c r="E9" s="46" t="s">
        <v>347</v>
      </c>
      <c r="F9" s="46" t="s">
        <v>348</v>
      </c>
      <c r="G9" s="46" t="s">
        <v>435</v>
      </c>
      <c r="H9" s="3843"/>
      <c r="R9" s="308">
        <v>23</v>
      </c>
    </row>
    <row r="10" spans="1:18" ht="14.65" customHeight="1">
      <c r="A10" s="278"/>
      <c r="C10" s="310"/>
      <c r="D10" s="83" t="s">
        <v>164</v>
      </c>
      <c r="E10" s="177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3660" t="s">
        <v>1676</v>
      </c>
      <c r="R10" s="308">
        <v>14</v>
      </c>
    </row>
    <row r="11" spans="1:18" ht="14.65" customHeight="1">
      <c r="A11" s="278"/>
      <c r="C11" s="310"/>
      <c r="D11" s="83" t="s">
        <v>89</v>
      </c>
      <c r="E11" s="177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3661"/>
      <c r="R11" s="308">
        <v>14</v>
      </c>
    </row>
    <row r="12" spans="1:18" ht="14.65" customHeight="1">
      <c r="A12" s="41"/>
      <c r="C12" s="321"/>
      <c r="D12" s="83" t="s">
        <v>78</v>
      </c>
      <c r="E12" s="322" t="str">
        <f>"Сведения о планировании закупочных процедур"&amp;IF(TEMPLATE_SPHERE="TKO"," &lt;1&gt;","")</f>
        <v>Сведения о планировании закупочных процедур</v>
      </c>
      <c r="F12" s="192"/>
      <c r="G12" s="148"/>
      <c r="H12" s="366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3" t="s">
        <v>79</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8"/>
      <c r="H13" s="3661"/>
      <c r="I13" s="284"/>
      <c r="K13" s="308"/>
      <c r="R13" s="308">
        <v>14</v>
      </c>
    </row>
    <row r="14" spans="1:18" ht="14.65" customHeight="1">
      <c r="A14" s="278"/>
      <c r="C14" s="310"/>
      <c r="D14" s="282"/>
      <c r="E14" s="329" t="s">
        <v>367</v>
      </c>
      <c r="F14" s="283"/>
      <c r="G14" s="136"/>
      <c r="H14" s="3662"/>
      <c r="R14" s="308">
        <v>14</v>
      </c>
    </row>
    <row r="15" spans="1:18" s="1557" customFormat="1" ht="14.65" customHeight="1">
      <c r="A15" s="278"/>
      <c r="B15" s="1082"/>
      <c r="C15" s="310"/>
      <c r="D15" s="330"/>
      <c r="E15" s="1598"/>
      <c r="F15" s="1599"/>
      <c r="G15" s="1600"/>
      <c r="H15" s="1601"/>
      <c r="J15" s="1546"/>
      <c r="K15" s="1546"/>
      <c r="R15" s="1553">
        <v>14</v>
      </c>
    </row>
    <row r="16" spans="1:18" ht="14.65" customHeight="1">
      <c r="D16" s="1602"/>
      <c r="E16" s="3757"/>
      <c r="F16" s="3757"/>
      <c r="G16" s="3757"/>
      <c r="H16" s="3757"/>
      <c r="R16" s="308">
        <v>14</v>
      </c>
    </row>
    <row r="17" spans="1:18" ht="22.5" hidden="1" customHeight="1">
      <c r="A17" s="298" t="s">
        <v>70</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4" hidden="1" customWidth="1"/>
    <col min="2" max="2" width="9.140625" style="1557" hidden="1" customWidth="1"/>
    <col min="3" max="3" width="4" style="617" customWidth="1"/>
    <col min="4" max="4" width="6" style="1557" customWidth="1"/>
    <col min="5" max="5" width="47" style="1557" customWidth="1"/>
    <col min="6" max="6" width="9" style="1557" customWidth="1"/>
    <col min="7" max="7" width="25.7109375" style="1557" hidden="1" customWidth="1"/>
    <col min="8" max="8" width="34" style="1557" hidden="1" customWidth="1"/>
    <col min="9" max="9" width="25.7109375" style="1557" customWidth="1"/>
    <col min="10" max="10" width="33" style="1557" customWidth="1"/>
    <col min="11" max="11" width="50" style="1288" customWidth="1"/>
    <col min="12" max="20" width="10" style="1557" customWidth="1"/>
    <col min="21" max="21" width="10" style="609" customWidth="1"/>
    <col min="22" max="22" width="10.5703125" style="1557" hidden="1"/>
  </cols>
  <sheetData>
    <row r="1" spans="1:22" s="1288" customFormat="1" ht="22.5" hidden="1" customHeight="1">
      <c r="C1" s="606"/>
      <c r="G1" s="351">
        <v>4</v>
      </c>
      <c r="I1" s="351">
        <v>4</v>
      </c>
      <c r="U1" s="354"/>
      <c r="V1" s="351" t="s">
        <v>1</v>
      </c>
    </row>
    <row r="2" spans="1:22" s="1557" customFormat="1" ht="15" hidden="1" customHeight="1">
      <c r="A2" s="296"/>
      <c r="C2" s="111"/>
      <c r="D2" s="281"/>
      <c r="E2" s="607"/>
      <c r="F2" s="456"/>
      <c r="G2" s="550"/>
      <c r="H2" s="550"/>
      <c r="I2" s="550"/>
      <c r="J2" s="550"/>
      <c r="U2" s="608"/>
      <c r="V2" s="443">
        <v>0</v>
      </c>
    </row>
    <row r="3" spans="1:22" s="1288" customFormat="1" ht="15" hidden="1" customHeight="1">
      <c r="C3" s="606"/>
      <c r="U3" s="354"/>
      <c r="V3" s="351">
        <v>0</v>
      </c>
    </row>
    <row r="4" spans="1:22" ht="15.75" customHeight="1">
      <c r="C4" s="111"/>
      <c r="D4" s="443"/>
      <c r="E4" s="443"/>
      <c r="F4" s="443"/>
      <c r="G4" s="443"/>
      <c r="H4" s="443"/>
      <c r="I4" s="443"/>
      <c r="J4" s="443"/>
      <c r="V4" s="439">
        <v>15</v>
      </c>
    </row>
    <row r="5" spans="1:22" ht="66" customHeight="1">
      <c r="C5" s="111"/>
      <c r="D5" s="3721" t="s">
        <v>1677</v>
      </c>
      <c r="E5" s="3721"/>
      <c r="F5" s="3721"/>
      <c r="G5" s="3721"/>
      <c r="H5" s="3721"/>
      <c r="I5" s="3721"/>
      <c r="J5" s="3721"/>
      <c r="V5" s="439">
        <v>63</v>
      </c>
    </row>
    <row r="6" spans="1:22" ht="15.75" customHeight="1">
      <c r="C6" s="111"/>
      <c r="D6" s="3667" t="str">
        <f>IF(org=0,"Не определено",org)</f>
        <v>ООО "Смоленскрегионтеплоэнерго"</v>
      </c>
      <c r="E6" s="3667"/>
      <c r="F6" s="3667"/>
      <c r="G6" s="3667"/>
      <c r="H6" s="3667"/>
      <c r="I6" s="3667"/>
      <c r="J6" s="3667"/>
      <c r="K6" s="471"/>
      <c r="V6" s="439">
        <v>15</v>
      </c>
    </row>
    <row r="7" spans="1:22" ht="15.75" customHeight="1">
      <c r="C7" s="111"/>
      <c r="D7" s="686"/>
      <c r="E7" s="443"/>
      <c r="F7" s="443"/>
      <c r="G7" s="471">
        <v>22</v>
      </c>
      <c r="I7" s="471">
        <v>1</v>
      </c>
      <c r="J7" s="686"/>
      <c r="V7" s="439">
        <v>15</v>
      </c>
    </row>
    <row r="8" spans="1:22" s="1557" customFormat="1" ht="1.1499999999999999" customHeight="1">
      <c r="A8" s="691"/>
      <c r="C8" s="111"/>
      <c r="D8" s="443"/>
      <c r="E8" s="443"/>
      <c r="F8" s="443"/>
      <c r="G8" s="471"/>
      <c r="H8" s="686"/>
      <c r="I8" s="471" t="s">
        <v>169</v>
      </c>
      <c r="J8" s="686"/>
      <c r="K8" s="351"/>
      <c r="U8" s="609"/>
      <c r="V8" s="690">
        <v>1</v>
      </c>
    </row>
    <row r="9" spans="1:22" ht="15.75" customHeight="1">
      <c r="C9" s="111"/>
      <c r="D9" s="645"/>
      <c r="E9" s="3822" t="s">
        <v>160</v>
      </c>
      <c r="F9" s="3823"/>
      <c r="G9" s="3849" t="str">
        <f>IF(G8="","",INDEX(DIFFERENTIATION_UNMERGE_VD,MATCH(G8,DIFFERENTIATION_ID_DIFF,0)))</f>
        <v/>
      </c>
      <c r="H9" s="3850"/>
      <c r="I9" s="3849"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3850"/>
      <c r="K9" s="3666" t="s">
        <v>346</v>
      </c>
      <c r="V9" s="439">
        <v>15</v>
      </c>
    </row>
    <row r="10" spans="1:22" s="1557" customFormat="1" ht="15.75" customHeight="1">
      <c r="A10" s="691"/>
      <c r="C10" s="111"/>
      <c r="D10" s="645"/>
      <c r="E10" s="3822" t="s">
        <v>607</v>
      </c>
      <c r="F10" s="3823"/>
      <c r="G10" s="3849" t="str">
        <f>IF(G8="","",INDEX(DIFFERENTIATION_UNMERGE_AREA,MATCH(G8,DIFFERENTIATION_ID_DIFF,0)))</f>
        <v/>
      </c>
      <c r="H10" s="3850"/>
      <c r="I10" s="3849" t="str">
        <f>IF(I8="","",INDEX(DIFFERENTIATION_UNMERGE_AREA,MATCH(I8,DIFFERENTIATION_ID_DIFF,0)))</f>
        <v>без дифференциации</v>
      </c>
      <c r="J10" s="3850"/>
      <c r="K10" s="3687"/>
      <c r="U10" s="609"/>
      <c r="V10" s="690">
        <v>15</v>
      </c>
    </row>
    <row r="11" spans="1:22" s="1557" customFormat="1" ht="15.75" customHeight="1">
      <c r="A11" s="691"/>
      <c r="C11" s="111"/>
      <c r="D11" s="645"/>
      <c r="E11" s="3822" t="s">
        <v>608</v>
      </c>
      <c r="F11" s="3823"/>
      <c r="G11" s="3849" t="str">
        <f>IF(G8="","",INDEX(DIFFERENTIATION_UNMERGE_SYSTEM,MATCH(G8,DIFFERENTIATION_ID_DIFF,0)))</f>
        <v/>
      </c>
      <c r="H11" s="3850"/>
      <c r="I11" s="3849" t="str">
        <f>IF(I8="","",INDEX(DIFFERENTIATION_UNMERGE_SYSTEM,MATCH(I8,DIFFERENTIATION_ID_DIFF,0)))</f>
        <v>без дифференциации</v>
      </c>
      <c r="J11" s="3850"/>
      <c r="K11" s="3687"/>
      <c r="U11" s="609"/>
      <c r="V11" s="690">
        <v>15</v>
      </c>
    </row>
    <row r="12" spans="1:22" s="1557" customFormat="1" ht="15.75" customHeight="1">
      <c r="A12" s="691"/>
      <c r="C12" s="111"/>
      <c r="D12" s="3824" t="s">
        <v>345</v>
      </c>
      <c r="E12" s="3825"/>
      <c r="F12" s="3825"/>
      <c r="G12" s="814"/>
      <c r="H12" s="814"/>
      <c r="I12" s="814"/>
      <c r="J12" s="814"/>
      <c r="K12" s="3687"/>
      <c r="U12" s="609"/>
      <c r="V12" s="690">
        <v>15</v>
      </c>
    </row>
    <row r="13" spans="1:22" ht="35.65" customHeight="1">
      <c r="C13" s="111"/>
      <c r="D13" s="733" t="s">
        <v>76</v>
      </c>
      <c r="E13" s="735" t="s">
        <v>347</v>
      </c>
      <c r="F13" s="735" t="s">
        <v>609</v>
      </c>
      <c r="G13" s="736" t="s">
        <v>348</v>
      </c>
      <c r="H13" s="735" t="s">
        <v>435</v>
      </c>
      <c r="I13" s="736" t="s">
        <v>348</v>
      </c>
      <c r="J13" s="735" t="s">
        <v>435</v>
      </c>
      <c r="K13" s="3716"/>
      <c r="V13" s="439">
        <v>34</v>
      </c>
    </row>
    <row r="14" spans="1:22" ht="15" hidden="1" customHeight="1">
      <c r="C14" s="111"/>
      <c r="D14" s="527" t="s">
        <v>164</v>
      </c>
      <c r="E14" s="527" t="s">
        <v>89</v>
      </c>
      <c r="F14" s="527" t="s">
        <v>78</v>
      </c>
      <c r="G14" s="593" t="str">
        <f>G1&amp;".1"</f>
        <v>4.1</v>
      </c>
      <c r="H14" s="593"/>
      <c r="I14" s="593" t="str">
        <f>I1&amp;".1"</f>
        <v>4.1</v>
      </c>
      <c r="J14" s="593"/>
      <c r="K14" s="224"/>
      <c r="V14" s="439">
        <v>0</v>
      </c>
    </row>
    <row r="15" spans="1:22" ht="22.5" hidden="1" customHeight="1">
      <c r="A15" s="439"/>
      <c r="C15" s="460"/>
      <c r="D15" s="455">
        <v>1</v>
      </c>
      <c r="E15" s="611" t="s">
        <v>1147</v>
      </c>
      <c r="F15" s="455" t="s">
        <v>1148</v>
      </c>
      <c r="G15" s="612"/>
      <c r="H15" s="612"/>
      <c r="I15" s="612"/>
      <c r="J15" s="612"/>
      <c r="K15" s="224" t="s">
        <v>1149</v>
      </c>
      <c r="V15" s="439">
        <v>0</v>
      </c>
    </row>
    <row r="16" spans="1:22" ht="22.5" hidden="1" customHeight="1">
      <c r="A16" s="439"/>
      <c r="C16" s="460"/>
      <c r="D16" s="455">
        <v>2</v>
      </c>
      <c r="E16" s="214" t="s">
        <v>1150</v>
      </c>
      <c r="F16" s="455" t="s">
        <v>1151</v>
      </c>
      <c r="G16" s="612"/>
      <c r="H16" s="612"/>
      <c r="I16" s="612"/>
      <c r="J16" s="612"/>
      <c r="K16" s="224" t="s">
        <v>1152</v>
      </c>
      <c r="V16" s="439">
        <v>0</v>
      </c>
    </row>
    <row r="17" spans="1:22" ht="123.75" hidden="1" customHeight="1">
      <c r="A17" s="439"/>
      <c r="C17" s="460"/>
      <c r="D17" s="455">
        <v>3</v>
      </c>
      <c r="E17" s="214" t="s">
        <v>1678</v>
      </c>
      <c r="F17" s="455" t="s">
        <v>351</v>
      </c>
      <c r="G17" s="612"/>
      <c r="H17" s="612"/>
      <c r="I17" s="612"/>
      <c r="J17" s="612"/>
      <c r="K17" s="224" t="s">
        <v>1679</v>
      </c>
      <c r="V17" s="439">
        <v>0</v>
      </c>
    </row>
    <row r="18" spans="1:22" ht="48.2" customHeight="1">
      <c r="A18" s="439"/>
      <c r="C18" s="460"/>
      <c r="D18" s="455">
        <v>3</v>
      </c>
      <c r="E18" s="214" t="s">
        <v>1153</v>
      </c>
      <c r="F18" s="455" t="s">
        <v>351</v>
      </c>
      <c r="G18" s="737" t="s">
        <v>351</v>
      </c>
      <c r="H18" s="738" t="s">
        <v>351</v>
      </c>
      <c r="I18" s="455" t="s">
        <v>351</v>
      </c>
      <c r="J18" s="512" t="s">
        <v>351</v>
      </c>
      <c r="K18" s="224" t="s">
        <v>1680</v>
      </c>
      <c r="V18" s="439">
        <v>46</v>
      </c>
    </row>
    <row r="19" spans="1:22" ht="35.65" customHeight="1">
      <c r="A19" s="439"/>
      <c r="C19" s="460"/>
      <c r="D19" s="473" t="s">
        <v>369</v>
      </c>
      <c r="E19" s="493" t="s">
        <v>1155</v>
      </c>
      <c r="F19" s="455" t="s">
        <v>1156</v>
      </c>
      <c r="G19" s="745"/>
      <c r="H19" s="45"/>
      <c r="I19" s="745"/>
      <c r="J19" s="746"/>
      <c r="K19" s="613"/>
      <c r="V19" s="439">
        <v>34</v>
      </c>
    </row>
    <row r="20" spans="1:22" ht="35.65" customHeight="1">
      <c r="A20" s="439"/>
      <c r="C20" s="460"/>
      <c r="D20" s="1779" t="s">
        <v>377</v>
      </c>
      <c r="E20" s="493" t="s">
        <v>1157</v>
      </c>
      <c r="F20" s="455" t="s">
        <v>1158</v>
      </c>
      <c r="G20" s="745"/>
      <c r="H20" s="45"/>
      <c r="I20" s="745"/>
      <c r="J20" s="45"/>
      <c r="K20" s="613"/>
      <c r="V20" s="439">
        <v>34</v>
      </c>
    </row>
    <row r="21" spans="1:22" ht="48.2" customHeight="1">
      <c r="A21" s="439"/>
      <c r="C21" s="460"/>
      <c r="D21" s="1779" t="s">
        <v>379</v>
      </c>
      <c r="E21" s="493" t="s">
        <v>1159</v>
      </c>
      <c r="F21" s="455" t="s">
        <v>620</v>
      </c>
      <c r="G21" s="614"/>
      <c r="H21" s="45"/>
      <c r="I21" s="614"/>
      <c r="J21" s="45"/>
      <c r="K21" s="613"/>
      <c r="V21" s="439">
        <v>46</v>
      </c>
    </row>
    <row r="22" spans="1:22" ht="67.5" hidden="1" customHeight="1">
      <c r="A22" s="439"/>
      <c r="C22" s="460"/>
      <c r="D22" s="455">
        <v>5</v>
      </c>
      <c r="E22" s="214" t="s">
        <v>1681</v>
      </c>
      <c r="F22" s="455" t="s">
        <v>601</v>
      </c>
      <c r="G22" s="615"/>
      <c r="H22" s="616"/>
      <c r="I22" s="615"/>
      <c r="J22" s="616"/>
      <c r="K22" s="224" t="s">
        <v>1682</v>
      </c>
      <c r="V22" s="439">
        <v>0</v>
      </c>
    </row>
    <row r="23" spans="1:22" ht="33.75" hidden="1" customHeight="1">
      <c r="C23" s="385"/>
      <c r="D23" s="455">
        <v>6</v>
      </c>
      <c r="E23" s="214" t="s">
        <v>1683</v>
      </c>
      <c r="F23" s="455" t="s">
        <v>1684</v>
      </c>
      <c r="G23" s="615"/>
      <c r="H23" s="615"/>
      <c r="I23" s="615"/>
      <c r="J23" s="615"/>
      <c r="K23" s="224" t="s">
        <v>1685</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70</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39" hidden="1"/>
    <col min="3" max="4" width="3" style="1739" customWidth="1"/>
    <col min="5" max="6" width="15" style="1739" customWidth="1"/>
    <col min="7" max="7" width="11.5703125" style="1739" customWidth="1"/>
    <col min="8" max="9" width="3" style="1739" customWidth="1"/>
    <col min="10" max="10" width="12" style="1739" customWidth="1"/>
    <col min="11" max="11" width="0.28515625" style="1739" customWidth="1"/>
    <col min="12" max="13" width="10" style="1739" customWidth="1"/>
    <col min="14" max="15" width="3" style="1739" customWidth="1"/>
    <col min="16" max="16" width="19" style="1739" customWidth="1"/>
    <col min="17" max="17" width="0.28515625" style="1739" customWidth="1"/>
    <col min="18" max="19" width="10" style="1739" customWidth="1"/>
    <col min="20" max="21" width="3" style="1739" customWidth="1"/>
    <col min="22" max="22" width="25" style="1739" customWidth="1"/>
    <col min="23" max="23" width="0.28515625" style="1739" customWidth="1"/>
    <col min="24" max="25" width="10" style="1739" customWidth="1"/>
    <col min="26" max="27" width="3" style="1739" customWidth="1"/>
    <col min="28" max="28" width="16" style="1739" customWidth="1"/>
    <col min="29" max="29" width="0.28515625" style="1739" customWidth="1"/>
    <col min="30" max="31" width="10" style="1739" customWidth="1"/>
    <col min="32" max="33" width="3" style="1739" customWidth="1"/>
    <col min="34" max="34" width="8" style="1739" customWidth="1"/>
    <col min="35" max="35" width="21" style="1739" customWidth="1"/>
    <col min="36" max="36" width="8" style="1739" customWidth="1"/>
    <col min="37" max="37" width="8" style="292" customWidth="1"/>
    <col min="38" max="64" width="8" style="1739" customWidth="1"/>
    <col min="65" max="65" width="9.140625" style="1739" hidden="1"/>
  </cols>
  <sheetData>
    <row r="1" spans="1:65" s="1238"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v>
      </c>
    </row>
    <row r="2" spans="1:65" s="1475" customFormat="1" ht="11.25" hidden="1" customHeight="1">
      <c r="L2" s="1475" t="s">
        <v>324</v>
      </c>
      <c r="M2" s="1475" t="s">
        <v>325</v>
      </c>
      <c r="R2" s="1475" t="s">
        <v>326</v>
      </c>
      <c r="S2" s="1475" t="s">
        <v>325</v>
      </c>
      <c r="X2" s="1475" t="s">
        <v>324</v>
      </c>
      <c r="Y2" s="1475" t="s">
        <v>325</v>
      </c>
      <c r="AD2" s="1475" t="s">
        <v>324</v>
      </c>
      <c r="AE2" s="1475" t="s">
        <v>325</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c r="BM2" s="1475">
        <v>0</v>
      </c>
    </row>
    <row r="3" spans="1:65" s="1476" customFormat="1" ht="11.45" customHeight="1">
      <c r="AJ3" s="1496"/>
      <c r="AK3" s="241"/>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76">
        <v>11</v>
      </c>
    </row>
    <row r="4" spans="1:65" s="1711" customFormat="1" ht="34.5" customHeight="1">
      <c r="A4" s="1078"/>
      <c r="B4" s="1077"/>
      <c r="C4" s="1437"/>
      <c r="D4" s="3682" t="s">
        <v>327</v>
      </c>
      <c r="E4" s="3682"/>
      <c r="F4" s="3682"/>
      <c r="G4" s="3682"/>
      <c r="H4" s="3682"/>
      <c r="I4" s="3682"/>
      <c r="J4" s="3682"/>
      <c r="K4" s="633"/>
      <c r="T4" s="1477"/>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441">
        <v>33</v>
      </c>
    </row>
    <row r="5" spans="1:65" s="1711" customFormat="1" ht="14.65" customHeight="1">
      <c r="A5" s="1554"/>
      <c r="B5" s="1553"/>
      <c r="C5" s="1437"/>
      <c r="D5" s="3667" t="str">
        <f>IF(org=0,"Не определено",org)</f>
        <v>ООО "Смоленскрегионтеплоэнерго"</v>
      </c>
      <c r="E5" s="3667"/>
      <c r="F5" s="3667"/>
      <c r="G5" s="3667"/>
      <c r="H5" s="3667"/>
      <c r="I5" s="3667"/>
      <c r="J5" s="3667"/>
      <c r="K5" s="633"/>
      <c r="T5" s="1477"/>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531">
        <v>14</v>
      </c>
    </row>
    <row r="6" spans="1:65" s="1711" customFormat="1" ht="14.65" customHeight="1">
      <c r="A6" s="1078"/>
      <c r="B6" s="1077"/>
      <c r="C6" s="1437"/>
      <c r="D6" s="633"/>
      <c r="E6" s="633"/>
      <c r="F6" s="633"/>
      <c r="G6" s="633"/>
      <c r="H6" s="633"/>
      <c r="I6" s="633"/>
      <c r="J6" s="633"/>
      <c r="K6" s="633"/>
      <c r="T6" s="1477"/>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c r="BM6" s="441">
        <v>14</v>
      </c>
    </row>
    <row r="7" spans="1:65" s="1238"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3618" t="s">
        <v>76</v>
      </c>
      <c r="E8" s="3618" t="s">
        <v>160</v>
      </c>
      <c r="F8" s="3683" t="s">
        <v>175</v>
      </c>
      <c r="G8" s="3684"/>
      <c r="H8" s="3683" t="s">
        <v>76</v>
      </c>
      <c r="I8" s="3684"/>
      <c r="J8" s="3618" t="s">
        <v>176</v>
      </c>
      <c r="K8" s="1478"/>
      <c r="L8" s="3666" t="s">
        <v>328</v>
      </c>
      <c r="M8" s="3666"/>
      <c r="N8" s="3666"/>
      <c r="O8" s="3666"/>
      <c r="P8" s="3666"/>
      <c r="Q8" s="1479"/>
      <c r="R8" s="3589" t="s">
        <v>329</v>
      </c>
      <c r="S8" s="3595"/>
      <c r="T8" s="3595"/>
      <c r="U8" s="3595"/>
      <c r="V8" s="3595"/>
      <c r="W8" s="1479"/>
      <c r="X8" s="3618" t="s">
        <v>330</v>
      </c>
      <c r="Y8" s="3618"/>
      <c r="Z8" s="3618"/>
      <c r="AA8" s="3618"/>
      <c r="AB8" s="3618"/>
      <c r="AC8" s="1480"/>
      <c r="AD8" s="3618" t="s">
        <v>331</v>
      </c>
      <c r="AE8" s="3618"/>
      <c r="AF8" s="3618"/>
      <c r="AG8" s="3618"/>
      <c r="AH8" s="3589"/>
      <c r="AI8" s="3618" t="s">
        <v>332</v>
      </c>
      <c r="AJ8" s="1496"/>
      <c r="BM8" s="228">
        <v>32</v>
      </c>
    </row>
    <row r="9" spans="1:65" ht="23.25" customHeight="1">
      <c r="D9" s="3618"/>
      <c r="E9" s="3618"/>
      <c r="F9" s="3666" t="s">
        <v>77</v>
      </c>
      <c r="G9" s="3666" t="s">
        <v>181</v>
      </c>
      <c r="H9" s="3685"/>
      <c r="I9" s="3686"/>
      <c r="J9" s="3589"/>
      <c r="K9" s="1481"/>
      <c r="L9" s="3618" t="s">
        <v>333</v>
      </c>
      <c r="M9" s="3589"/>
      <c r="N9" s="3683" t="s">
        <v>76</v>
      </c>
      <c r="O9" s="3684"/>
      <c r="P9" s="3618" t="s">
        <v>182</v>
      </c>
      <c r="Q9" s="1478"/>
      <c r="R9" s="3618" t="s">
        <v>333</v>
      </c>
      <c r="S9" s="3589"/>
      <c r="T9" s="3683" t="s">
        <v>76</v>
      </c>
      <c r="U9" s="3684"/>
      <c r="V9" s="3618" t="s">
        <v>182</v>
      </c>
      <c r="W9" s="1478"/>
      <c r="X9" s="3618" t="s">
        <v>333</v>
      </c>
      <c r="Y9" s="3589"/>
      <c r="Z9" s="3683" t="s">
        <v>76</v>
      </c>
      <c r="AA9" s="3684"/>
      <c r="AB9" s="3618" t="s">
        <v>334</v>
      </c>
      <c r="AC9" s="1478"/>
      <c r="AD9" s="3618" t="s">
        <v>333</v>
      </c>
      <c r="AE9" s="3589"/>
      <c r="AF9" s="3683" t="s">
        <v>76</v>
      </c>
      <c r="AG9" s="3684"/>
      <c r="AH9" s="3589" t="s">
        <v>334</v>
      </c>
      <c r="AI9" s="3618"/>
      <c r="AJ9" s="1496"/>
      <c r="BM9" s="228">
        <v>22</v>
      </c>
    </row>
    <row r="10" spans="1:65" ht="24" customHeight="1">
      <c r="D10" s="3666"/>
      <c r="E10" s="3666"/>
      <c r="F10" s="3687"/>
      <c r="G10" s="3687"/>
      <c r="H10" s="3688"/>
      <c r="I10" s="3689"/>
      <c r="J10" s="3683"/>
      <c r="K10" s="1481"/>
      <c r="L10" s="1500" t="s">
        <v>335</v>
      </c>
      <c r="M10" s="1495" t="s">
        <v>336</v>
      </c>
      <c r="N10" s="3685"/>
      <c r="O10" s="3686"/>
      <c r="P10" s="3666"/>
      <c r="Q10" s="1478"/>
      <c r="R10" s="1500" t="s">
        <v>335</v>
      </c>
      <c r="S10" s="1495" t="s">
        <v>336</v>
      </c>
      <c r="T10" s="3685"/>
      <c r="U10" s="3686"/>
      <c r="V10" s="3666"/>
      <c r="W10" s="1478"/>
      <c r="X10" s="1500" t="s">
        <v>335</v>
      </c>
      <c r="Y10" s="1495" t="s">
        <v>336</v>
      </c>
      <c r="Z10" s="3685"/>
      <c r="AA10" s="3686"/>
      <c r="AB10" s="3666"/>
      <c r="AC10" s="1478"/>
      <c r="AD10" s="1500" t="s">
        <v>335</v>
      </c>
      <c r="AE10" s="1495" t="s">
        <v>336</v>
      </c>
      <c r="AF10" s="3685"/>
      <c r="AG10" s="3686"/>
      <c r="AH10" s="3683"/>
      <c r="AI10" s="3666"/>
      <c r="AJ10" s="1496"/>
      <c r="AK10" s="189" t="s">
        <v>337</v>
      </c>
      <c r="AL10" s="189" t="s">
        <v>183</v>
      </c>
      <c r="BM10" s="228">
        <v>23</v>
      </c>
    </row>
    <row r="11" spans="1:65" ht="15" customHeight="1">
      <c r="D11" s="3674" t="s">
        <v>164</v>
      </c>
      <c r="E11" s="3670" t="s">
        <v>338</v>
      </c>
      <c r="F11" s="3670" t="s">
        <v>339</v>
      </c>
      <c r="G11" s="3676" t="s">
        <v>6</v>
      </c>
      <c r="H11" s="1521"/>
      <c r="I11" s="3672"/>
      <c r="J11" s="3643"/>
      <c r="K11" s="1436"/>
      <c r="L11" s="3628"/>
      <c r="M11" s="3628"/>
      <c r="N11" s="1506"/>
      <c r="O11" s="3628"/>
      <c r="P11" s="3643"/>
      <c r="Q11" s="1507"/>
      <c r="R11" s="3628"/>
      <c r="S11" s="3628"/>
      <c r="T11" s="1508"/>
      <c r="U11" s="3628"/>
      <c r="V11" s="3643"/>
      <c r="W11" s="1509"/>
      <c r="X11" s="3628"/>
      <c r="Y11" s="3628"/>
      <c r="Z11" s="1506"/>
      <c r="AA11" s="3628"/>
      <c r="AB11" s="3643"/>
      <c r="AC11" s="1510"/>
      <c r="AD11" s="3628"/>
      <c r="AE11" s="3628"/>
      <c r="AF11" s="1435"/>
      <c r="AG11" s="1435"/>
      <c r="AH11" s="1511"/>
      <c r="AI11" s="1218"/>
      <c r="AJ11" s="1496"/>
      <c r="BM11" s="228">
        <v>14</v>
      </c>
    </row>
    <row r="12" spans="1:65" ht="14.65" customHeight="1">
      <c r="D12" s="3674"/>
      <c r="E12" s="3670"/>
      <c r="F12" s="3670"/>
      <c r="G12" s="3677"/>
      <c r="H12" s="1522"/>
      <c r="I12" s="3673"/>
      <c r="J12" s="3644"/>
      <c r="K12" s="1532"/>
      <c r="L12" s="3629"/>
      <c r="M12" s="3629"/>
      <c r="N12" s="1512"/>
      <c r="O12" s="3629"/>
      <c r="P12" s="3644"/>
      <c r="Q12" s="1513"/>
      <c r="R12" s="3629"/>
      <c r="S12" s="3629"/>
      <c r="T12" s="1514"/>
      <c r="U12" s="3629"/>
      <c r="V12" s="3644"/>
      <c r="W12" s="1515"/>
      <c r="X12" s="3629"/>
      <c r="Y12" s="3629"/>
      <c r="Z12" s="1512"/>
      <c r="AA12" s="3629"/>
      <c r="AB12" s="3644"/>
      <c r="AC12" s="1516"/>
      <c r="AD12" s="3629"/>
      <c r="AE12" s="3629"/>
      <c r="AF12" s="1517"/>
      <c r="AG12" s="1517"/>
      <c r="AH12" s="3668"/>
      <c r="AI12" s="3669"/>
      <c r="AJ12" s="1496"/>
      <c r="BM12" s="228">
        <v>14</v>
      </c>
    </row>
    <row r="13" spans="1:65" ht="14.65" customHeight="1">
      <c r="D13" s="3674"/>
      <c r="E13" s="3670"/>
      <c r="F13" s="3670"/>
      <c r="G13" s="3677"/>
      <c r="H13" s="1522"/>
      <c r="I13" s="3673"/>
      <c r="J13" s="3644"/>
      <c r="K13" s="1532"/>
      <c r="L13" s="3629"/>
      <c r="M13" s="3629"/>
      <c r="N13" s="1512"/>
      <c r="O13" s="3629"/>
      <c r="P13" s="3644"/>
      <c r="Q13" s="1513"/>
      <c r="R13" s="3629"/>
      <c r="S13" s="3629"/>
      <c r="T13" s="1514"/>
      <c r="U13" s="3629"/>
      <c r="V13" s="3644"/>
      <c r="W13" s="1515"/>
      <c r="X13" s="3629"/>
      <c r="Y13" s="3629"/>
      <c r="Z13" s="1434"/>
      <c r="AA13" s="1517"/>
      <c r="AB13" s="3668"/>
      <c r="AC13" s="3668"/>
      <c r="AD13" s="3668"/>
      <c r="AE13" s="3668"/>
      <c r="AF13" s="3668"/>
      <c r="AG13" s="3668"/>
      <c r="AH13" s="3668"/>
      <c r="AI13" s="3669"/>
      <c r="AJ13" s="1496"/>
      <c r="BM13" s="228">
        <v>14</v>
      </c>
    </row>
    <row r="14" spans="1:65" ht="14.65" customHeight="1">
      <c r="D14" s="3674"/>
      <c r="E14" s="3670"/>
      <c r="F14" s="3670"/>
      <c r="G14" s="3677"/>
      <c r="H14" s="1522"/>
      <c r="I14" s="3673"/>
      <c r="J14" s="3644"/>
      <c r="K14" s="1532"/>
      <c r="L14" s="3629"/>
      <c r="M14" s="3629"/>
      <c r="N14" s="1512"/>
      <c r="O14" s="3629"/>
      <c r="P14" s="3644"/>
      <c r="Q14" s="1513"/>
      <c r="R14" s="3629"/>
      <c r="S14" s="3629"/>
      <c r="T14" s="1518"/>
      <c r="U14" s="1519"/>
      <c r="V14" s="3668"/>
      <c r="W14" s="3668"/>
      <c r="X14" s="3668"/>
      <c r="Y14" s="3668"/>
      <c r="Z14" s="3668"/>
      <c r="AA14" s="3668"/>
      <c r="AB14" s="3668"/>
      <c r="AC14" s="3668"/>
      <c r="AD14" s="3668"/>
      <c r="AE14" s="3668"/>
      <c r="AF14" s="3668"/>
      <c r="AG14" s="3668"/>
      <c r="AH14" s="3668"/>
      <c r="AI14" s="3669"/>
      <c r="AJ14" s="1496"/>
      <c r="BM14" s="228">
        <v>14</v>
      </c>
    </row>
    <row r="15" spans="1:65" ht="11.45" customHeight="1">
      <c r="D15" s="3674"/>
      <c r="E15" s="3670"/>
      <c r="F15" s="3670"/>
      <c r="G15" s="3677"/>
      <c r="H15" s="1523"/>
      <c r="I15" s="3673"/>
      <c r="J15" s="3644"/>
      <c r="K15" s="1532"/>
      <c r="L15" s="3629"/>
      <c r="M15" s="3629"/>
      <c r="N15" s="1517"/>
      <c r="O15" s="1517"/>
      <c r="P15" s="3668"/>
      <c r="Q15" s="3668"/>
      <c r="R15" s="3668"/>
      <c r="S15" s="3668"/>
      <c r="T15" s="3668"/>
      <c r="U15" s="3668"/>
      <c r="V15" s="3668"/>
      <c r="W15" s="3668"/>
      <c r="X15" s="3668"/>
      <c r="Y15" s="3668"/>
      <c r="Z15" s="3668"/>
      <c r="AA15" s="3668"/>
      <c r="AB15" s="3668"/>
      <c r="AC15" s="3668"/>
      <c r="AD15" s="3668"/>
      <c r="AE15" s="3668"/>
      <c r="AF15" s="3668"/>
      <c r="AG15" s="3668"/>
      <c r="AH15" s="3668"/>
      <c r="AI15" s="3669"/>
      <c r="AJ15" s="1496"/>
      <c r="BM15" s="228">
        <v>11</v>
      </c>
    </row>
    <row r="16" spans="1:65" s="1476" customFormat="1" ht="11.45" customHeight="1">
      <c r="D16" s="3680"/>
      <c r="E16" s="3681"/>
      <c r="F16" s="3671"/>
      <c r="G16" s="3604"/>
      <c r="H16" s="1520"/>
      <c r="I16" s="1524"/>
      <c r="J16" s="3678"/>
      <c r="K16" s="3678"/>
      <c r="L16" s="3678"/>
      <c r="M16" s="3678"/>
      <c r="N16" s="3678"/>
      <c r="O16" s="3678"/>
      <c r="P16" s="3678"/>
      <c r="Q16" s="3678"/>
      <c r="R16" s="3678"/>
      <c r="S16" s="3678"/>
      <c r="T16" s="3678"/>
      <c r="U16" s="3678"/>
      <c r="V16" s="3678"/>
      <c r="W16" s="3678"/>
      <c r="X16" s="3678"/>
      <c r="Y16" s="3678"/>
      <c r="Z16" s="3678"/>
      <c r="AA16" s="3678"/>
      <c r="AB16" s="3678"/>
      <c r="AC16" s="3678"/>
      <c r="AD16" s="3678"/>
      <c r="AE16" s="3678"/>
      <c r="AF16" s="3678"/>
      <c r="AG16" s="3678"/>
      <c r="AH16" s="3678"/>
      <c r="AI16" s="3679"/>
      <c r="AJ16" s="1496"/>
      <c r="AK16" s="241"/>
      <c r="AL16" s="1496"/>
      <c r="AM16" s="1496"/>
      <c r="AN16" s="1496"/>
      <c r="AO16" s="1496"/>
      <c r="AP16" s="1496"/>
      <c r="AQ16" s="1496"/>
      <c r="AR16" s="1496"/>
      <c r="AS16" s="1496"/>
      <c r="AT16" s="1496"/>
      <c r="AU16" s="1496"/>
      <c r="AV16" s="1496"/>
      <c r="AW16" s="1496"/>
      <c r="AX16" s="1496"/>
      <c r="AY16" s="1496"/>
      <c r="AZ16" s="1496"/>
      <c r="BA16" s="1496"/>
      <c r="BB16" s="1496"/>
      <c r="BC16" s="1496"/>
      <c r="BD16" s="1496"/>
      <c r="BE16" s="1496"/>
      <c r="BF16" s="1496"/>
      <c r="BG16" s="1496"/>
      <c r="BH16" s="1496"/>
      <c r="BI16" s="1496"/>
      <c r="BJ16" s="1496"/>
      <c r="BK16" s="1496"/>
      <c r="BL16" s="1496"/>
      <c r="BM16" s="1476">
        <v>11</v>
      </c>
    </row>
    <row r="17" spans="4:65" ht="15" customHeight="1">
      <c r="D17" s="3674" t="s">
        <v>89</v>
      </c>
      <c r="E17" s="3670" t="s">
        <v>338</v>
      </c>
      <c r="F17" s="3670" t="s">
        <v>340</v>
      </c>
      <c r="G17" s="3676" t="s">
        <v>6</v>
      </c>
      <c r="H17" s="1521"/>
      <c r="I17" s="3672"/>
      <c r="J17" s="3643"/>
      <c r="K17" s="1436"/>
      <c r="L17" s="3628"/>
      <c r="M17" s="3628"/>
      <c r="N17" s="1506"/>
      <c r="O17" s="3628"/>
      <c r="P17" s="3643"/>
      <c r="Q17" s="1507"/>
      <c r="R17" s="3628"/>
      <c r="S17" s="3628"/>
      <c r="T17" s="1508"/>
      <c r="U17" s="3628"/>
      <c r="V17" s="3643"/>
      <c r="W17" s="1509"/>
      <c r="X17" s="3628"/>
      <c r="Y17" s="3628"/>
      <c r="Z17" s="1506"/>
      <c r="AA17" s="3628"/>
      <c r="AB17" s="3643"/>
      <c r="AC17" s="1510"/>
      <c r="AD17" s="3628"/>
      <c r="AE17" s="3628"/>
      <c r="AF17" s="1435"/>
      <c r="AG17" s="1435"/>
      <c r="AH17" s="1511"/>
      <c r="AI17" s="1218"/>
      <c r="AJ17" s="1496"/>
      <c r="BM17" s="228">
        <v>14</v>
      </c>
    </row>
    <row r="18" spans="4:65" ht="14.65" customHeight="1">
      <c r="D18" s="3674"/>
      <c r="E18" s="3670"/>
      <c r="F18" s="3670"/>
      <c r="G18" s="3677"/>
      <c r="H18" s="1522"/>
      <c r="I18" s="3673"/>
      <c r="J18" s="3644"/>
      <c r="K18" s="1505"/>
      <c r="L18" s="3629"/>
      <c r="M18" s="3629"/>
      <c r="N18" s="1512"/>
      <c r="O18" s="3629"/>
      <c r="P18" s="3644"/>
      <c r="Q18" s="1513"/>
      <c r="R18" s="3629"/>
      <c r="S18" s="3629"/>
      <c r="T18" s="1514"/>
      <c r="U18" s="3629"/>
      <c r="V18" s="3644"/>
      <c r="W18" s="1515"/>
      <c r="X18" s="3629"/>
      <c r="Y18" s="3629"/>
      <c r="Z18" s="1512"/>
      <c r="AA18" s="3629"/>
      <c r="AB18" s="3644"/>
      <c r="AC18" s="1516"/>
      <c r="AD18" s="3629"/>
      <c r="AE18" s="3629"/>
      <c r="AF18" s="1517"/>
      <c r="AG18" s="1517"/>
      <c r="AH18" s="3668"/>
      <c r="AI18" s="3669"/>
      <c r="AJ18" s="1496"/>
      <c r="BM18" s="228">
        <v>14</v>
      </c>
    </row>
    <row r="19" spans="4:65" ht="14.65" customHeight="1">
      <c r="D19" s="3674"/>
      <c r="E19" s="3670"/>
      <c r="F19" s="3670"/>
      <c r="G19" s="3677"/>
      <c r="H19" s="1522"/>
      <c r="I19" s="3673"/>
      <c r="J19" s="3644"/>
      <c r="K19" s="1505"/>
      <c r="L19" s="3629"/>
      <c r="M19" s="3629"/>
      <c r="N19" s="1512"/>
      <c r="O19" s="3629"/>
      <c r="P19" s="3644"/>
      <c r="Q19" s="1513"/>
      <c r="R19" s="3629"/>
      <c r="S19" s="3629"/>
      <c r="T19" s="1514"/>
      <c r="U19" s="3629"/>
      <c r="V19" s="3644"/>
      <c r="W19" s="1515"/>
      <c r="X19" s="3629"/>
      <c r="Y19" s="3629"/>
      <c r="Z19" s="1434"/>
      <c r="AA19" s="1517"/>
      <c r="AB19" s="3668"/>
      <c r="AC19" s="3668"/>
      <c r="AD19" s="3668"/>
      <c r="AE19" s="3668"/>
      <c r="AF19" s="3668"/>
      <c r="AG19" s="3668"/>
      <c r="AH19" s="3668"/>
      <c r="AI19" s="3669"/>
      <c r="AJ19" s="1496"/>
      <c r="BM19" s="228">
        <v>14</v>
      </c>
    </row>
    <row r="20" spans="4:65" ht="14.65" customHeight="1">
      <c r="D20" s="3674"/>
      <c r="E20" s="3670"/>
      <c r="F20" s="3670"/>
      <c r="G20" s="3677"/>
      <c r="H20" s="1522"/>
      <c r="I20" s="3673"/>
      <c r="J20" s="3644"/>
      <c r="K20" s="1505"/>
      <c r="L20" s="3629"/>
      <c r="M20" s="3629"/>
      <c r="N20" s="1512"/>
      <c r="O20" s="3629"/>
      <c r="P20" s="3644"/>
      <c r="Q20" s="1513"/>
      <c r="R20" s="3629"/>
      <c r="S20" s="3629"/>
      <c r="T20" s="1518"/>
      <c r="U20" s="1519"/>
      <c r="V20" s="3668"/>
      <c r="W20" s="3668"/>
      <c r="X20" s="3668"/>
      <c r="Y20" s="3668"/>
      <c r="Z20" s="3668"/>
      <c r="AA20" s="3668"/>
      <c r="AB20" s="3668"/>
      <c r="AC20" s="3668"/>
      <c r="AD20" s="3668"/>
      <c r="AE20" s="3668"/>
      <c r="AF20" s="3668"/>
      <c r="AG20" s="3668"/>
      <c r="AH20" s="3668"/>
      <c r="AI20" s="3669"/>
      <c r="AJ20" s="1496"/>
      <c r="BM20" s="228">
        <v>14</v>
      </c>
    </row>
    <row r="21" spans="4:65" ht="11.45" customHeight="1">
      <c r="D21" s="3674"/>
      <c r="E21" s="3670"/>
      <c r="F21" s="3670"/>
      <c r="G21" s="3677"/>
      <c r="H21" s="1523"/>
      <c r="I21" s="3673"/>
      <c r="J21" s="3644"/>
      <c r="K21" s="1505"/>
      <c r="L21" s="3629"/>
      <c r="M21" s="3629"/>
      <c r="N21" s="1517"/>
      <c r="O21" s="1517"/>
      <c r="P21" s="3668"/>
      <c r="Q21" s="3668"/>
      <c r="R21" s="3668"/>
      <c r="S21" s="3668"/>
      <c r="T21" s="3668"/>
      <c r="U21" s="3668"/>
      <c r="V21" s="3668"/>
      <c r="W21" s="3668"/>
      <c r="X21" s="3668"/>
      <c r="Y21" s="3668"/>
      <c r="Z21" s="3668"/>
      <c r="AA21" s="3668"/>
      <c r="AB21" s="3668"/>
      <c r="AC21" s="3668"/>
      <c r="AD21" s="3668"/>
      <c r="AE21" s="3668"/>
      <c r="AF21" s="3668"/>
      <c r="AG21" s="3668"/>
      <c r="AH21" s="3668"/>
      <c r="AI21" s="3669"/>
      <c r="AJ21" s="1496"/>
      <c r="BM21" s="228">
        <v>11</v>
      </c>
    </row>
    <row r="22" spans="4:65" s="1476" customFormat="1" ht="11.45" customHeight="1">
      <c r="D22" s="3680"/>
      <c r="E22" s="3681"/>
      <c r="F22" s="3671"/>
      <c r="G22" s="3604"/>
      <c r="H22" s="1520"/>
      <c r="I22" s="1524"/>
      <c r="J22" s="3678"/>
      <c r="K22" s="3678"/>
      <c r="L22" s="3678"/>
      <c r="M22" s="3678"/>
      <c r="N22" s="3678"/>
      <c r="O22" s="3678"/>
      <c r="P22" s="3678"/>
      <c r="Q22" s="3678"/>
      <c r="R22" s="3678"/>
      <c r="S22" s="3678"/>
      <c r="T22" s="3678"/>
      <c r="U22" s="3678"/>
      <c r="V22" s="3678"/>
      <c r="W22" s="3678"/>
      <c r="X22" s="3678"/>
      <c r="Y22" s="3678"/>
      <c r="Z22" s="3678"/>
      <c r="AA22" s="3678"/>
      <c r="AB22" s="3678"/>
      <c r="AC22" s="3678"/>
      <c r="AD22" s="3678"/>
      <c r="AE22" s="3678"/>
      <c r="AF22" s="3678"/>
      <c r="AG22" s="3678"/>
      <c r="AH22" s="3678"/>
      <c r="AI22" s="3679"/>
      <c r="AJ22" s="1496"/>
      <c r="AK22" s="241"/>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496"/>
      <c r="BM22" s="1476">
        <v>11</v>
      </c>
    </row>
    <row r="23" spans="4:65" ht="15" customHeight="1">
      <c r="D23" s="3674" t="s">
        <v>78</v>
      </c>
      <c r="E23" s="3670" t="s">
        <v>338</v>
      </c>
      <c r="F23" s="3670" t="s">
        <v>341</v>
      </c>
      <c r="G23" s="3676" t="s">
        <v>6</v>
      </c>
      <c r="H23" s="1521"/>
      <c r="I23" s="3672"/>
      <c r="J23" s="3643"/>
      <c r="K23" s="1436"/>
      <c r="L23" s="3628"/>
      <c r="M23" s="3628"/>
      <c r="N23" s="1506"/>
      <c r="O23" s="3628"/>
      <c r="P23" s="3643"/>
      <c r="Q23" s="1507"/>
      <c r="R23" s="3628"/>
      <c r="S23" s="3628"/>
      <c r="T23" s="1508"/>
      <c r="U23" s="3628"/>
      <c r="V23" s="3643"/>
      <c r="W23" s="1509"/>
      <c r="X23" s="3628"/>
      <c r="Y23" s="3628"/>
      <c r="Z23" s="1506"/>
      <c r="AA23" s="3628"/>
      <c r="AB23" s="3643"/>
      <c r="AC23" s="1510"/>
      <c r="AD23" s="3628"/>
      <c r="AE23" s="3628"/>
      <c r="AF23" s="1435"/>
      <c r="AG23" s="1435"/>
      <c r="AH23" s="1511"/>
      <c r="AI23" s="1218"/>
      <c r="AJ23" s="1496"/>
      <c r="AK23" s="241" t="s">
        <v>86</v>
      </c>
      <c r="BM23" s="228">
        <v>14</v>
      </c>
    </row>
    <row r="24" spans="4:65" ht="14.65" customHeight="1">
      <c r="D24" s="3674"/>
      <c r="E24" s="3670"/>
      <c r="F24" s="3670"/>
      <c r="G24" s="3677"/>
      <c r="H24" s="1522"/>
      <c r="I24" s="3673"/>
      <c r="J24" s="3644"/>
      <c r="K24" s="1532"/>
      <c r="L24" s="3629"/>
      <c r="M24" s="3629"/>
      <c r="N24" s="1512"/>
      <c r="O24" s="3629"/>
      <c r="P24" s="3644"/>
      <c r="Q24" s="1513"/>
      <c r="R24" s="3629"/>
      <c r="S24" s="3629"/>
      <c r="T24" s="1514"/>
      <c r="U24" s="3629"/>
      <c r="V24" s="3644"/>
      <c r="W24" s="1515"/>
      <c r="X24" s="3629"/>
      <c r="Y24" s="3629"/>
      <c r="Z24" s="1512"/>
      <c r="AA24" s="3629"/>
      <c r="AB24" s="3644"/>
      <c r="AC24" s="1516"/>
      <c r="AD24" s="3629"/>
      <c r="AE24" s="3629"/>
      <c r="AF24" s="1517"/>
      <c r="AG24" s="1517"/>
      <c r="AH24" s="3668"/>
      <c r="AI24" s="3669"/>
      <c r="AJ24" s="1496"/>
      <c r="BM24" s="228">
        <v>14</v>
      </c>
    </row>
    <row r="25" spans="4:65" ht="14.65" customHeight="1">
      <c r="D25" s="3674"/>
      <c r="E25" s="3670"/>
      <c r="F25" s="3670"/>
      <c r="G25" s="3677"/>
      <c r="H25" s="1522"/>
      <c r="I25" s="3673"/>
      <c r="J25" s="3644"/>
      <c r="K25" s="1532"/>
      <c r="L25" s="3629"/>
      <c r="M25" s="3629"/>
      <c r="N25" s="1512"/>
      <c r="O25" s="3629"/>
      <c r="P25" s="3644"/>
      <c r="Q25" s="1513"/>
      <c r="R25" s="3629"/>
      <c r="S25" s="3629"/>
      <c r="T25" s="1514"/>
      <c r="U25" s="3629"/>
      <c r="V25" s="3644"/>
      <c r="W25" s="1515"/>
      <c r="X25" s="3629"/>
      <c r="Y25" s="3629"/>
      <c r="Z25" s="1434"/>
      <c r="AA25" s="1517"/>
      <c r="AB25" s="3668"/>
      <c r="AC25" s="3668"/>
      <c r="AD25" s="3668"/>
      <c r="AE25" s="3668"/>
      <c r="AF25" s="3668"/>
      <c r="AG25" s="3668"/>
      <c r="AH25" s="3668"/>
      <c r="AI25" s="3669"/>
      <c r="AJ25" s="1496"/>
      <c r="BM25" s="228">
        <v>14</v>
      </c>
    </row>
    <row r="26" spans="4:65" ht="14.65" customHeight="1">
      <c r="D26" s="3674"/>
      <c r="E26" s="3670"/>
      <c r="F26" s="3670"/>
      <c r="G26" s="3677"/>
      <c r="H26" s="1522"/>
      <c r="I26" s="3673"/>
      <c r="J26" s="3644"/>
      <c r="K26" s="1532"/>
      <c r="L26" s="3629"/>
      <c r="M26" s="3629"/>
      <c r="N26" s="1512"/>
      <c r="O26" s="3629"/>
      <c r="P26" s="3644"/>
      <c r="Q26" s="1513"/>
      <c r="R26" s="3629"/>
      <c r="S26" s="3629"/>
      <c r="T26" s="1518"/>
      <c r="U26" s="1519"/>
      <c r="V26" s="3668"/>
      <c r="W26" s="3668"/>
      <c r="X26" s="3668"/>
      <c r="Y26" s="3668"/>
      <c r="Z26" s="3668"/>
      <c r="AA26" s="3668"/>
      <c r="AB26" s="3668"/>
      <c r="AC26" s="3668"/>
      <c r="AD26" s="3668"/>
      <c r="AE26" s="3668"/>
      <c r="AF26" s="3668"/>
      <c r="AG26" s="3668"/>
      <c r="AH26" s="3668"/>
      <c r="AI26" s="3669"/>
      <c r="AJ26" s="1496"/>
      <c r="BM26" s="228">
        <v>14</v>
      </c>
    </row>
    <row r="27" spans="4:65" ht="11.45" customHeight="1">
      <c r="D27" s="3674"/>
      <c r="E27" s="3670"/>
      <c r="F27" s="3670"/>
      <c r="G27" s="3677"/>
      <c r="H27" s="1523"/>
      <c r="I27" s="3673"/>
      <c r="J27" s="3644"/>
      <c r="K27" s="1532"/>
      <c r="L27" s="3629"/>
      <c r="M27" s="3629"/>
      <c r="N27" s="1517"/>
      <c r="O27" s="1517"/>
      <c r="P27" s="3668"/>
      <c r="Q27" s="3668"/>
      <c r="R27" s="3668"/>
      <c r="S27" s="3668"/>
      <c r="T27" s="3668"/>
      <c r="U27" s="3668"/>
      <c r="V27" s="3668"/>
      <c r="W27" s="3668"/>
      <c r="X27" s="3668"/>
      <c r="Y27" s="3668"/>
      <c r="Z27" s="3668"/>
      <c r="AA27" s="3668"/>
      <c r="AB27" s="3668"/>
      <c r="AC27" s="3668"/>
      <c r="AD27" s="3668"/>
      <c r="AE27" s="3668"/>
      <c r="AF27" s="3668"/>
      <c r="AG27" s="3668"/>
      <c r="AH27" s="3668"/>
      <c r="AI27" s="3669"/>
      <c r="AJ27" s="1496"/>
      <c r="BM27" s="228">
        <v>11</v>
      </c>
    </row>
    <row r="28" spans="4:65" s="1476" customFormat="1" ht="11.45" customHeight="1">
      <c r="D28" s="3680"/>
      <c r="E28" s="3681"/>
      <c r="F28" s="3671"/>
      <c r="G28" s="3604"/>
      <c r="H28" s="1520"/>
      <c r="I28" s="1524"/>
      <c r="J28" s="3678"/>
      <c r="K28" s="3678"/>
      <c r="L28" s="3678"/>
      <c r="M28" s="3678"/>
      <c r="N28" s="3678"/>
      <c r="O28" s="3678"/>
      <c r="P28" s="3678"/>
      <c r="Q28" s="3678"/>
      <c r="R28" s="3678"/>
      <c r="S28" s="3678"/>
      <c r="T28" s="3678"/>
      <c r="U28" s="3678"/>
      <c r="V28" s="3678"/>
      <c r="W28" s="3678"/>
      <c r="X28" s="3678"/>
      <c r="Y28" s="3678"/>
      <c r="Z28" s="3678"/>
      <c r="AA28" s="3678"/>
      <c r="AB28" s="3678"/>
      <c r="AC28" s="3678"/>
      <c r="AD28" s="3678"/>
      <c r="AE28" s="3678"/>
      <c r="AF28" s="3678"/>
      <c r="AG28" s="3678"/>
      <c r="AH28" s="3678"/>
      <c r="AI28" s="3679"/>
      <c r="AJ28" s="1496"/>
      <c r="AK28" s="241"/>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76">
        <v>11</v>
      </c>
    </row>
    <row r="29" spans="4:65" ht="15" customHeight="1">
      <c r="D29" s="3674" t="s">
        <v>79</v>
      </c>
      <c r="E29" s="3670" t="s">
        <v>338</v>
      </c>
      <c r="F29" s="3670" t="s">
        <v>342</v>
      </c>
      <c r="G29" s="3676" t="s">
        <v>6</v>
      </c>
      <c r="H29" s="1521"/>
      <c r="I29" s="3672"/>
      <c r="J29" s="3643"/>
      <c r="K29" s="1436"/>
      <c r="L29" s="3628"/>
      <c r="M29" s="3628"/>
      <c r="N29" s="1506"/>
      <c r="O29" s="3628"/>
      <c r="P29" s="3643"/>
      <c r="Q29" s="1507"/>
      <c r="R29" s="3628"/>
      <c r="S29" s="3628"/>
      <c r="T29" s="1508"/>
      <c r="U29" s="3628"/>
      <c r="V29" s="3643"/>
      <c r="W29" s="1509"/>
      <c r="X29" s="3628"/>
      <c r="Y29" s="3628"/>
      <c r="Z29" s="1506"/>
      <c r="AA29" s="3628"/>
      <c r="AB29" s="3643"/>
      <c r="AC29" s="1510"/>
      <c r="AD29" s="3628"/>
      <c r="AE29" s="3628"/>
      <c r="AF29" s="1435"/>
      <c r="AG29" s="1435"/>
      <c r="AH29" s="1511"/>
      <c r="AI29" s="1218"/>
      <c r="AJ29" s="1496"/>
      <c r="BM29" s="228">
        <v>14</v>
      </c>
    </row>
    <row r="30" spans="4:65" ht="14.65" customHeight="1">
      <c r="D30" s="3674"/>
      <c r="E30" s="3670"/>
      <c r="F30" s="3670"/>
      <c r="G30" s="3677"/>
      <c r="H30" s="1522"/>
      <c r="I30" s="3673"/>
      <c r="J30" s="3644"/>
      <c r="K30" s="1505"/>
      <c r="L30" s="3629"/>
      <c r="M30" s="3629"/>
      <c r="N30" s="1512"/>
      <c r="O30" s="3629"/>
      <c r="P30" s="3644"/>
      <c r="Q30" s="1513"/>
      <c r="R30" s="3629"/>
      <c r="S30" s="3629"/>
      <c r="T30" s="1514"/>
      <c r="U30" s="3629"/>
      <c r="V30" s="3644"/>
      <c r="W30" s="1515"/>
      <c r="X30" s="3629"/>
      <c r="Y30" s="3629"/>
      <c r="Z30" s="1512"/>
      <c r="AA30" s="3629"/>
      <c r="AB30" s="3644"/>
      <c r="AC30" s="1516"/>
      <c r="AD30" s="3629"/>
      <c r="AE30" s="3629"/>
      <c r="AF30" s="1517"/>
      <c r="AG30" s="1517"/>
      <c r="AH30" s="3668"/>
      <c r="AI30" s="3669"/>
      <c r="AJ30" s="1496"/>
      <c r="BM30" s="228">
        <v>14</v>
      </c>
    </row>
    <row r="31" spans="4:65" ht="14.65" customHeight="1">
      <c r="D31" s="3674"/>
      <c r="E31" s="3670"/>
      <c r="F31" s="3670"/>
      <c r="G31" s="3677"/>
      <c r="H31" s="1522"/>
      <c r="I31" s="3673"/>
      <c r="J31" s="3644"/>
      <c r="K31" s="1505"/>
      <c r="L31" s="3629"/>
      <c r="M31" s="3629"/>
      <c r="N31" s="1512"/>
      <c r="O31" s="3629"/>
      <c r="P31" s="3644"/>
      <c r="Q31" s="1513"/>
      <c r="R31" s="3629"/>
      <c r="S31" s="3629"/>
      <c r="T31" s="1514"/>
      <c r="U31" s="3629"/>
      <c r="V31" s="3644"/>
      <c r="W31" s="1515"/>
      <c r="X31" s="3629"/>
      <c r="Y31" s="3629"/>
      <c r="Z31" s="1434"/>
      <c r="AA31" s="1517"/>
      <c r="AB31" s="3668"/>
      <c r="AC31" s="3668"/>
      <c r="AD31" s="3668"/>
      <c r="AE31" s="3668"/>
      <c r="AF31" s="3668"/>
      <c r="AG31" s="3668"/>
      <c r="AH31" s="3668"/>
      <c r="AI31" s="3669"/>
      <c r="AJ31" s="1496"/>
      <c r="BM31" s="228">
        <v>14</v>
      </c>
    </row>
    <row r="32" spans="4:65" ht="14.65" customHeight="1">
      <c r="D32" s="3674"/>
      <c r="E32" s="3670"/>
      <c r="F32" s="3670"/>
      <c r="G32" s="3677"/>
      <c r="H32" s="1522"/>
      <c r="I32" s="3673"/>
      <c r="J32" s="3644"/>
      <c r="K32" s="1505"/>
      <c r="L32" s="3629"/>
      <c r="M32" s="3629"/>
      <c r="N32" s="1512"/>
      <c r="O32" s="3629"/>
      <c r="P32" s="3644"/>
      <c r="Q32" s="1513"/>
      <c r="R32" s="3629"/>
      <c r="S32" s="3629"/>
      <c r="T32" s="1518"/>
      <c r="U32" s="1519"/>
      <c r="V32" s="3668"/>
      <c r="W32" s="3668"/>
      <c r="X32" s="3668"/>
      <c r="Y32" s="3668"/>
      <c r="Z32" s="3668"/>
      <c r="AA32" s="3668"/>
      <c r="AB32" s="3668"/>
      <c r="AC32" s="3668"/>
      <c r="AD32" s="3668"/>
      <c r="AE32" s="3668"/>
      <c r="AF32" s="3668"/>
      <c r="AG32" s="3668"/>
      <c r="AH32" s="3668"/>
      <c r="AI32" s="3669"/>
      <c r="AJ32" s="1496"/>
      <c r="BM32" s="228">
        <v>14</v>
      </c>
    </row>
    <row r="33" spans="4:65" ht="11.45" customHeight="1">
      <c r="D33" s="3674"/>
      <c r="E33" s="3670"/>
      <c r="F33" s="3670"/>
      <c r="G33" s="3677"/>
      <c r="H33" s="1523"/>
      <c r="I33" s="3673"/>
      <c r="J33" s="3644"/>
      <c r="K33" s="1505"/>
      <c r="L33" s="3629"/>
      <c r="M33" s="3629"/>
      <c r="N33" s="1517"/>
      <c r="O33" s="1517"/>
      <c r="P33" s="3668"/>
      <c r="Q33" s="3668"/>
      <c r="R33" s="3668"/>
      <c r="S33" s="3668"/>
      <c r="T33" s="3668"/>
      <c r="U33" s="3668"/>
      <c r="V33" s="3668"/>
      <c r="W33" s="3668"/>
      <c r="X33" s="3668"/>
      <c r="Y33" s="3668"/>
      <c r="Z33" s="3668"/>
      <c r="AA33" s="3668"/>
      <c r="AB33" s="3668"/>
      <c r="AC33" s="3668"/>
      <c r="AD33" s="3668"/>
      <c r="AE33" s="3668"/>
      <c r="AF33" s="3668"/>
      <c r="AG33" s="3668"/>
      <c r="AH33" s="3668"/>
      <c r="AI33" s="3669"/>
      <c r="AJ33" s="1496"/>
      <c r="BM33" s="228">
        <v>11</v>
      </c>
    </row>
    <row r="34" spans="4:65" s="1476" customFormat="1" ht="11.45" customHeight="1">
      <c r="D34" s="3680"/>
      <c r="E34" s="3681"/>
      <c r="F34" s="3671"/>
      <c r="G34" s="3604"/>
      <c r="H34" s="1520"/>
      <c r="I34" s="1524"/>
      <c r="J34" s="3678"/>
      <c r="K34" s="3678"/>
      <c r="L34" s="3678"/>
      <c r="M34" s="3678"/>
      <c r="N34" s="3678"/>
      <c r="O34" s="3678"/>
      <c r="P34" s="3678"/>
      <c r="Q34" s="3678"/>
      <c r="R34" s="3678"/>
      <c r="S34" s="3678"/>
      <c r="T34" s="3678"/>
      <c r="U34" s="3678"/>
      <c r="V34" s="3678"/>
      <c r="W34" s="3678"/>
      <c r="X34" s="3678"/>
      <c r="Y34" s="3678"/>
      <c r="Z34" s="3678"/>
      <c r="AA34" s="3678"/>
      <c r="AB34" s="3678"/>
      <c r="AC34" s="3678"/>
      <c r="AD34" s="3678"/>
      <c r="AE34" s="3678"/>
      <c r="AF34" s="3678"/>
      <c r="AG34" s="3678"/>
      <c r="AH34" s="3678"/>
      <c r="AI34" s="3679"/>
      <c r="AJ34" s="1496"/>
      <c r="AK34" s="241"/>
      <c r="AL34" s="1496"/>
      <c r="AM34" s="1496"/>
      <c r="AN34" s="1496"/>
      <c r="AO34" s="1496"/>
      <c r="AP34" s="1496"/>
      <c r="AQ34" s="1496"/>
      <c r="AR34" s="1496"/>
      <c r="AS34" s="1496"/>
      <c r="AT34" s="1496"/>
      <c r="AU34" s="1496"/>
      <c r="AV34" s="1496"/>
      <c r="AW34" s="1496"/>
      <c r="AX34" s="1496"/>
      <c r="AY34" s="1496"/>
      <c r="AZ34" s="1496"/>
      <c r="BA34" s="1496"/>
      <c r="BB34" s="1496"/>
      <c r="BC34" s="1496"/>
      <c r="BD34" s="1496"/>
      <c r="BE34" s="1496"/>
      <c r="BF34" s="1496"/>
      <c r="BG34" s="1496"/>
      <c r="BH34" s="1496"/>
      <c r="BI34" s="1496"/>
      <c r="BJ34" s="1496"/>
      <c r="BK34" s="1496"/>
      <c r="BL34" s="1496"/>
      <c r="BM34" s="1476">
        <v>11</v>
      </c>
    </row>
    <row r="35" spans="4:65" ht="15" customHeight="1">
      <c r="D35" s="3674" t="s">
        <v>100</v>
      </c>
      <c r="E35" s="3670" t="s">
        <v>338</v>
      </c>
      <c r="F35" s="3670" t="s">
        <v>343</v>
      </c>
      <c r="G35" s="3676" t="s">
        <v>6</v>
      </c>
      <c r="H35" s="1521"/>
      <c r="I35" s="3672"/>
      <c r="J35" s="3643"/>
      <c r="K35" s="1436"/>
      <c r="L35" s="3628"/>
      <c r="M35" s="3628"/>
      <c r="N35" s="1506"/>
      <c r="O35" s="3628"/>
      <c r="P35" s="3643"/>
      <c r="Q35" s="1507"/>
      <c r="R35" s="3628"/>
      <c r="S35" s="3628"/>
      <c r="T35" s="1508"/>
      <c r="U35" s="3628"/>
      <c r="V35" s="3643"/>
      <c r="W35" s="1509"/>
      <c r="X35" s="3628"/>
      <c r="Y35" s="3628"/>
      <c r="Z35" s="1506"/>
      <c r="AA35" s="3628"/>
      <c r="AB35" s="3643"/>
      <c r="AC35" s="1510"/>
      <c r="AD35" s="3628"/>
      <c r="AE35" s="3628"/>
      <c r="AF35" s="1435"/>
      <c r="AG35" s="1435"/>
      <c r="AH35" s="1511"/>
      <c r="AI35" s="1218"/>
      <c r="AJ35" s="1496"/>
      <c r="BM35" s="228">
        <v>14</v>
      </c>
    </row>
    <row r="36" spans="4:65" ht="14.65" customHeight="1">
      <c r="D36" s="3674"/>
      <c r="E36" s="3670"/>
      <c r="F36" s="3670"/>
      <c r="G36" s="3677"/>
      <c r="H36" s="1522"/>
      <c r="I36" s="3673"/>
      <c r="J36" s="3644"/>
      <c r="K36" s="1505"/>
      <c r="L36" s="3629"/>
      <c r="M36" s="3629"/>
      <c r="N36" s="1512"/>
      <c r="O36" s="3629"/>
      <c r="P36" s="3644"/>
      <c r="Q36" s="1513"/>
      <c r="R36" s="3629"/>
      <c r="S36" s="3629"/>
      <c r="T36" s="1514"/>
      <c r="U36" s="3629"/>
      <c r="V36" s="3644"/>
      <c r="W36" s="1515"/>
      <c r="X36" s="3629"/>
      <c r="Y36" s="3629"/>
      <c r="Z36" s="1512"/>
      <c r="AA36" s="3629"/>
      <c r="AB36" s="3644"/>
      <c r="AC36" s="1516"/>
      <c r="AD36" s="3629"/>
      <c r="AE36" s="3629"/>
      <c r="AF36" s="1517"/>
      <c r="AG36" s="1517"/>
      <c r="AH36" s="3668"/>
      <c r="AI36" s="3669"/>
      <c r="AJ36" s="1496"/>
      <c r="BM36" s="228">
        <v>14</v>
      </c>
    </row>
    <row r="37" spans="4:65" ht="14.65" customHeight="1">
      <c r="D37" s="3674"/>
      <c r="E37" s="3670"/>
      <c r="F37" s="3670"/>
      <c r="G37" s="3677"/>
      <c r="H37" s="1522"/>
      <c r="I37" s="3673"/>
      <c r="J37" s="3644"/>
      <c r="K37" s="1505"/>
      <c r="L37" s="3629"/>
      <c r="M37" s="3629"/>
      <c r="N37" s="1512"/>
      <c r="O37" s="3629"/>
      <c r="P37" s="3644"/>
      <c r="Q37" s="1513"/>
      <c r="R37" s="3629"/>
      <c r="S37" s="3629"/>
      <c r="T37" s="1514"/>
      <c r="U37" s="3629"/>
      <c r="V37" s="3644"/>
      <c r="W37" s="1515"/>
      <c r="X37" s="3629"/>
      <c r="Y37" s="3629"/>
      <c r="Z37" s="1434"/>
      <c r="AA37" s="1517"/>
      <c r="AB37" s="3668"/>
      <c r="AC37" s="3668"/>
      <c r="AD37" s="3668"/>
      <c r="AE37" s="3668"/>
      <c r="AF37" s="3668"/>
      <c r="AG37" s="3668"/>
      <c r="AH37" s="3668"/>
      <c r="AI37" s="3669"/>
      <c r="AJ37" s="1496"/>
      <c r="BM37" s="228">
        <v>14</v>
      </c>
    </row>
    <row r="38" spans="4:65" ht="14.65" customHeight="1">
      <c r="D38" s="3674"/>
      <c r="E38" s="3670"/>
      <c r="F38" s="3670"/>
      <c r="G38" s="3677"/>
      <c r="H38" s="1522"/>
      <c r="I38" s="3673"/>
      <c r="J38" s="3644"/>
      <c r="K38" s="1505"/>
      <c r="L38" s="3629"/>
      <c r="M38" s="3629"/>
      <c r="N38" s="1512"/>
      <c r="O38" s="3629"/>
      <c r="P38" s="3644"/>
      <c r="Q38" s="1513"/>
      <c r="R38" s="3629"/>
      <c r="S38" s="3629"/>
      <c r="T38" s="1518"/>
      <c r="U38" s="1519"/>
      <c r="V38" s="3668"/>
      <c r="W38" s="3668"/>
      <c r="X38" s="3668"/>
      <c r="Y38" s="3668"/>
      <c r="Z38" s="3668"/>
      <c r="AA38" s="3668"/>
      <c r="AB38" s="3668"/>
      <c r="AC38" s="3668"/>
      <c r="AD38" s="3668"/>
      <c r="AE38" s="3668"/>
      <c r="AF38" s="3668"/>
      <c r="AG38" s="3668"/>
      <c r="AH38" s="3668"/>
      <c r="AI38" s="3669"/>
      <c r="AJ38" s="1496"/>
      <c r="BM38" s="228">
        <v>14</v>
      </c>
    </row>
    <row r="39" spans="4:65" ht="11.45" customHeight="1">
      <c r="D39" s="3674"/>
      <c r="E39" s="3670"/>
      <c r="F39" s="3670"/>
      <c r="G39" s="3677"/>
      <c r="H39" s="1523"/>
      <c r="I39" s="3673"/>
      <c r="J39" s="3644"/>
      <c r="K39" s="1505"/>
      <c r="L39" s="3629"/>
      <c r="M39" s="3629"/>
      <c r="N39" s="1517"/>
      <c r="O39" s="1517"/>
      <c r="P39" s="3668"/>
      <c r="Q39" s="3668"/>
      <c r="R39" s="3668"/>
      <c r="S39" s="3668"/>
      <c r="T39" s="3668"/>
      <c r="U39" s="3668"/>
      <c r="V39" s="3668"/>
      <c r="W39" s="3668"/>
      <c r="X39" s="3668"/>
      <c r="Y39" s="3668"/>
      <c r="Z39" s="3668"/>
      <c r="AA39" s="3668"/>
      <c r="AB39" s="3668"/>
      <c r="AC39" s="3668"/>
      <c r="AD39" s="3668"/>
      <c r="AE39" s="3668"/>
      <c r="AF39" s="3668"/>
      <c r="AG39" s="3668"/>
      <c r="AH39" s="3668"/>
      <c r="AI39" s="3669"/>
      <c r="AJ39" s="1496"/>
      <c r="BM39" s="228">
        <v>11</v>
      </c>
    </row>
    <row r="40" spans="4:65" s="1476" customFormat="1" ht="11.45" customHeight="1">
      <c r="D40" s="3674"/>
      <c r="E40" s="3670"/>
      <c r="F40" s="3675"/>
      <c r="G40" s="3604"/>
      <c r="H40" s="1520"/>
      <c r="I40" s="1524"/>
      <c r="J40" s="3678"/>
      <c r="K40" s="3678"/>
      <c r="L40" s="3678"/>
      <c r="M40" s="3678"/>
      <c r="N40" s="3678"/>
      <c r="O40" s="3678"/>
      <c r="P40" s="3678"/>
      <c r="Q40" s="3678"/>
      <c r="R40" s="3678"/>
      <c r="S40" s="3678"/>
      <c r="T40" s="3678"/>
      <c r="U40" s="3678"/>
      <c r="V40" s="3678"/>
      <c r="W40" s="3678"/>
      <c r="X40" s="3678"/>
      <c r="Y40" s="3678"/>
      <c r="Z40" s="3678"/>
      <c r="AA40" s="3678"/>
      <c r="AB40" s="3678"/>
      <c r="AC40" s="3678"/>
      <c r="AD40" s="3678"/>
      <c r="AE40" s="3678"/>
      <c r="AF40" s="3678"/>
      <c r="AG40" s="3678"/>
      <c r="AH40" s="3678"/>
      <c r="AI40" s="3679"/>
      <c r="AJ40" s="1496"/>
      <c r="AK40" s="241"/>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6"/>
      <c r="BI40" s="1496"/>
      <c r="BJ40" s="1496"/>
      <c r="BK40" s="1496"/>
      <c r="BL40" s="1496"/>
      <c r="BM40" s="1476">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70</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4" customWidth="1"/>
    <col min="2" max="2" width="11" style="1739" customWidth="1"/>
    <col min="3" max="3" width="9.140625" style="1739"/>
    <col min="4" max="4" width="26.5703125" style="1739" customWidth="1"/>
    <col min="5" max="5" width="36.85546875" style="1714" customWidth="1"/>
    <col min="6" max="6" width="41.42578125" style="1714" customWidth="1"/>
    <col min="7" max="7" width="31.42578125" style="1714" customWidth="1"/>
    <col min="8" max="8" width="40.85546875" style="1714" customWidth="1"/>
    <col min="9" max="9" width="14.5703125" style="1714" customWidth="1"/>
    <col min="10" max="10" width="26.85546875" style="1714" customWidth="1"/>
    <col min="11" max="11" width="50" style="1714" customWidth="1"/>
    <col min="12" max="12" width="52.42578125" style="1714" customWidth="1"/>
    <col min="13" max="13" width="10.7109375" style="1714" customWidth="1"/>
    <col min="14" max="14" width="55.140625" style="1714" customWidth="1"/>
    <col min="15" max="15" width="31.85546875" style="1714" customWidth="1"/>
    <col min="16" max="16" width="23.85546875" style="1714" customWidth="1"/>
    <col min="17" max="17" width="46.5703125" style="1714" customWidth="1"/>
    <col min="18" max="18" width="24" style="1714" customWidth="1"/>
    <col min="19" max="19" width="20.5703125" style="1714" customWidth="1"/>
    <col min="20" max="20" width="22" style="1714" customWidth="1"/>
    <col min="21" max="22" width="26.42578125" style="1714" customWidth="1"/>
    <col min="23" max="23" width="8.28515625" style="1714" hidden="1" customWidth="1"/>
    <col min="24" max="24" width="59.7109375" style="1714" customWidth="1"/>
    <col min="25" max="25" width="49.140625" style="1714" customWidth="1"/>
    <col min="26" max="26" width="11.140625" style="1714" customWidth="1"/>
    <col min="27" max="30" width="29" style="1714" customWidth="1"/>
    <col min="31" max="31" width="9.140625" style="1714"/>
    <col min="32" max="32" width="34.7109375" style="1714" customWidth="1"/>
    <col min="33" max="33" width="9.140625" style="1714"/>
    <col min="34" max="35" width="34.42578125" style="1714" customWidth="1"/>
    <col min="36" max="36" width="9.140625" style="1714"/>
    <col min="37" max="37" width="24.5703125" style="1714" customWidth="1"/>
    <col min="38" max="38" width="9.140625" style="1714"/>
    <col min="39" max="39" width="26.140625" style="1714" customWidth="1"/>
    <col min="40" max="40" width="1.7109375" style="1714" customWidth="1"/>
    <col min="41" max="41" width="9.140625" style="1714"/>
    <col min="42" max="43" width="47.85546875" style="1714" customWidth="1"/>
    <col min="44" max="44" width="1.7109375" style="1714" customWidth="1"/>
    <col min="45" max="45" width="21.42578125" style="1714" customWidth="1"/>
    <col min="46" max="46" width="1.7109375" style="1714" customWidth="1"/>
    <col min="47" max="47" width="31.28515625" style="1714" customWidth="1"/>
    <col min="48" max="48" width="1.7109375" style="1714" customWidth="1"/>
    <col min="49" max="50" width="9.140625" style="1714"/>
    <col min="51" max="51" width="3.7109375" style="1714" customWidth="1"/>
    <col min="52" max="52" width="60.85546875" style="1714" customWidth="1"/>
    <col min="53" max="53" width="49.28515625" style="1714" customWidth="1"/>
    <col min="54" max="54" width="35.140625" style="1714" customWidth="1"/>
    <col min="55" max="55" width="9.140625" style="1714"/>
    <col min="56" max="56" width="1.7109375" style="1714" customWidth="1"/>
    <col min="57" max="58" width="34.5703125" style="992" customWidth="1"/>
    <col min="59" max="59" width="30.7109375" style="1714" customWidth="1"/>
    <col min="60" max="60" width="40.7109375" style="1729" customWidth="1"/>
    <col min="61" max="61" width="15" style="1729" customWidth="1"/>
    <col min="62" max="62" width="40.7109375" style="1729" customWidth="1"/>
    <col min="63" max="63" width="2.7109375" style="1729" customWidth="1"/>
    <col min="64" max="64" width="44.7109375" style="1729" customWidth="1"/>
    <col min="65" max="65" width="2.7109375" style="1729" customWidth="1"/>
    <col min="66" max="66" width="40.7109375" style="1729" customWidth="1"/>
    <col min="67" max="68" width="9.140625" style="1714"/>
    <col min="69" max="69" width="18.140625" style="1714" customWidth="1"/>
    <col min="70" max="70" width="57.85546875" style="1714" customWidth="1"/>
    <col min="71" max="71" width="1.7109375" style="1714" customWidth="1"/>
    <col min="72" max="72" width="22.5703125" style="1714" customWidth="1"/>
    <col min="73" max="73" width="57.85546875" style="1714" customWidth="1"/>
    <col min="74" max="74" width="1.7109375" style="1714" customWidth="1"/>
    <col min="75" max="75" width="22.5703125" style="1714" customWidth="1"/>
    <col min="76" max="76" width="57.85546875" style="1714" customWidth="1"/>
    <col min="77" max="77" width="1.7109375" style="1714" customWidth="1"/>
    <col min="78" max="78" width="22.5703125" style="1714" customWidth="1"/>
    <col min="79" max="79" width="57.85546875" style="1714" customWidth="1"/>
    <col min="80" max="81" width="9.140625" style="1714"/>
    <col min="82" max="82" width="49.5703125" style="1714" customWidth="1"/>
  </cols>
  <sheetData>
    <row r="1" spans="1:79" s="1349" customFormat="1" ht="11.25" customHeight="1">
      <c r="A1" s="993" t="s">
        <v>1686</v>
      </c>
      <c r="B1" s="993" t="s">
        <v>1687</v>
      </c>
      <c r="C1" s="993" t="s">
        <v>1688</v>
      </c>
      <c r="D1" s="993" t="s">
        <v>1689</v>
      </c>
      <c r="E1" s="993" t="s">
        <v>1690</v>
      </c>
      <c r="F1" s="993" t="s">
        <v>1691</v>
      </c>
      <c r="G1" s="993" t="s">
        <v>1692</v>
      </c>
      <c r="H1" s="993" t="s">
        <v>1693</v>
      </c>
      <c r="I1" s="993" t="s">
        <v>1694</v>
      </c>
      <c r="J1" s="993" t="s">
        <v>1695</v>
      </c>
      <c r="K1" s="993" t="s">
        <v>1696</v>
      </c>
      <c r="L1" s="993" t="s">
        <v>1697</v>
      </c>
      <c r="M1" s="993"/>
      <c r="N1" s="993" t="s">
        <v>1698</v>
      </c>
      <c r="O1" s="993" t="s">
        <v>1699</v>
      </c>
      <c r="P1" s="993" t="s">
        <v>1700</v>
      </c>
      <c r="Q1" s="993" t="s">
        <v>1701</v>
      </c>
      <c r="R1" s="993" t="s">
        <v>1702</v>
      </c>
      <c r="S1" s="993" t="s">
        <v>1703</v>
      </c>
      <c r="T1" s="993" t="s">
        <v>1704</v>
      </c>
      <c r="U1" s="993" t="s">
        <v>1705</v>
      </c>
      <c r="V1" s="993"/>
      <c r="W1" s="725" t="s">
        <v>1706</v>
      </c>
      <c r="X1" s="993" t="s">
        <v>1707</v>
      </c>
      <c r="Y1" s="993" t="s">
        <v>1708</v>
      </c>
      <c r="Z1" s="993"/>
      <c r="AA1" s="993" t="s">
        <v>1709</v>
      </c>
      <c r="AB1" s="993"/>
      <c r="AC1" s="993" t="s">
        <v>1710</v>
      </c>
      <c r="AD1" s="993"/>
      <c r="AF1" s="993" t="s">
        <v>1711</v>
      </c>
      <c r="AH1" s="993" t="s">
        <v>1712</v>
      </c>
      <c r="AI1" s="993" t="s">
        <v>1713</v>
      </c>
      <c r="AK1" s="993" t="s">
        <v>1714</v>
      </c>
      <c r="AM1" s="993" t="s">
        <v>1715</v>
      </c>
      <c r="AP1" s="993" t="s">
        <v>1716</v>
      </c>
      <c r="AQ1" s="993" t="s">
        <v>1717</v>
      </c>
      <c r="AS1" s="993" t="s">
        <v>1718</v>
      </c>
      <c r="AU1" s="993" t="s">
        <v>1719</v>
      </c>
      <c r="AW1" s="993" t="s">
        <v>1720</v>
      </c>
      <c r="AX1" s="993" t="s">
        <v>1721</v>
      </c>
      <c r="AZ1" s="1074" t="s">
        <v>1722</v>
      </c>
      <c r="BB1" s="993" t="s">
        <v>1723</v>
      </c>
      <c r="BC1" s="993"/>
      <c r="BE1" s="993" t="s">
        <v>1724</v>
      </c>
      <c r="BF1" s="993" t="s">
        <v>1725</v>
      </c>
      <c r="BH1" s="995" t="s">
        <v>1146</v>
      </c>
      <c r="BI1" s="996"/>
      <c r="BJ1" s="997" t="s">
        <v>1726</v>
      </c>
      <c r="BK1" s="996"/>
      <c r="BL1" s="998" t="s">
        <v>1247</v>
      </c>
      <c r="BM1" s="996"/>
      <c r="BN1" s="999" t="s">
        <v>1727</v>
      </c>
    </row>
    <row r="2" spans="1:79" ht="11.25" customHeight="1">
      <c r="A2" s="1000" t="s">
        <v>1728</v>
      </c>
      <c r="B2" s="1001">
        <v>2000</v>
      </c>
      <c r="C2" s="1001">
        <v>2022</v>
      </c>
      <c r="D2" s="1001" t="s">
        <v>50</v>
      </c>
      <c r="E2" s="1002" t="s">
        <v>1729</v>
      </c>
      <c r="F2" s="1002" t="s">
        <v>1730</v>
      </c>
      <c r="G2" s="1002" t="s">
        <v>1731</v>
      </c>
      <c r="H2" s="1003" t="s">
        <v>42</v>
      </c>
      <c r="I2" s="1002" t="s">
        <v>164</v>
      </c>
      <c r="J2" s="1002" t="s">
        <v>1732</v>
      </c>
      <c r="K2" s="1004" t="s">
        <v>1733</v>
      </c>
      <c r="L2" s="1005"/>
      <c r="M2" s="1004">
        <v>1</v>
      </c>
      <c r="N2" s="1084" t="s">
        <v>1734</v>
      </c>
      <c r="O2" s="1003" t="s">
        <v>1735</v>
      </c>
      <c r="P2" s="1006" t="s">
        <v>25</v>
      </c>
      <c r="Q2" s="1007" t="s">
        <v>1736</v>
      </c>
      <c r="R2" s="80" t="s">
        <v>1737</v>
      </c>
      <c r="S2" s="80" t="s">
        <v>1738</v>
      </c>
      <c r="T2" s="1008" t="s">
        <v>1739</v>
      </c>
      <c r="U2" s="1005" t="s">
        <v>1740</v>
      </c>
      <c r="V2" s="1009">
        <v>1</v>
      </c>
      <c r="W2" s="1010"/>
      <c r="X2" s="1010" t="s">
        <v>1741</v>
      </c>
      <c r="Y2" s="1001" t="s">
        <v>1742</v>
      </c>
      <c r="Z2" s="1011"/>
      <c r="AA2" s="1001" t="s">
        <v>1743</v>
      </c>
      <c r="AB2" s="1012" t="s">
        <v>1743</v>
      </c>
      <c r="AC2" s="1001" t="s">
        <v>1744</v>
      </c>
      <c r="AD2" s="1012" t="s">
        <v>1744</v>
      </c>
      <c r="AF2" s="1003" t="s">
        <v>1740</v>
      </c>
      <c r="AH2" s="1002" t="s">
        <v>1745</v>
      </c>
      <c r="AI2" s="1002" t="s">
        <v>1745</v>
      </c>
      <c r="AK2" s="1002" t="s">
        <v>1746</v>
      </c>
      <c r="AM2" s="1002" t="s">
        <v>1747</v>
      </c>
      <c r="AP2" s="1013" t="s">
        <v>1741</v>
      </c>
      <c r="AQ2" s="1014" t="s">
        <v>1741</v>
      </c>
      <c r="AS2" s="1001" t="s">
        <v>1748</v>
      </c>
      <c r="AU2" s="1043" t="s">
        <v>1749</v>
      </c>
      <c r="AW2" s="1043" t="s">
        <v>1750</v>
      </c>
      <c r="AX2" s="1043" t="s">
        <v>1750</v>
      </c>
      <c r="AZ2" s="1043" t="s">
        <v>40</v>
      </c>
      <c r="BB2" s="1043" t="s">
        <v>612</v>
      </c>
      <c r="BC2" s="1043" t="s">
        <v>613</v>
      </c>
      <c r="BE2" s="1974" t="s">
        <v>1751</v>
      </c>
      <c r="BF2" s="1974" t="s">
        <v>1751</v>
      </c>
    </row>
    <row r="3" spans="1:79" ht="11.25" customHeight="1">
      <c r="A3" s="1000" t="s">
        <v>1752</v>
      </c>
      <c r="B3" s="1001">
        <v>2001</v>
      </c>
      <c r="C3" s="1001">
        <v>2023</v>
      </c>
      <c r="D3" s="1001" t="s">
        <v>6</v>
      </c>
      <c r="E3" s="1002" t="s">
        <v>1753</v>
      </c>
      <c r="F3" s="1002" t="s">
        <v>1754</v>
      </c>
      <c r="G3" s="1002" t="s">
        <v>1755</v>
      </c>
      <c r="H3" s="1003" t="s">
        <v>1756</v>
      </c>
      <c r="I3" s="1002" t="s">
        <v>89</v>
      </c>
      <c r="J3" s="1002" t="s">
        <v>599</v>
      </c>
      <c r="K3" s="1004" t="s">
        <v>1757</v>
      </c>
      <c r="L3" s="1005">
        <f>IFERROR(MATCH(K3,OFFER_METHOD,0),0)</f>
        <v>0</v>
      </c>
      <c r="M3" s="1004">
        <v>2</v>
      </c>
      <c r="N3" s="1084" t="s">
        <v>1758</v>
      </c>
      <c r="O3" s="1003" t="s">
        <v>1759</v>
      </c>
      <c r="P3" s="1006" t="s">
        <v>1760</v>
      </c>
      <c r="Q3" s="1007" t="s">
        <v>1761</v>
      </c>
      <c r="R3" s="80" t="s">
        <v>1762</v>
      </c>
      <c r="S3" s="80" t="s">
        <v>1763</v>
      </c>
      <c r="T3" s="1008" t="s">
        <v>1764</v>
      </c>
      <c r="U3" s="1005" t="s">
        <v>1765</v>
      </c>
      <c r="V3" s="1009">
        <v>2</v>
      </c>
      <c r="W3" s="1010"/>
      <c r="X3" s="1010" t="s">
        <v>1766</v>
      </c>
      <c r="Y3" s="1001" t="s">
        <v>1742</v>
      </c>
      <c r="Z3" s="1011"/>
      <c r="AA3" s="1001" t="s">
        <v>1767</v>
      </c>
      <c r="AB3" s="1012" t="s">
        <v>1767</v>
      </c>
      <c r="AC3" s="1001" t="s">
        <v>1768</v>
      </c>
      <c r="AD3" s="1012" t="s">
        <v>1768</v>
      </c>
      <c r="AF3" s="1003" t="s">
        <v>1765</v>
      </c>
      <c r="AH3" s="1002" t="s">
        <v>1769</v>
      </c>
      <c r="AI3" s="1002" t="s">
        <v>1770</v>
      </c>
      <c r="AK3" s="1002" t="s">
        <v>1771</v>
      </c>
      <c r="AM3" s="1002" t="s">
        <v>1772</v>
      </c>
      <c r="AP3" s="1013" t="s">
        <v>1773</v>
      </c>
      <c r="AQ3" s="1014" t="s">
        <v>1773</v>
      </c>
      <c r="AS3" s="1001" t="s">
        <v>1774</v>
      </c>
      <c r="AU3" s="1043" t="s">
        <v>1775</v>
      </c>
      <c r="AW3" s="1043" t="s">
        <v>1776</v>
      </c>
      <c r="AX3" s="1043" t="s">
        <v>1776</v>
      </c>
      <c r="AZ3" s="1043" t="s">
        <v>1777</v>
      </c>
      <c r="BB3" s="1043" t="s">
        <v>1778</v>
      </c>
      <c r="BC3" s="1043" t="s">
        <v>613</v>
      </c>
      <c r="BE3" s="1974" t="s">
        <v>1779</v>
      </c>
      <c r="BF3" s="1974" t="s">
        <v>1779</v>
      </c>
      <c r="BH3" s="993" t="s">
        <v>1780</v>
      </c>
      <c r="BJ3" s="993" t="s">
        <v>1781</v>
      </c>
      <c r="BL3" s="993" t="s">
        <v>1782</v>
      </c>
      <c r="BN3" s="993" t="s">
        <v>1783</v>
      </c>
      <c r="BR3" s="993" t="s">
        <v>1784</v>
      </c>
      <c r="BS3" s="1350"/>
      <c r="BT3" s="996"/>
      <c r="BU3" s="993" t="s">
        <v>1785</v>
      </c>
      <c r="BV3" s="996"/>
      <c r="BW3" s="1611"/>
      <c r="BX3" s="1613" t="s">
        <v>1786</v>
      </c>
      <c r="CA3" s="993" t="s">
        <v>1787</v>
      </c>
    </row>
    <row r="4" spans="1:79" ht="11.25" customHeight="1">
      <c r="A4" s="1000" t="s">
        <v>1788</v>
      </c>
      <c r="B4" s="1001">
        <v>2002</v>
      </c>
      <c r="C4" s="1001">
        <v>2024</v>
      </c>
      <c r="E4" s="1002" t="s">
        <v>1789</v>
      </c>
      <c r="F4" s="1002" t="s">
        <v>1790</v>
      </c>
      <c r="H4" s="1003" t="s">
        <v>1791</v>
      </c>
      <c r="I4" s="1002" t="s">
        <v>78</v>
      </c>
      <c r="J4" s="1002" t="s">
        <v>1792</v>
      </c>
      <c r="K4" s="1004" t="s">
        <v>1793</v>
      </c>
      <c r="L4" s="1005">
        <f>IFERROR(MATCH(K4,OFFER_METHOD,0),0)</f>
        <v>0</v>
      </c>
      <c r="M4" s="1004">
        <v>3</v>
      </c>
      <c r="N4" s="1084" t="s">
        <v>1794</v>
      </c>
      <c r="O4" s="1002" t="s">
        <v>1795</v>
      </c>
      <c r="Q4" s="1007" t="s">
        <v>1796</v>
      </c>
      <c r="R4" s="80" t="s">
        <v>1797</v>
      </c>
      <c r="S4" s="80" t="s">
        <v>1798</v>
      </c>
      <c r="T4" s="1008" t="s">
        <v>1799</v>
      </c>
      <c r="U4" s="1005" t="s">
        <v>1800</v>
      </c>
      <c r="V4" s="1009">
        <v>3</v>
      </c>
      <c r="W4" s="1010"/>
      <c r="X4" s="1010" t="s">
        <v>1801</v>
      </c>
      <c r="Y4" s="1001" t="s">
        <v>1742</v>
      </c>
      <c r="Z4" s="1016"/>
      <c r="AC4" s="1001" t="s">
        <v>1802</v>
      </c>
      <c r="AD4" s="1012" t="s">
        <v>1802</v>
      </c>
      <c r="AF4" s="1003" t="s">
        <v>1800</v>
      </c>
      <c r="AH4" s="1003" t="s">
        <v>1803</v>
      </c>
      <c r="AK4" s="1002" t="s">
        <v>1804</v>
      </c>
      <c r="AM4" s="1002" t="s">
        <v>1805</v>
      </c>
      <c r="AP4" s="1013" t="s">
        <v>1766</v>
      </c>
      <c r="AQ4" s="1014" t="s">
        <v>1766</v>
      </c>
      <c r="AS4" s="1001" t="s">
        <v>1806</v>
      </c>
      <c r="AU4" s="1043" t="s">
        <v>1807</v>
      </c>
      <c r="AW4" s="1043" t="s">
        <v>1808</v>
      </c>
      <c r="AX4" s="1043" t="s">
        <v>1808</v>
      </c>
      <c r="AZ4" s="1043" t="s">
        <v>1809</v>
      </c>
      <c r="BB4" s="1043" t="s">
        <v>1810</v>
      </c>
      <c r="BC4" s="1043" t="s">
        <v>1811</v>
      </c>
      <c r="BE4" s="1043">
        <v>2000</v>
      </c>
      <c r="BF4" s="1043" t="s">
        <v>1812</v>
      </c>
      <c r="BH4" s="994" t="s">
        <v>1813</v>
      </c>
      <c r="BJ4" s="994" t="s">
        <v>1813</v>
      </c>
      <c r="BL4" s="994" t="s">
        <v>1813</v>
      </c>
      <c r="BN4" s="994" t="s">
        <v>1813</v>
      </c>
      <c r="BQ4" s="1354" t="s">
        <v>1814</v>
      </c>
      <c r="BR4" s="1081" t="s">
        <v>1815</v>
      </c>
      <c r="BS4" s="209"/>
      <c r="BT4" s="1354" t="s">
        <v>1816</v>
      </c>
      <c r="BU4" s="1081" t="s">
        <v>1817</v>
      </c>
      <c r="BV4" s="996"/>
      <c r="BW4" s="1618" t="s">
        <v>1818</v>
      </c>
      <c r="BX4" s="1612" t="s">
        <v>1819</v>
      </c>
      <c r="BZ4" s="1354" t="s">
        <v>1820</v>
      </c>
      <c r="CA4" s="1081" t="s">
        <v>1821</v>
      </c>
    </row>
    <row r="5" spans="1:79" ht="11.25" customHeight="1">
      <c r="A5" s="1000" t="s">
        <v>1822</v>
      </c>
      <c r="B5" s="1001">
        <v>2003</v>
      </c>
      <c r="C5" s="1980">
        <v>2025</v>
      </c>
      <c r="D5" s="1619" t="s">
        <v>1823</v>
      </c>
      <c r="E5" s="1981" t="s">
        <v>1824</v>
      </c>
      <c r="F5" s="1002" t="s">
        <v>1825</v>
      </c>
      <c r="H5" s="1003" t="s">
        <v>1826</v>
      </c>
      <c r="I5" s="1002" t="s">
        <v>79</v>
      </c>
      <c r="K5" s="1004" t="s">
        <v>1827</v>
      </c>
      <c r="L5" s="1005">
        <f>IFERROR(MATCH(K5,OFFER_METHOD,0),0)</f>
        <v>0</v>
      </c>
      <c r="M5" s="1004">
        <v>4</v>
      </c>
      <c r="N5" s="1017" t="s">
        <v>1828</v>
      </c>
      <c r="O5" s="1002" t="s">
        <v>1829</v>
      </c>
      <c r="Q5" s="1007" t="s">
        <v>1830</v>
      </c>
      <c r="R5" s="80" t="s">
        <v>1831</v>
      </c>
      <c r="T5" s="1003" t="s">
        <v>1832</v>
      </c>
      <c r="U5" s="1005" t="s">
        <v>1833</v>
      </c>
      <c r="V5" s="1009">
        <v>4</v>
      </c>
      <c r="W5" s="1010"/>
      <c r="X5" s="1010" t="s">
        <v>213</v>
      </c>
      <c r="Y5" s="1001" t="s">
        <v>1834</v>
      </c>
      <c r="Z5" s="1016">
        <v>1</v>
      </c>
      <c r="AF5" s="1003" t="s">
        <v>1835</v>
      </c>
      <c r="AH5" s="1002" t="s">
        <v>1836</v>
      </c>
      <c r="AK5" s="1002" t="s">
        <v>1837</v>
      </c>
      <c r="AM5" s="1002" t="s">
        <v>1838</v>
      </c>
      <c r="AP5" s="1013" t="s">
        <v>213</v>
      </c>
      <c r="AQ5" s="1014" t="s">
        <v>213</v>
      </c>
      <c r="AU5" s="1043" t="s">
        <v>1839</v>
      </c>
      <c r="AW5" s="1043" t="s">
        <v>1840</v>
      </c>
      <c r="AX5" s="1043" t="s">
        <v>1840</v>
      </c>
      <c r="AZ5" s="1043" t="s">
        <v>1841</v>
      </c>
      <c r="BB5" s="1043" t="s">
        <v>1842</v>
      </c>
      <c r="BC5" s="1043" t="s">
        <v>616</v>
      </c>
      <c r="BE5" s="1043">
        <v>2001</v>
      </c>
      <c r="BF5" s="1043" t="s">
        <v>1485</v>
      </c>
      <c r="BH5" s="994" t="s">
        <v>1443</v>
      </c>
      <c r="BJ5" s="994" t="s">
        <v>1443</v>
      </c>
      <c r="BL5" s="994" t="s">
        <v>1443</v>
      </c>
      <c r="BN5" s="994" t="s">
        <v>1843</v>
      </c>
      <c r="BQ5" s="1203">
        <v>4213775</v>
      </c>
      <c r="BR5" s="994" t="s">
        <v>1741</v>
      </c>
      <c r="BS5" s="1351"/>
      <c r="BT5" s="1203">
        <v>64236871</v>
      </c>
      <c r="BU5" s="994" t="s">
        <v>274</v>
      </c>
      <c r="BV5" s="996"/>
      <c r="BW5" s="1616">
        <v>4213767</v>
      </c>
      <c r="BX5" s="1614" t="s">
        <v>1844</v>
      </c>
      <c r="BZ5" s="1203">
        <v>64237509</v>
      </c>
      <c r="CA5" s="1217" t="s">
        <v>1845</v>
      </c>
    </row>
    <row r="6" spans="1:79" ht="11.25" customHeight="1">
      <c r="A6" s="1000" t="s">
        <v>1846</v>
      </c>
      <c r="B6" s="1001">
        <v>2004</v>
      </c>
      <c r="C6" s="1980">
        <v>2026</v>
      </c>
      <c r="D6" s="1982"/>
      <c r="E6" s="1981" t="s">
        <v>1847</v>
      </c>
      <c r="F6" s="1018"/>
      <c r="H6" s="1003" t="s">
        <v>1848</v>
      </c>
      <c r="I6" s="1002" t="s">
        <v>100</v>
      </c>
      <c r="J6" s="993" t="s">
        <v>1849</v>
      </c>
      <c r="L6" s="1005">
        <f>SUM(kind_of_control_method_filter)</f>
        <v>0</v>
      </c>
      <c r="N6" s="1017" t="s">
        <v>1850</v>
      </c>
      <c r="O6" s="1002" t="s">
        <v>1851</v>
      </c>
      <c r="R6" s="80" t="s">
        <v>1736</v>
      </c>
      <c r="T6" s="1003" t="s">
        <v>1852</v>
      </c>
      <c r="U6" s="1005" t="s">
        <v>1835</v>
      </c>
      <c r="V6" s="1009">
        <v>5</v>
      </c>
      <c r="W6" s="1010"/>
      <c r="X6" s="1001" t="s">
        <v>219</v>
      </c>
      <c r="Y6" s="1001" t="s">
        <v>1853</v>
      </c>
      <c r="Z6" s="1016"/>
      <c r="AA6" s="1019"/>
      <c r="AH6" s="1002" t="s">
        <v>1854</v>
      </c>
      <c r="AK6" s="1002" t="s">
        <v>1855</v>
      </c>
      <c r="AM6" s="1002" t="s">
        <v>1856</v>
      </c>
      <c r="AP6" s="1013" t="s">
        <v>219</v>
      </c>
      <c r="AQ6" s="1014" t="s">
        <v>219</v>
      </c>
      <c r="AU6" s="1043" t="s">
        <v>1857</v>
      </c>
      <c r="AW6" s="1043" t="s">
        <v>1858</v>
      </c>
      <c r="AX6" s="1043" t="s">
        <v>1858</v>
      </c>
      <c r="BB6" s="1043" t="s">
        <v>1859</v>
      </c>
      <c r="BC6" s="1043" t="s">
        <v>616</v>
      </c>
      <c r="BE6" s="1043">
        <v>2002</v>
      </c>
      <c r="BF6" s="1043" t="s">
        <v>1860</v>
      </c>
      <c r="BH6" s="994" t="s">
        <v>1861</v>
      </c>
      <c r="BJ6" s="994" t="s">
        <v>1862</v>
      </c>
      <c r="BL6" s="994" t="s">
        <v>1862</v>
      </c>
      <c r="BN6" s="994" t="s">
        <v>1863</v>
      </c>
      <c r="BQ6" s="1203">
        <v>4213784</v>
      </c>
      <c r="BR6" s="1217" t="s">
        <v>1773</v>
      </c>
      <c r="BS6" s="1352"/>
      <c r="BT6" s="1203">
        <v>64236872</v>
      </c>
      <c r="BU6" s="994" t="s">
        <v>279</v>
      </c>
      <c r="BV6" s="996"/>
      <c r="BW6" s="1616">
        <v>4213768</v>
      </c>
      <c r="BX6" s="1614" t="s">
        <v>299</v>
      </c>
      <c r="BZ6" s="1203">
        <v>64237510</v>
      </c>
      <c r="CA6" s="994" t="s">
        <v>1864</v>
      </c>
    </row>
    <row r="7" spans="1:79" ht="11.25" customHeight="1">
      <c r="A7" s="1000" t="s">
        <v>1865</v>
      </c>
      <c r="B7" s="1001">
        <v>2005</v>
      </c>
      <c r="E7" s="1002" t="s">
        <v>1866</v>
      </c>
      <c r="F7" s="1018"/>
      <c r="H7" s="1003" t="s">
        <v>1867</v>
      </c>
      <c r="I7" s="1002" t="s">
        <v>80</v>
      </c>
      <c r="J7" s="1002" t="s">
        <v>1868</v>
      </c>
      <c r="N7" s="1021" t="s">
        <v>1869</v>
      </c>
      <c r="O7" s="1002" t="s">
        <v>1870</v>
      </c>
      <c r="U7" s="1005" t="s">
        <v>6</v>
      </c>
      <c r="V7" s="304" t="s">
        <v>80</v>
      </c>
      <c r="W7" s="1010"/>
      <c r="X7" s="1001" t="s">
        <v>225</v>
      </c>
      <c r="Y7" s="1001" t="s">
        <v>1834</v>
      </c>
      <c r="Z7" s="1016"/>
      <c r="AA7" s="1019"/>
      <c r="AH7" s="1002" t="s">
        <v>1871</v>
      </c>
      <c r="AK7" s="1002" t="s">
        <v>1872</v>
      </c>
      <c r="AM7" s="1002" t="s">
        <v>1873</v>
      </c>
      <c r="AP7" s="1013" t="s">
        <v>225</v>
      </c>
      <c r="AQ7" s="1014" t="s">
        <v>225</v>
      </c>
      <c r="AU7" s="1043" t="s">
        <v>1874</v>
      </c>
      <c r="AW7" s="1043" t="s">
        <v>1875</v>
      </c>
      <c r="AX7" s="1043" t="s">
        <v>1875</v>
      </c>
      <c r="AZ7" s="993" t="s">
        <v>1876</v>
      </c>
      <c r="BB7" s="1043" t="s">
        <v>1877</v>
      </c>
      <c r="BC7" s="1043" t="s">
        <v>616</v>
      </c>
      <c r="BE7" s="1043">
        <v>2003</v>
      </c>
      <c r="BF7" s="1043" t="s">
        <v>1878</v>
      </c>
      <c r="BH7" s="994" t="s">
        <v>1453</v>
      </c>
      <c r="BJ7" s="994" t="s">
        <v>1861</v>
      </c>
      <c r="BL7" s="994" t="s">
        <v>1861</v>
      </c>
      <c r="BN7" s="994" t="s">
        <v>1879</v>
      </c>
      <c r="BQ7" s="1203">
        <v>4213781</v>
      </c>
      <c r="BR7" s="994" t="s">
        <v>1766</v>
      </c>
      <c r="BS7" s="1351"/>
      <c r="BT7" s="1203">
        <v>64236873</v>
      </c>
      <c r="BU7" s="994" t="s">
        <v>284</v>
      </c>
      <c r="BV7" s="996"/>
      <c r="BW7" s="1616">
        <v>4213769</v>
      </c>
      <c r="BX7" s="1614" t="s">
        <v>1880</v>
      </c>
      <c r="BZ7" s="1203">
        <v>64237511</v>
      </c>
      <c r="CA7" s="994" t="s">
        <v>314</v>
      </c>
    </row>
    <row r="8" spans="1:79" ht="11.25" customHeight="1">
      <c r="A8" s="1000" t="s">
        <v>1881</v>
      </c>
      <c r="B8" s="1001">
        <v>2006</v>
      </c>
      <c r="E8" s="1002" t="s">
        <v>1882</v>
      </c>
      <c r="F8" s="1018"/>
      <c r="H8" s="1003" t="s">
        <v>1883</v>
      </c>
      <c r="I8" s="1002" t="s">
        <v>81</v>
      </c>
      <c r="J8" s="1002" t="s">
        <v>1884</v>
      </c>
      <c r="N8" s="1085" t="s">
        <v>1885</v>
      </c>
      <c r="O8" s="1002" t="s">
        <v>1886</v>
      </c>
      <c r="V8" s="304" t="s">
        <v>81</v>
      </c>
      <c r="W8" s="1010"/>
      <c r="X8" s="1001" t="s">
        <v>231</v>
      </c>
      <c r="Y8" s="1001" t="s">
        <v>1834</v>
      </c>
      <c r="Z8" s="1016"/>
      <c r="AA8" s="1019"/>
      <c r="AK8" s="1002" t="s">
        <v>1887</v>
      </c>
      <c r="AP8" s="1013" t="s">
        <v>231</v>
      </c>
      <c r="AQ8" s="1014" t="s">
        <v>231</v>
      </c>
      <c r="AU8" s="1043" t="s">
        <v>1888</v>
      </c>
      <c r="AW8" s="1043" t="s">
        <v>1889</v>
      </c>
      <c r="AX8" s="1043" t="s">
        <v>1889</v>
      </c>
      <c r="AZ8" s="1043" t="s">
        <v>55</v>
      </c>
      <c r="BB8" s="1043" t="s">
        <v>1890</v>
      </c>
      <c r="BC8" s="1043" t="s">
        <v>616</v>
      </c>
      <c r="BE8" s="1043">
        <v>2004</v>
      </c>
      <c r="BF8" s="1043" t="s">
        <v>1891</v>
      </c>
      <c r="BH8" s="994" t="s">
        <v>1892</v>
      </c>
      <c r="BJ8" s="994" t="s">
        <v>1893</v>
      </c>
      <c r="BL8" s="994" t="s">
        <v>1893</v>
      </c>
      <c r="BN8" s="994" t="s">
        <v>1473</v>
      </c>
      <c r="BQ8" s="1203">
        <v>4213776</v>
      </c>
      <c r="BR8" s="994" t="s">
        <v>213</v>
      </c>
      <c r="BS8" s="1351"/>
      <c r="BT8" s="1203">
        <v>64236874</v>
      </c>
      <c r="BU8" s="1217" t="s">
        <v>1894</v>
      </c>
      <c r="BV8" s="996"/>
      <c r="BW8" s="1616">
        <v>4213770</v>
      </c>
      <c r="BX8" s="1617" t="s">
        <v>1895</v>
      </c>
      <c r="BZ8" s="1203">
        <v>64237512</v>
      </c>
      <c r="CA8" s="994" t="s">
        <v>309</v>
      </c>
    </row>
    <row r="9" spans="1:79" ht="11.25" customHeight="1">
      <c r="A9" s="1000" t="s">
        <v>1896</v>
      </c>
      <c r="B9" s="1001">
        <v>2007</v>
      </c>
      <c r="E9" s="1002" t="s">
        <v>1897</v>
      </c>
      <c r="F9" s="1983" t="s">
        <v>1898</v>
      </c>
      <c r="G9" s="993" t="s">
        <v>1899</v>
      </c>
      <c r="H9" s="993" t="s">
        <v>1900</v>
      </c>
      <c r="I9" s="1002" t="s">
        <v>110</v>
      </c>
      <c r="O9" s="1002" t="s">
        <v>1901</v>
      </c>
      <c r="V9" s="304" t="s">
        <v>110</v>
      </c>
      <c r="W9" s="1010"/>
      <c r="X9" s="1001" t="s">
        <v>237</v>
      </c>
      <c r="Y9" s="1001" t="s">
        <v>1742</v>
      </c>
      <c r="Z9" s="1016">
        <v>1</v>
      </c>
      <c r="AA9" s="1019"/>
      <c r="AK9" s="1002" t="s">
        <v>1902</v>
      </c>
      <c r="AP9" s="1013" t="s">
        <v>1903</v>
      </c>
      <c r="AQ9" s="1014" t="s">
        <v>1903</v>
      </c>
      <c r="AW9" s="1043" t="s">
        <v>1904</v>
      </c>
      <c r="AX9" s="1043" t="s">
        <v>1904</v>
      </c>
      <c r="AZ9" s="1043" t="s">
        <v>1905</v>
      </c>
      <c r="BB9" s="1043" t="s">
        <v>1906</v>
      </c>
      <c r="BC9" s="1043" t="s">
        <v>616</v>
      </c>
      <c r="BE9" s="1043">
        <v>2005</v>
      </c>
      <c r="BF9" s="1043" t="s">
        <v>1907</v>
      </c>
      <c r="BH9" s="994" t="s">
        <v>1908</v>
      </c>
      <c r="BJ9" s="994" t="s">
        <v>1909</v>
      </c>
      <c r="BL9" s="994" t="s">
        <v>1909</v>
      </c>
      <c r="BN9" s="994" t="s">
        <v>1910</v>
      </c>
      <c r="BQ9" s="1203">
        <v>4213777</v>
      </c>
      <c r="BR9" s="994" t="s">
        <v>219</v>
      </c>
      <c r="BS9" s="1351"/>
      <c r="BT9" s="1203">
        <v>64236875</v>
      </c>
      <c r="BU9" s="994" t="s">
        <v>289</v>
      </c>
      <c r="BV9" s="996"/>
      <c r="BW9" s="1611"/>
      <c r="BX9" s="1611"/>
    </row>
    <row r="10" spans="1:79" ht="11.25" customHeight="1">
      <c r="A10" s="1000" t="s">
        <v>1911</v>
      </c>
      <c r="B10" s="1001">
        <v>2008</v>
      </c>
      <c r="E10" s="1004" t="s">
        <v>1912</v>
      </c>
      <c r="F10" s="1984" t="s">
        <v>1913</v>
      </c>
      <c r="G10" s="1981" t="s">
        <v>1914</v>
      </c>
      <c r="H10" s="1002" t="s">
        <v>1915</v>
      </c>
      <c r="I10" s="1002" t="s">
        <v>114</v>
      </c>
      <c r="J10" s="993" t="s">
        <v>1916</v>
      </c>
      <c r="K10" s="993" t="s">
        <v>1917</v>
      </c>
      <c r="O10" s="1002" t="s">
        <v>1918</v>
      </c>
      <c r="V10" s="305" t="s">
        <v>114</v>
      </c>
      <c r="W10" s="1022"/>
      <c r="X10" s="1022" t="s">
        <v>1919</v>
      </c>
      <c r="Y10" s="1023" t="s">
        <v>1920</v>
      </c>
      <c r="Z10" s="1016"/>
      <c r="AP10" s="1013" t="s">
        <v>1919</v>
      </c>
      <c r="AQ10" s="1014" t="s">
        <v>1919</v>
      </c>
      <c r="AW10" s="1043" t="s">
        <v>1921</v>
      </c>
      <c r="AX10" s="1043" t="s">
        <v>1921</v>
      </c>
      <c r="AZ10" s="1043" t="s">
        <v>1922</v>
      </c>
      <c r="BB10" s="1043" t="s">
        <v>1923</v>
      </c>
      <c r="BC10" s="1043" t="s">
        <v>616</v>
      </c>
      <c r="BE10" s="1043">
        <v>2006</v>
      </c>
      <c r="BF10" s="1043" t="s">
        <v>1924</v>
      </c>
      <c r="BH10" s="994" t="s">
        <v>1925</v>
      </c>
      <c r="BJ10" s="994" t="s">
        <v>1926</v>
      </c>
      <c r="BL10" s="994" t="s">
        <v>1926</v>
      </c>
      <c r="BN10" s="994" t="s">
        <v>1927</v>
      </c>
      <c r="BQ10" s="1203">
        <v>4213778</v>
      </c>
      <c r="BR10" s="994" t="s">
        <v>225</v>
      </c>
      <c r="BS10" s="1351"/>
      <c r="BT10" s="1203">
        <v>64236876</v>
      </c>
      <c r="BU10" s="994" t="s">
        <v>269</v>
      </c>
      <c r="BV10" s="996"/>
      <c r="BW10" s="1611"/>
      <c r="BX10" s="1611"/>
    </row>
    <row r="11" spans="1:79" ht="11.25" customHeight="1">
      <c r="A11" s="1000" t="s">
        <v>1928</v>
      </c>
      <c r="B11" s="1001">
        <v>2009</v>
      </c>
      <c r="E11" s="1004" t="s">
        <v>1929</v>
      </c>
      <c r="F11" s="1984" t="s">
        <v>1930</v>
      </c>
      <c r="G11" s="1981" t="s">
        <v>1931</v>
      </c>
      <c r="H11" s="1002" t="s">
        <v>1932</v>
      </c>
      <c r="I11" s="1002" t="s">
        <v>118</v>
      </c>
      <c r="J11" s="1003" t="s">
        <v>1933</v>
      </c>
      <c r="K11" s="1024" t="s">
        <v>617</v>
      </c>
      <c r="O11" s="1003" t="s">
        <v>1325</v>
      </c>
      <c r="V11" s="304" t="s">
        <v>118</v>
      </c>
      <c r="W11" s="210"/>
      <c r="X11" s="1010" t="s">
        <v>1903</v>
      </c>
      <c r="Y11" s="1001" t="s">
        <v>1934</v>
      </c>
      <c r="Z11" s="1016"/>
      <c r="AP11" s="1013" t="s">
        <v>237</v>
      </c>
      <c r="AQ11" s="1015" t="s">
        <v>237</v>
      </c>
      <c r="AW11" s="1043" t="s">
        <v>1935</v>
      </c>
      <c r="AX11" s="1043" t="s">
        <v>1935</v>
      </c>
      <c r="AZ11" s="1043" t="s">
        <v>1936</v>
      </c>
      <c r="BB11" s="1043" t="s">
        <v>615</v>
      </c>
      <c r="BC11" s="1043" t="s">
        <v>616</v>
      </c>
      <c r="BE11" s="1043">
        <v>2007</v>
      </c>
      <c r="BF11" s="1043" t="s">
        <v>1937</v>
      </c>
      <c r="BH11" s="994" t="s">
        <v>1938</v>
      </c>
      <c r="BJ11" s="994" t="s">
        <v>1908</v>
      </c>
      <c r="BL11" s="994" t="s">
        <v>1908</v>
      </c>
      <c r="BN11" s="994" t="s">
        <v>1939</v>
      </c>
      <c r="BQ11" s="1203">
        <v>4213780</v>
      </c>
      <c r="BR11" s="994" t="s">
        <v>231</v>
      </c>
      <c r="BS11" s="1351"/>
      <c r="BW11" s="1611"/>
      <c r="BX11" s="1611"/>
    </row>
    <row r="12" spans="1:79" ht="11.25" customHeight="1">
      <c r="A12" s="1000" t="s">
        <v>1940</v>
      </c>
      <c r="B12" s="1001">
        <v>2010</v>
      </c>
      <c r="E12" s="1004" t="s">
        <v>1941</v>
      </c>
      <c r="F12" s="1984" t="s">
        <v>1942</v>
      </c>
      <c r="G12" s="1981" t="s">
        <v>1932</v>
      </c>
      <c r="I12" s="1002" t="s">
        <v>122</v>
      </c>
      <c r="J12" s="1003" t="s">
        <v>1943</v>
      </c>
      <c r="K12" s="1024" t="s">
        <v>614</v>
      </c>
      <c r="O12" s="1003" t="s">
        <v>1736</v>
      </c>
      <c r="V12" s="304" t="s">
        <v>122</v>
      </c>
      <c r="W12" s="1015"/>
      <c r="X12" s="1010" t="s">
        <v>1944</v>
      </c>
      <c r="Y12" s="1001" t="s">
        <v>1742</v>
      </c>
      <c r="AP12" s="1013"/>
      <c r="AW12" s="1043" t="s">
        <v>118</v>
      </c>
      <c r="AX12" s="1043" t="s">
        <v>118</v>
      </c>
      <c r="AZ12" s="1043" t="s">
        <v>1945</v>
      </c>
      <c r="BB12" s="1043" t="s">
        <v>1946</v>
      </c>
      <c r="BC12" s="1043" t="s">
        <v>616</v>
      </c>
      <c r="BE12" s="1043">
        <v>2008</v>
      </c>
      <c r="BF12" s="1043" t="s">
        <v>1947</v>
      </c>
      <c r="BH12" s="994" t="s">
        <v>1948</v>
      </c>
      <c r="BJ12" s="994" t="s">
        <v>1949</v>
      </c>
      <c r="BL12" s="994" t="s">
        <v>1949</v>
      </c>
      <c r="BN12" s="994" t="s">
        <v>1950</v>
      </c>
      <c r="BQ12" s="1203">
        <v>4213779</v>
      </c>
      <c r="BR12" s="994" t="s">
        <v>1903</v>
      </c>
      <c r="BS12" s="1351"/>
      <c r="BT12" s="996"/>
      <c r="BU12" s="996"/>
      <c r="BV12" s="996"/>
      <c r="BW12" s="1611"/>
      <c r="BX12" s="1611"/>
    </row>
    <row r="13" spans="1:79" ht="11.25" customHeight="1">
      <c r="A13" s="1000" t="s">
        <v>1951</v>
      </c>
      <c r="B13" s="1001">
        <v>2011</v>
      </c>
      <c r="E13" s="1002" t="s">
        <v>1952</v>
      </c>
      <c r="F13" s="1018"/>
      <c r="I13" s="1002" t="s">
        <v>126</v>
      </c>
      <c r="K13" s="1024" t="s">
        <v>1902</v>
      </c>
      <c r="V13" s="304" t="s">
        <v>126</v>
      </c>
      <c r="W13" s="1015"/>
      <c r="X13" s="1015"/>
      <c r="Y13" s="1015"/>
      <c r="AW13" s="1043" t="s">
        <v>122</v>
      </c>
      <c r="AX13" s="1043" t="s">
        <v>122</v>
      </c>
      <c r="BB13" s="1043" t="s">
        <v>1953</v>
      </c>
      <c r="BC13" s="1043" t="s">
        <v>1954</v>
      </c>
      <c r="BE13" s="1043">
        <v>2009</v>
      </c>
      <c r="BF13" s="1043" t="s">
        <v>1506</v>
      </c>
      <c r="BH13" s="994" t="s">
        <v>1955</v>
      </c>
      <c r="BJ13" s="994" t="s">
        <v>1938</v>
      </c>
      <c r="BL13" s="994" t="s">
        <v>1938</v>
      </c>
      <c r="BN13" s="994" t="s">
        <v>1956</v>
      </c>
      <c r="BQ13" s="1203">
        <v>4213783</v>
      </c>
      <c r="BR13" s="994" t="s">
        <v>1919</v>
      </c>
      <c r="BS13" s="1351"/>
      <c r="BT13" s="996"/>
      <c r="BU13" s="996"/>
      <c r="BV13" s="996"/>
      <c r="BW13" s="1615"/>
      <c r="BX13" s="1611"/>
    </row>
    <row r="14" spans="1:79" ht="11.25" customHeight="1">
      <c r="A14" s="1000" t="s">
        <v>1957</v>
      </c>
      <c r="B14" s="1001">
        <v>2012</v>
      </c>
      <c r="I14" s="1002" t="s">
        <v>130</v>
      </c>
      <c r="J14" s="993" t="s">
        <v>1958</v>
      </c>
      <c r="N14" s="993" t="s">
        <v>1959</v>
      </c>
      <c r="V14" s="1009">
        <v>13</v>
      </c>
      <c r="W14" s="1010"/>
      <c r="X14" s="1010" t="s">
        <v>1773</v>
      </c>
      <c r="Y14" s="1001" t="s">
        <v>1742</v>
      </c>
      <c r="AW14" s="1043" t="s">
        <v>126</v>
      </c>
      <c r="AX14" s="1043" t="s">
        <v>126</v>
      </c>
      <c r="AZ14" s="993" t="s">
        <v>1960</v>
      </c>
      <c r="BB14" s="1043" t="s">
        <v>1961</v>
      </c>
      <c r="BC14" s="1043" t="s">
        <v>1954</v>
      </c>
      <c r="BE14" s="1043">
        <v>2010</v>
      </c>
      <c r="BF14" s="1043" t="s">
        <v>1435</v>
      </c>
      <c r="BH14" s="994" t="s">
        <v>1879</v>
      </c>
      <c r="BJ14" s="1139" t="s">
        <v>1962</v>
      </c>
      <c r="BL14" s="1139" t="s">
        <v>1962</v>
      </c>
      <c r="BN14" s="994" t="s">
        <v>1963</v>
      </c>
      <c r="BQ14" s="1203">
        <v>4213782</v>
      </c>
      <c r="BR14" s="994" t="s">
        <v>237</v>
      </c>
      <c r="BS14" s="1351"/>
      <c r="BT14" s="996"/>
      <c r="BU14" s="996"/>
      <c r="BV14" s="996"/>
      <c r="BW14" s="1615"/>
      <c r="BX14" s="1611"/>
    </row>
    <row r="15" spans="1:79" ht="19.5" customHeight="1">
      <c r="A15" s="1000" t="s">
        <v>1964</v>
      </c>
      <c r="B15" s="1001">
        <v>2013</v>
      </c>
      <c r="E15" s="1619" t="s">
        <v>1965</v>
      </c>
      <c r="G15" s="993" t="s">
        <v>1966</v>
      </c>
      <c r="H15" s="993" t="s">
        <v>1967</v>
      </c>
      <c r="I15" s="1004" t="s">
        <v>134</v>
      </c>
      <c r="J15" s="1015" t="s">
        <v>639</v>
      </c>
      <c r="N15" s="1080" t="s">
        <v>1968</v>
      </c>
      <c r="X15" s="1013"/>
      <c r="AW15" s="1043" t="s">
        <v>130</v>
      </c>
      <c r="AX15" s="1043" t="s">
        <v>130</v>
      </c>
      <c r="AZ15" s="1043" t="s">
        <v>55</v>
      </c>
      <c r="BB15" s="1043" t="s">
        <v>1969</v>
      </c>
      <c r="BC15" s="1043" t="s">
        <v>1954</v>
      </c>
      <c r="BE15" s="1043">
        <v>2011</v>
      </c>
      <c r="BF15" s="1043" t="s">
        <v>1447</v>
      </c>
      <c r="BH15" s="994" t="s">
        <v>1473</v>
      </c>
      <c r="BJ15" s="1139" t="s">
        <v>1970</v>
      </c>
      <c r="BL15" s="1139" t="s">
        <v>1970</v>
      </c>
      <c r="BN15" s="994" t="s">
        <v>1493</v>
      </c>
      <c r="BR15" s="996"/>
      <c r="BS15" s="1353"/>
      <c r="BT15" s="996"/>
      <c r="BU15" s="996"/>
      <c r="BV15" s="996"/>
      <c r="BW15" s="1615"/>
      <c r="BX15" s="1611"/>
    </row>
    <row r="16" spans="1:79" ht="21" customHeight="1">
      <c r="A16" s="1759" t="s">
        <v>1971</v>
      </c>
      <c r="B16" s="1001">
        <v>2014</v>
      </c>
      <c r="E16" s="1620" t="s">
        <v>1972</v>
      </c>
      <c r="G16" s="1002" t="s">
        <v>1973</v>
      </c>
      <c r="H16" s="1002" t="s">
        <v>1974</v>
      </c>
      <c r="I16" s="1004" t="s">
        <v>138</v>
      </c>
      <c r="J16" s="1015" t="s">
        <v>599</v>
      </c>
      <c r="N16" s="1080" t="s">
        <v>1975</v>
      </c>
      <c r="AW16" s="1043" t="s">
        <v>134</v>
      </c>
      <c r="AX16" s="1043" t="s">
        <v>134</v>
      </c>
      <c r="AZ16" s="1043" t="s">
        <v>1905</v>
      </c>
      <c r="BB16" s="1043" t="s">
        <v>1976</v>
      </c>
      <c r="BC16" s="1043" t="s">
        <v>1954</v>
      </c>
      <c r="BE16" s="1043">
        <v>2012</v>
      </c>
      <c r="BH16" s="994" t="s">
        <v>1910</v>
      </c>
      <c r="BJ16" s="1139" t="s">
        <v>1977</v>
      </c>
      <c r="BL16" s="1139" t="s">
        <v>1977</v>
      </c>
      <c r="BN16" s="994" t="s">
        <v>1978</v>
      </c>
      <c r="BR16" s="996"/>
      <c r="BS16" s="1353"/>
      <c r="BT16" s="996"/>
      <c r="BU16" s="996"/>
      <c r="BV16" s="996"/>
      <c r="BW16" s="1615"/>
      <c r="BX16" s="1611"/>
    </row>
    <row r="17" spans="1:82" ht="21" customHeight="1">
      <c r="A17" s="1000" t="s">
        <v>1979</v>
      </c>
      <c r="B17" s="1001">
        <v>2015</v>
      </c>
      <c r="G17" s="1002" t="s">
        <v>1932</v>
      </c>
      <c r="H17" s="1002" t="s">
        <v>1932</v>
      </c>
      <c r="I17" s="1002" t="s">
        <v>142</v>
      </c>
      <c r="N17" s="1080" t="s">
        <v>1980</v>
      </c>
      <c r="X17" s="1013"/>
      <c r="AW17" s="1043" t="s">
        <v>138</v>
      </c>
      <c r="AX17" s="1043" t="s">
        <v>138</v>
      </c>
      <c r="AZ17" s="1043" t="s">
        <v>1981</v>
      </c>
      <c r="BB17" s="1043" t="s">
        <v>1982</v>
      </c>
      <c r="BC17" s="1043" t="s">
        <v>616</v>
      </c>
      <c r="BE17" s="1043">
        <v>2013</v>
      </c>
      <c r="BH17" s="994" t="s">
        <v>1927</v>
      </c>
      <c r="BJ17" s="1139" t="s">
        <v>1983</v>
      </c>
      <c r="BL17" s="1139" t="s">
        <v>1983</v>
      </c>
      <c r="BN17" s="994" t="s">
        <v>1984</v>
      </c>
      <c r="BR17" s="993" t="s">
        <v>1784</v>
      </c>
      <c r="BS17" s="1350"/>
      <c r="BU17" s="993" t="s">
        <v>1985</v>
      </c>
      <c r="BV17" s="996"/>
      <c r="BW17" s="1611"/>
      <c r="BX17" s="1613" t="s">
        <v>1986</v>
      </c>
      <c r="CA17" s="993" t="s">
        <v>1987</v>
      </c>
      <c r="CD17" s="993" t="s">
        <v>1988</v>
      </c>
    </row>
    <row r="18" spans="1:82" ht="21" customHeight="1">
      <c r="A18" s="1000" t="s">
        <v>1989</v>
      </c>
      <c r="B18" s="1001">
        <v>2016</v>
      </c>
      <c r="E18" s="1891" t="s">
        <v>1990</v>
      </c>
      <c r="I18" s="1002" t="s">
        <v>91</v>
      </c>
      <c r="N18" s="1080" t="s">
        <v>1991</v>
      </c>
      <c r="X18" s="1013"/>
      <c r="AW18" s="1043" t="s">
        <v>142</v>
      </c>
      <c r="AX18" s="1043" t="s">
        <v>142</v>
      </c>
      <c r="BB18" s="1043" t="s">
        <v>1992</v>
      </c>
      <c r="BC18" s="1043" t="s">
        <v>616</v>
      </c>
      <c r="BE18" s="1043">
        <v>2014</v>
      </c>
      <c r="BH18" s="994" t="s">
        <v>1939</v>
      </c>
      <c r="BJ18" s="1139" t="s">
        <v>1993</v>
      </c>
      <c r="BL18" s="1139" t="s">
        <v>1993</v>
      </c>
      <c r="BN18" s="994" t="s">
        <v>1994</v>
      </c>
      <c r="BQ18" s="1354" t="s">
        <v>1814</v>
      </c>
      <c r="BR18" s="1081" t="s">
        <v>1815</v>
      </c>
      <c r="BS18" s="209"/>
      <c r="BT18" s="1354" t="s">
        <v>1995</v>
      </c>
      <c r="BU18" s="1081" t="s">
        <v>1996</v>
      </c>
      <c r="BV18" s="996"/>
      <c r="BW18" s="1618" t="s">
        <v>1997</v>
      </c>
      <c r="BX18" s="1612" t="s">
        <v>1998</v>
      </c>
      <c r="BZ18" s="1354" t="s">
        <v>1999</v>
      </c>
      <c r="CA18" s="1081" t="s">
        <v>2000</v>
      </c>
      <c r="CC18" s="1354" t="s">
        <v>2001</v>
      </c>
      <c r="CD18" s="1081" t="s">
        <v>2002</v>
      </c>
    </row>
    <row r="19" spans="1:82" ht="21" customHeight="1">
      <c r="A19" s="1759" t="s">
        <v>2003</v>
      </c>
      <c r="B19" s="1001">
        <v>2017</v>
      </c>
      <c r="E19" s="1000" t="s">
        <v>212</v>
      </c>
      <c r="I19" s="1002" t="s">
        <v>149</v>
      </c>
      <c r="N19" s="1080" t="s">
        <v>2004</v>
      </c>
      <c r="X19" s="1013"/>
      <c r="AW19" s="1043" t="s">
        <v>91</v>
      </c>
      <c r="AX19" s="1043" t="s">
        <v>91</v>
      </c>
      <c r="AZ19" s="993" t="s">
        <v>2005</v>
      </c>
      <c r="BB19" s="1043" t="s">
        <v>2006</v>
      </c>
      <c r="BC19" s="1043" t="s">
        <v>616</v>
      </c>
      <c r="BE19" s="1043">
        <v>2015</v>
      </c>
      <c r="BH19" s="994" t="s">
        <v>2007</v>
      </c>
      <c r="BJ19" s="1139" t="s">
        <v>2008</v>
      </c>
      <c r="BL19" s="1139" t="s">
        <v>2008</v>
      </c>
      <c r="BQ19" s="1203">
        <v>4190064</v>
      </c>
      <c r="BR19" s="994" t="s">
        <v>2009</v>
      </c>
      <c r="BS19" s="1351"/>
      <c r="BT19" s="1203">
        <v>4189671</v>
      </c>
      <c r="BU19" s="994" t="s">
        <v>2010</v>
      </c>
      <c r="BV19" s="996"/>
      <c r="BW19" s="1616">
        <v>4189706</v>
      </c>
      <c r="BX19" s="1614" t="s">
        <v>2011</v>
      </c>
      <c r="BZ19" s="1203">
        <v>4189714</v>
      </c>
      <c r="CA19" s="994" t="s">
        <v>2012</v>
      </c>
      <c r="CC19" s="1203">
        <v>4189708</v>
      </c>
      <c r="CD19" s="994" t="s">
        <v>2013</v>
      </c>
    </row>
    <row r="20" spans="1:82" ht="21" customHeight="1">
      <c r="A20" s="1000" t="s">
        <v>2014</v>
      </c>
      <c r="B20" s="1001">
        <v>2018</v>
      </c>
      <c r="E20" s="1000" t="s">
        <v>1773</v>
      </c>
      <c r="I20" s="1002" t="s">
        <v>153</v>
      </c>
      <c r="N20" s="1080" t="s">
        <v>2015</v>
      </c>
      <c r="AW20" s="1043" t="s">
        <v>149</v>
      </c>
      <c r="AX20" s="1043" t="s">
        <v>149</v>
      </c>
      <c r="AZ20" s="1043" t="s">
        <v>2016</v>
      </c>
      <c r="BB20" s="1043" t="s">
        <v>2017</v>
      </c>
      <c r="BC20" s="1043" t="s">
        <v>1954</v>
      </c>
      <c r="BE20" s="1043">
        <v>2016</v>
      </c>
      <c r="BH20" s="994" t="s">
        <v>1950</v>
      </c>
      <c r="BJ20" s="994" t="s">
        <v>1879</v>
      </c>
      <c r="BL20" s="994" t="s">
        <v>1879</v>
      </c>
      <c r="BQ20" s="1203">
        <v>4190065</v>
      </c>
      <c r="BR20" s="994" t="s">
        <v>2018</v>
      </c>
      <c r="BS20" s="1351"/>
      <c r="BT20" s="1203">
        <v>4189672</v>
      </c>
      <c r="BU20" s="994" t="s">
        <v>2019</v>
      </c>
      <c r="BV20" s="996"/>
      <c r="BW20" s="1616">
        <v>4189705</v>
      </c>
      <c r="BX20" s="1614" t="s">
        <v>2020</v>
      </c>
      <c r="BZ20" s="1203">
        <v>4189713</v>
      </c>
      <c r="CA20" s="994" t="s">
        <v>2020</v>
      </c>
      <c r="CC20" s="1203">
        <v>4189709</v>
      </c>
      <c r="CD20" s="994" t="s">
        <v>2021</v>
      </c>
    </row>
    <row r="21" spans="1:82" ht="21" customHeight="1">
      <c r="A21" s="1000" t="s">
        <v>2022</v>
      </c>
      <c r="B21" s="1001">
        <v>2019</v>
      </c>
      <c r="I21" s="1002" t="s">
        <v>2023</v>
      </c>
      <c r="N21" s="1080" t="s">
        <v>2024</v>
      </c>
      <c r="AW21" s="1043" t="s">
        <v>153</v>
      </c>
      <c r="AX21" s="1043" t="s">
        <v>153</v>
      </c>
      <c r="AZ21" s="1043" t="s">
        <v>2025</v>
      </c>
      <c r="BB21" s="1043" t="s">
        <v>2026</v>
      </c>
      <c r="BC21" s="1043" t="s">
        <v>616</v>
      </c>
      <c r="BE21" s="1043">
        <v>2017</v>
      </c>
      <c r="BH21" s="994" t="s">
        <v>1956</v>
      </c>
      <c r="BJ21" s="994" t="s">
        <v>1473</v>
      </c>
      <c r="BL21" s="994" t="s">
        <v>1473</v>
      </c>
      <c r="BQ21" s="1203">
        <v>4190066</v>
      </c>
      <c r="BR21" s="994" t="s">
        <v>2027</v>
      </c>
      <c r="BS21" s="1351"/>
      <c r="BT21" s="1203">
        <v>4189673</v>
      </c>
      <c r="BU21" s="994" t="s">
        <v>2028</v>
      </c>
      <c r="BV21" s="996"/>
      <c r="BW21" s="1616">
        <v>4189707</v>
      </c>
      <c r="BX21" s="1614" t="s">
        <v>2029</v>
      </c>
      <c r="BZ21" s="1203">
        <v>4189712</v>
      </c>
      <c r="CA21" s="994" t="s">
        <v>2030</v>
      </c>
      <c r="CC21" s="1203">
        <v>4189710</v>
      </c>
      <c r="CD21" s="994" t="s">
        <v>2031</v>
      </c>
    </row>
    <row r="22" spans="1:82" ht="21" customHeight="1">
      <c r="A22" s="1000" t="s">
        <v>2032</v>
      </c>
      <c r="B22" s="1001">
        <v>2020</v>
      </c>
      <c r="N22" s="1080" t="s">
        <v>2033</v>
      </c>
      <c r="AW22" s="1043" t="s">
        <v>2023</v>
      </c>
      <c r="AX22" s="1043" t="s">
        <v>2023</v>
      </c>
      <c r="AZ22" s="1043" t="s">
        <v>2034</v>
      </c>
      <c r="BB22" s="1043" t="s">
        <v>2035</v>
      </c>
      <c r="BC22" s="1043" t="s">
        <v>616</v>
      </c>
      <c r="BE22" s="1043">
        <v>2018</v>
      </c>
      <c r="BH22" s="994" t="s">
        <v>1963</v>
      </c>
      <c r="BJ22" s="994" t="s">
        <v>1910</v>
      </c>
      <c r="BL22" s="994" t="s">
        <v>1910</v>
      </c>
      <c r="BQ22" s="1203">
        <v>4190067</v>
      </c>
      <c r="BR22" s="994" t="s">
        <v>2036</v>
      </c>
      <c r="BS22" s="1351"/>
      <c r="BT22" s="1203">
        <v>4189674</v>
      </c>
      <c r="BU22" s="994" t="s">
        <v>2037</v>
      </c>
      <c r="BV22" s="996"/>
      <c r="BW22" s="996"/>
      <c r="CC22" s="1203">
        <v>4189711</v>
      </c>
      <c r="CD22" s="994" t="s">
        <v>338</v>
      </c>
    </row>
    <row r="23" spans="1:82" ht="21" customHeight="1">
      <c r="A23" s="1000" t="s">
        <v>2038</v>
      </c>
      <c r="B23" s="1001">
        <v>2021</v>
      </c>
      <c r="AW23" s="1043" t="s">
        <v>1400</v>
      </c>
      <c r="AX23" s="1043" t="s">
        <v>1400</v>
      </c>
      <c r="AZ23" s="1043" t="s">
        <v>2039</v>
      </c>
      <c r="BB23" s="1043" t="s">
        <v>2040</v>
      </c>
      <c r="BC23" s="1043" t="s">
        <v>613</v>
      </c>
      <c r="BE23" s="1043">
        <v>2019</v>
      </c>
      <c r="BH23" s="994" t="s">
        <v>1493</v>
      </c>
      <c r="BJ23" s="994" t="s">
        <v>1927</v>
      </c>
      <c r="BL23" s="994" t="s">
        <v>1927</v>
      </c>
      <c r="BQ23" s="1203">
        <v>4190068</v>
      </c>
      <c r="BR23" s="994" t="s">
        <v>2041</v>
      </c>
      <c r="BS23" s="1351"/>
      <c r="BT23" s="1203">
        <v>4189675</v>
      </c>
      <c r="BU23" s="994" t="s">
        <v>2042</v>
      </c>
      <c r="BV23" s="996"/>
      <c r="BW23" s="996"/>
      <c r="CC23" s="1203">
        <v>5110778</v>
      </c>
      <c r="CD23" s="994" t="s">
        <v>2043</v>
      </c>
    </row>
    <row r="24" spans="1:82" ht="21" customHeight="1">
      <c r="A24" s="1000" t="s">
        <v>2044</v>
      </c>
      <c r="B24" s="1001">
        <v>2022</v>
      </c>
      <c r="AW24" s="1043" t="s">
        <v>2045</v>
      </c>
      <c r="AX24" s="1043" t="s">
        <v>2045</v>
      </c>
      <c r="AZ24" s="1043" t="s">
        <v>2046</v>
      </c>
      <c r="BB24" s="1043" t="s">
        <v>2047</v>
      </c>
      <c r="BC24" s="1043" t="s">
        <v>2048</v>
      </c>
      <c r="BE24" s="1043">
        <v>2020</v>
      </c>
      <c r="BH24" s="994" t="s">
        <v>1978</v>
      </c>
      <c r="BJ24" s="994" t="s">
        <v>1939</v>
      </c>
      <c r="BL24" s="994" t="s">
        <v>1939</v>
      </c>
      <c r="BQ24" s="1203">
        <v>4190069</v>
      </c>
      <c r="BR24" s="994" t="s">
        <v>2049</v>
      </c>
      <c r="BS24" s="1351"/>
      <c r="BT24" s="1203">
        <v>4189676</v>
      </c>
      <c r="BU24" s="994" t="s">
        <v>2050</v>
      </c>
      <c r="BV24" s="996"/>
      <c r="BW24" s="996"/>
      <c r="CC24" s="1203">
        <v>25575374</v>
      </c>
      <c r="CD24" s="994" t="s">
        <v>2051</v>
      </c>
    </row>
    <row r="25" spans="1:82" ht="11.25" customHeight="1">
      <c r="A25" s="1000" t="s">
        <v>2052</v>
      </c>
      <c r="B25" s="1001">
        <v>2023</v>
      </c>
      <c r="AW25" s="1043" t="s">
        <v>2053</v>
      </c>
      <c r="AX25" s="1043" t="s">
        <v>2053</v>
      </c>
      <c r="AZ25" s="1043" t="s">
        <v>2054</v>
      </c>
      <c r="BB25" s="1043" t="s">
        <v>2055</v>
      </c>
      <c r="BC25" s="1043" t="s">
        <v>2048</v>
      </c>
      <c r="BE25" s="1043">
        <v>2021</v>
      </c>
      <c r="BH25" s="994" t="s">
        <v>1984</v>
      </c>
      <c r="BJ25" s="994" t="s">
        <v>2007</v>
      </c>
      <c r="BL25" s="994" t="s">
        <v>2007</v>
      </c>
      <c r="BQ25" s="1203">
        <v>4190070</v>
      </c>
      <c r="BR25" s="994" t="s">
        <v>2056</v>
      </c>
      <c r="BS25" s="1351"/>
      <c r="BT25" s="1203">
        <v>4189677</v>
      </c>
      <c r="BU25" s="994" t="s">
        <v>2057</v>
      </c>
      <c r="BV25" s="996"/>
      <c r="BW25" s="996"/>
    </row>
    <row r="26" spans="1:82" ht="11.25" customHeight="1">
      <c r="A26" s="1000" t="s">
        <v>2058</v>
      </c>
      <c r="B26" s="1001">
        <v>2024</v>
      </c>
      <c r="J26" s="1624" t="s">
        <v>2059</v>
      </c>
      <c r="AX26" s="1043" t="s">
        <v>2060</v>
      </c>
      <c r="AZ26" s="1043" t="s">
        <v>1325</v>
      </c>
      <c r="BB26" s="1043" t="s">
        <v>2061</v>
      </c>
      <c r="BC26" s="1043" t="s">
        <v>2048</v>
      </c>
      <c r="BE26" s="1043">
        <v>2022</v>
      </c>
      <c r="BH26" s="994" t="s">
        <v>1994</v>
      </c>
      <c r="BJ26" s="994" t="s">
        <v>1950</v>
      </c>
      <c r="BL26" s="994" t="s">
        <v>1950</v>
      </c>
      <c r="BQ26" s="1203">
        <v>4190071</v>
      </c>
      <c r="BR26" s="994" t="s">
        <v>2062</v>
      </c>
      <c r="BS26" s="1351"/>
      <c r="BV26" s="996"/>
      <c r="BW26" s="996"/>
    </row>
    <row r="27" spans="1:82" ht="11.25" customHeight="1">
      <c r="A27" s="1000" t="s">
        <v>2063</v>
      </c>
      <c r="B27" s="1001">
        <v>2025</v>
      </c>
      <c r="J27" s="111" t="s">
        <v>90</v>
      </c>
      <c r="AX27" s="1043" t="s">
        <v>2064</v>
      </c>
      <c r="BB27" s="1043" t="s">
        <v>2065</v>
      </c>
      <c r="BC27" s="1043" t="s">
        <v>2048</v>
      </c>
      <c r="BE27" s="1043">
        <v>2023</v>
      </c>
      <c r="BH27" s="996" t="s">
        <v>9</v>
      </c>
      <c r="BJ27" s="994" t="s">
        <v>1956</v>
      </c>
      <c r="BL27" s="994" t="s">
        <v>1956</v>
      </c>
      <c r="BN27" s="996" t="s">
        <v>9</v>
      </c>
      <c r="BQ27" s="1203">
        <v>4190072</v>
      </c>
      <c r="BR27" s="994" t="s">
        <v>2066</v>
      </c>
      <c r="BS27" s="1351"/>
      <c r="BV27" s="996"/>
      <c r="BW27" s="996"/>
    </row>
    <row r="28" spans="1:82" ht="11.25" customHeight="1">
      <c r="A28" s="1000" t="s">
        <v>2067</v>
      </c>
      <c r="D28" s="1025"/>
      <c r="E28" s="1026"/>
      <c r="F28" s="1026"/>
      <c r="H28" s="1027" t="s">
        <v>2068</v>
      </c>
      <c r="AX28" s="1043" t="s">
        <v>2069</v>
      </c>
      <c r="AZ28" s="993" t="s">
        <v>2070</v>
      </c>
      <c r="BB28" s="1043" t="s">
        <v>2071</v>
      </c>
      <c r="BC28" s="1043" t="s">
        <v>2072</v>
      </c>
      <c r="BE28" s="1043">
        <v>2024</v>
      </c>
      <c r="BH28" s="996" t="s">
        <v>9</v>
      </c>
      <c r="BJ28" s="994" t="s">
        <v>1963</v>
      </c>
      <c r="BL28" s="994" t="s">
        <v>1963</v>
      </c>
      <c r="BN28" s="996" t="s">
        <v>9</v>
      </c>
      <c r="BQ28" s="1203">
        <v>4190073</v>
      </c>
      <c r="BR28" s="994" t="s">
        <v>2073</v>
      </c>
      <c r="BS28" s="1351"/>
      <c r="BV28" s="996"/>
      <c r="BW28" s="996"/>
    </row>
    <row r="29" spans="1:82" ht="11.25" customHeight="1">
      <c r="A29" s="1000" t="s">
        <v>2074</v>
      </c>
      <c r="D29" s="1028" t="s">
        <v>2075</v>
      </c>
      <c r="E29" s="1029" t="str">
        <f>IF(TEMPLATE_GROUP="","",INDEX(StartDateList,MATCH(TEMPLATE_GROUP,CodeTemplateList,0),1))</f>
        <v>01.01.2025</v>
      </c>
      <c r="F29" s="1029" t="str">
        <f>IF(TEMPLATE_GROUP="","",INDEX(EndDateList,MATCH(TEMPLATE_GROUP,CodeTemplateList,0),1))</f>
        <v>31.12.2025</v>
      </c>
      <c r="H29" s="1030" t="s">
        <v>2076</v>
      </c>
      <c r="AX29" s="1043" t="s">
        <v>1392</v>
      </c>
      <c r="AZ29" s="1043" t="s">
        <v>1737</v>
      </c>
      <c r="BB29" s="1043" t="s">
        <v>1325</v>
      </c>
      <c r="BC29" s="1016"/>
      <c r="BE29" s="1043">
        <v>2025</v>
      </c>
      <c r="BJ29" s="994" t="s">
        <v>1493</v>
      </c>
      <c r="BL29" s="994" t="s">
        <v>1493</v>
      </c>
    </row>
    <row r="30" spans="1:82" ht="11.25" customHeight="1">
      <c r="A30" s="1000" t="s">
        <v>2077</v>
      </c>
      <c r="D30" s="1031"/>
      <c r="E30" s="1032"/>
      <c r="F30" s="1032"/>
      <c r="AX30" s="1043" t="s">
        <v>2078</v>
      </c>
      <c r="AZ30" s="1043" t="s">
        <v>1762</v>
      </c>
      <c r="BE30" s="1043">
        <v>2026</v>
      </c>
      <c r="BJ30" s="994" t="s">
        <v>2079</v>
      </c>
      <c r="BL30" s="994" t="s">
        <v>2079</v>
      </c>
    </row>
    <row r="31" spans="1:82" ht="12.75" customHeight="1">
      <c r="A31" s="1000" t="s">
        <v>2080</v>
      </c>
      <c r="D31" s="1025"/>
      <c r="E31" s="1026"/>
      <c r="F31" s="1026"/>
      <c r="H31" s="1033"/>
      <c r="AX31" s="1043" t="s">
        <v>1352</v>
      </c>
      <c r="AZ31" s="1043" t="s">
        <v>2081</v>
      </c>
      <c r="BE31" s="1043">
        <v>2027</v>
      </c>
      <c r="BJ31" s="994" t="s">
        <v>2082</v>
      </c>
      <c r="BL31" s="994" t="s">
        <v>2082</v>
      </c>
    </row>
    <row r="32" spans="1:82" ht="11.25" customHeight="1">
      <c r="A32" s="1000" t="s">
        <v>2083</v>
      </c>
      <c r="D32" s="1028" t="s">
        <v>2084</v>
      </c>
      <c r="E32" s="1029" t="str">
        <f>IF(TEMPLATE_GROUP="","",INDEX(StartDateList,MATCH(TEMPLATE_GROUP,CodeTemplateList,0),1))</f>
        <v>01.01.2025</v>
      </c>
      <c r="F32" s="1029" t="str">
        <f>IF(TEMPLATE_GROUP="","",INDEX(EndDateList,MATCH(TEMPLATE_GROUP,CodeTemplateList,0),1))</f>
        <v>31.12.2025</v>
      </c>
      <c r="H32" s="1034" t="s">
        <v>2085</v>
      </c>
      <c r="O32" s="1000" t="s">
        <v>1735</v>
      </c>
      <c r="AX32" s="1043" t="s">
        <v>1358</v>
      </c>
      <c r="AZ32" s="1043" t="s">
        <v>1831</v>
      </c>
      <c r="BE32" s="1043">
        <v>2028</v>
      </c>
      <c r="BJ32" s="994" t="s">
        <v>1978</v>
      </c>
      <c r="BL32" s="994" t="s">
        <v>1978</v>
      </c>
    </row>
    <row r="33" spans="1:66" ht="11.25" customHeight="1">
      <c r="A33" s="1000" t="s">
        <v>2086</v>
      </c>
      <c r="O33" s="1000" t="s">
        <v>1759</v>
      </c>
      <c r="AX33" s="1043" t="s">
        <v>2087</v>
      </c>
      <c r="AZ33" s="1043" t="s">
        <v>1736</v>
      </c>
      <c r="BE33" s="1043">
        <v>2029</v>
      </c>
      <c r="BJ33" s="994" t="s">
        <v>1984</v>
      </c>
      <c r="BL33" s="994" t="s">
        <v>1984</v>
      </c>
    </row>
    <row r="34" spans="1:66" ht="11.25" customHeight="1">
      <c r="A34" s="1000" t="s">
        <v>2088</v>
      </c>
      <c r="O34" s="1000" t="s">
        <v>1795</v>
      </c>
      <c r="AX34" s="1043" t="s">
        <v>2089</v>
      </c>
      <c r="BE34" s="1043">
        <v>2030</v>
      </c>
      <c r="BJ34" s="994" t="s">
        <v>1994</v>
      </c>
      <c r="BL34" s="994" t="s">
        <v>1994</v>
      </c>
    </row>
    <row r="35" spans="1:66" ht="11.25" customHeight="1">
      <c r="A35" s="1000" t="s">
        <v>2090</v>
      </c>
      <c r="O35" s="1000" t="s">
        <v>1829</v>
      </c>
      <c r="AX35" s="1043" t="s">
        <v>1366</v>
      </c>
      <c r="AZ35" s="993" t="s">
        <v>2091</v>
      </c>
      <c r="BE35" s="1043">
        <v>2031</v>
      </c>
      <c r="BL35" s="994" t="s">
        <v>2092</v>
      </c>
    </row>
    <row r="36" spans="1:66" ht="11.25" customHeight="1">
      <c r="A36" s="1759" t="s">
        <v>2093</v>
      </c>
      <c r="D36" s="1035" t="s">
        <v>2094</v>
      </c>
      <c r="E36" s="1036" t="s">
        <v>1146</v>
      </c>
      <c r="F36" s="1037" t="str">
        <f>INDEX(E37:E41,MATCH(TEMPLATE_SPHERE,F37:F41,0))</f>
        <v>теплоснабжения</v>
      </c>
      <c r="G36" s="1037" t="str">
        <f>INDEX(G37:G41,MATCH(TEMPLATE_SPHERE,F37:F41,0))</f>
        <v>теплоснабжение</v>
      </c>
      <c r="O36" s="1000" t="s">
        <v>1851</v>
      </c>
      <c r="AX36" s="1043" t="s">
        <v>2095</v>
      </c>
      <c r="AZ36" s="1043" t="s">
        <v>1736</v>
      </c>
      <c r="BE36" s="1043">
        <v>2032</v>
      </c>
      <c r="BL36" s="994" t="s">
        <v>2096</v>
      </c>
    </row>
    <row r="37" spans="1:66" ht="11.25" customHeight="1">
      <c r="A37" s="1000" t="s">
        <v>2097</v>
      </c>
      <c r="E37" s="341" t="s">
        <v>2098</v>
      </c>
      <c r="F37" s="1038" t="s">
        <v>1146</v>
      </c>
      <c r="G37" s="341" t="s">
        <v>2099</v>
      </c>
      <c r="O37" s="1000" t="s">
        <v>1870</v>
      </c>
      <c r="AX37" s="1043" t="s">
        <v>2100</v>
      </c>
      <c r="AZ37" s="1043" t="s">
        <v>1761</v>
      </c>
      <c r="BE37" s="1043">
        <v>2033</v>
      </c>
    </row>
    <row r="38" spans="1:66" ht="11.25" customHeight="1">
      <c r="A38" s="1000" t="s">
        <v>2101</v>
      </c>
      <c r="E38" s="341" t="s">
        <v>2102</v>
      </c>
      <c r="F38" s="1039" t="s">
        <v>1194</v>
      </c>
      <c r="G38" s="341" t="s">
        <v>2103</v>
      </c>
      <c r="O38" s="1000" t="s">
        <v>1886</v>
      </c>
      <c r="AX38" s="1043" t="s">
        <v>2104</v>
      </c>
      <c r="AZ38" s="1043" t="s">
        <v>1796</v>
      </c>
      <c r="BE38" s="1043">
        <v>2034</v>
      </c>
      <c r="BH38" s="993" t="s">
        <v>2105</v>
      </c>
      <c r="BJ38" s="993" t="s">
        <v>2106</v>
      </c>
      <c r="BL38" s="993" t="s">
        <v>2107</v>
      </c>
      <c r="BN38" s="993" t="s">
        <v>2108</v>
      </c>
    </row>
    <row r="39" spans="1:66" ht="11.25" customHeight="1">
      <c r="A39" s="1000" t="s">
        <v>2109</v>
      </c>
      <c r="E39" s="341" t="s">
        <v>2110</v>
      </c>
      <c r="F39" s="1039" t="s">
        <v>1247</v>
      </c>
      <c r="G39" s="341" t="s">
        <v>2111</v>
      </c>
      <c r="O39" s="1000" t="s">
        <v>1901</v>
      </c>
      <c r="AX39" s="1043" t="s">
        <v>2112</v>
      </c>
      <c r="AZ39" s="1043" t="s">
        <v>1830</v>
      </c>
      <c r="BE39" s="1043">
        <v>2035</v>
      </c>
      <c r="BH39" s="994" t="s">
        <v>2113</v>
      </c>
      <c r="BJ39" s="1139" t="s">
        <v>2113</v>
      </c>
      <c r="BL39" s="1139" t="s">
        <v>2113</v>
      </c>
      <c r="BN39" s="994" t="s">
        <v>2114</v>
      </c>
    </row>
    <row r="40" spans="1:66" ht="11.25" customHeight="1">
      <c r="A40" s="1000" t="s">
        <v>2115</v>
      </c>
      <c r="E40" s="341" t="s">
        <v>2116</v>
      </c>
      <c r="F40" s="1039" t="s">
        <v>1234</v>
      </c>
      <c r="G40" s="341" t="s">
        <v>2117</v>
      </c>
      <c r="O40" s="1000" t="s">
        <v>1918</v>
      </c>
      <c r="AX40" s="1043" t="s">
        <v>94</v>
      </c>
      <c r="BE40" s="1043">
        <v>2036</v>
      </c>
      <c r="BH40" s="994" t="s">
        <v>2118</v>
      </c>
      <c r="BJ40" s="1139" t="s">
        <v>1545</v>
      </c>
      <c r="BL40" s="1139" t="s">
        <v>1545</v>
      </c>
      <c r="BN40" s="994" t="s">
        <v>1579</v>
      </c>
    </row>
    <row r="41" spans="1:66" ht="11.25" customHeight="1">
      <c r="A41" s="1000" t="s">
        <v>2119</v>
      </c>
      <c r="E41" s="341" t="s">
        <v>2120</v>
      </c>
      <c r="F41" s="1039" t="s">
        <v>2121</v>
      </c>
      <c r="G41" s="341" t="s">
        <v>2120</v>
      </c>
      <c r="O41" s="1000" t="s">
        <v>1325</v>
      </c>
      <c r="AX41" s="1043" t="s">
        <v>2122</v>
      </c>
      <c r="AZ41" s="993" t="s">
        <v>2123</v>
      </c>
      <c r="BE41" s="1043">
        <v>2037</v>
      </c>
      <c r="BH41" s="994" t="s">
        <v>2124</v>
      </c>
      <c r="BJ41" s="1139" t="s">
        <v>1541</v>
      </c>
      <c r="BL41" s="1139" t="s">
        <v>1541</v>
      </c>
      <c r="BN41" s="994" t="s">
        <v>1566</v>
      </c>
    </row>
    <row r="42" spans="1:66" ht="11.25" customHeight="1">
      <c r="A42" s="1000" t="s">
        <v>2125</v>
      </c>
      <c r="AX42" s="1043" t="s">
        <v>2126</v>
      </c>
      <c r="AZ42" s="1043" t="s">
        <v>1735</v>
      </c>
      <c r="BE42" s="1043">
        <v>2038</v>
      </c>
      <c r="BH42" s="994" t="s">
        <v>1563</v>
      </c>
      <c r="BJ42" s="1139" t="s">
        <v>1543</v>
      </c>
      <c r="BL42" s="1139" t="s">
        <v>1543</v>
      </c>
      <c r="BN42" s="994" t="s">
        <v>2127</v>
      </c>
    </row>
    <row r="43" spans="1:66" ht="11.25" customHeight="1">
      <c r="A43" s="1000" t="s">
        <v>2128</v>
      </c>
      <c r="AX43" s="1043" t="s">
        <v>2129</v>
      </c>
      <c r="AZ43" s="1043" t="s">
        <v>1759</v>
      </c>
      <c r="BE43" s="1043">
        <v>2039</v>
      </c>
      <c r="BH43" s="994" t="s">
        <v>2130</v>
      </c>
      <c r="BJ43" s="1139" t="s">
        <v>2124</v>
      </c>
      <c r="BL43" s="1139" t="s">
        <v>2124</v>
      </c>
      <c r="BN43" s="994" t="s">
        <v>2131</v>
      </c>
    </row>
    <row r="44" spans="1:66" ht="11.25" customHeight="1">
      <c r="A44" s="1000" t="s">
        <v>2132</v>
      </c>
      <c r="G44" s="1019">
        <f ca="1">YEAR(TODAY())</f>
        <v>2026</v>
      </c>
      <c r="I44" s="727" t="s">
        <v>2133</v>
      </c>
      <c r="J44" s="1015" t="s">
        <v>2134</v>
      </c>
      <c r="K44" s="1015" t="s">
        <v>2135</v>
      </c>
      <c r="AX44" s="1043" t="s">
        <v>2136</v>
      </c>
      <c r="AZ44" s="1043" t="s">
        <v>1795</v>
      </c>
      <c r="BE44" s="1043">
        <v>2040</v>
      </c>
      <c r="BH44" s="994" t="s">
        <v>2137</v>
      </c>
      <c r="BJ44" s="1139" t="s">
        <v>1563</v>
      </c>
      <c r="BL44" s="1139" t="s">
        <v>1563</v>
      </c>
      <c r="BN44" s="994" t="s">
        <v>2138</v>
      </c>
    </row>
    <row r="45" spans="1:66" ht="11.25" customHeight="1">
      <c r="A45" s="1000" t="s">
        <v>2139</v>
      </c>
      <c r="D45" s="1035" t="s">
        <v>2140</v>
      </c>
      <c r="E45" s="1036" t="s">
        <v>2141</v>
      </c>
      <c r="F45" s="725" t="s">
        <v>2142</v>
      </c>
      <c r="G45" s="724" t="s">
        <v>2143</v>
      </c>
      <c r="H45" s="727" t="s">
        <v>2144</v>
      </c>
      <c r="I45" s="1634" t="b">
        <f>INDEX(PeriodIsEmptyList,MATCH(TEMPLATE_GROUP,CodeTemplateList,0),1)</f>
        <v>0</v>
      </c>
      <c r="J45" s="163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3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3" t="s">
        <v>2145</v>
      </c>
      <c r="AZ45" s="1043" t="s">
        <v>1829</v>
      </c>
      <c r="BE45" s="1043">
        <v>2041</v>
      </c>
      <c r="BH45" s="994" t="s">
        <v>2146</v>
      </c>
      <c r="BJ45" s="1139" t="s">
        <v>1557</v>
      </c>
      <c r="BL45" s="1139" t="s">
        <v>1557</v>
      </c>
      <c r="BN45" s="994" t="s">
        <v>2147</v>
      </c>
    </row>
    <row r="46" spans="1:66" ht="11.25" customHeight="1">
      <c r="A46" s="1000" t="s">
        <v>2148</v>
      </c>
      <c r="E46" s="341" t="s">
        <v>14</v>
      </c>
      <c r="F46" s="1038" t="s">
        <v>2149</v>
      </c>
      <c r="G46" s="1040" t="str">
        <f ca="1">IFERROR(IF(TITLE_DATE_FIL="","01.01."&amp;CURRENT_YEAR,"01.01."&amp;YEAR(TITLE_DATE_FIL)),"01.01."&amp;CURRENT_YEAR)</f>
        <v>01.01.2026</v>
      </c>
      <c r="H46" s="1040" t="str">
        <f ca="1">IFERROR(IF(TITLE_DATE_FIL="","31.12."&amp;CURRENT_YEAR,"31.12."&amp;YEAR(TITLE_DATE_FIL)),"31.12."&amp;CURRENT_YEAR)</f>
        <v>31.12.2026</v>
      </c>
      <c r="I46" s="1635" t="b">
        <f>IF(TITLE_DATE_FIL="",TRUE,FALSE)</f>
        <v>1</v>
      </c>
      <c r="J46" s="1638" t="str">
        <f>"Общая информация о регулируемой организации ("&amp;TEMPLATE_SPHERE_RUS&amp;")"</f>
        <v>Общая информация о регулируемой организации (теплоснабжения)</v>
      </c>
      <c r="K46" s="1639"/>
      <c r="AX46" s="1043" t="s">
        <v>2150</v>
      </c>
      <c r="AZ46" s="1043" t="s">
        <v>1851</v>
      </c>
      <c r="BE46" s="1043">
        <v>2042</v>
      </c>
      <c r="BH46" s="994" t="s">
        <v>1566</v>
      </c>
      <c r="BJ46" s="1139" t="s">
        <v>1547</v>
      </c>
      <c r="BL46" s="1139" t="s">
        <v>1547</v>
      </c>
      <c r="BN46" s="994" t="s">
        <v>2151</v>
      </c>
    </row>
    <row r="47" spans="1:66" ht="11.25" customHeight="1">
      <c r="A47" s="1000" t="s">
        <v>2152</v>
      </c>
      <c r="E47" s="341" t="s">
        <v>20</v>
      </c>
      <c r="F47" s="1039" t="s">
        <v>2153</v>
      </c>
      <c r="G47" s="1040" t="str">
        <f>IFERROR(IF(f_year="","01.01."&amp;CURRENT_YEAR,IF(LEN(f_quart)=0,"01.01."&amp;f_year,IF(f_quart="I квартал","01.01."&amp;f_year,IF(f_quart="II квартал","01.04."&amp;f_year,(IF(f_quart="III квартал","01.07."&amp;f_year,"01.10."&amp;f_year)))))),"01.01."&amp;CURRENT_YEAR)</f>
        <v>01.01.2025</v>
      </c>
      <c r="H47" s="1040" t="str">
        <f>IFERROR(IF(f_year="","31.12."&amp;CURRENT_YEAR,IF(LEN(f_quart)=0,"31.12."&amp;f_year,IF(f_quart="I квартал","31.03."&amp;f_year,IF(f_quart="II квартал","30.06."&amp;f_year,(IF(f_quart="III квартал","30.09."&amp;f_year,"31.12."&amp;f_year)))))),"31.12."&amp;CURRENT_YEAR)</f>
        <v>31.12.2025</v>
      </c>
      <c r="I47" s="1636" t="b">
        <f>IF(OR(f_year="",f_quart=""),TRUE,FALSE)</f>
        <v>1</v>
      </c>
      <c r="J47" s="163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39"/>
      <c r="AX47" s="1043" t="s">
        <v>97</v>
      </c>
      <c r="AZ47" s="1043" t="s">
        <v>1870</v>
      </c>
      <c r="BE47" s="1043">
        <v>2043</v>
      </c>
      <c r="BH47" s="994" t="s">
        <v>2127</v>
      </c>
      <c r="BJ47" s="1139" t="s">
        <v>1549</v>
      </c>
      <c r="BL47" s="1139" t="s">
        <v>1549</v>
      </c>
      <c r="BN47" s="994" t="s">
        <v>2154</v>
      </c>
    </row>
    <row r="48" spans="1:66" ht="11.25" customHeight="1">
      <c r="A48" s="1000" t="s">
        <v>2155</v>
      </c>
      <c r="E48" s="341" t="s">
        <v>2156</v>
      </c>
      <c r="F48" s="1039" t="s">
        <v>2141</v>
      </c>
      <c r="G48" s="1040" t="str">
        <f>IFERROR(IF(f_year="","01.01."&amp;CURRENT_YEAR,"01.01."&amp;f_year),"01.01."&amp;CURRENT_YEAR)</f>
        <v>01.01.2025</v>
      </c>
      <c r="H48" s="1040" t="str">
        <f>IFERROR(IF(f_year="","31.12."&amp;CURRENT_YEAR,"31.12."&amp;f_year),"31.12."&amp;CURRENT_YEAR)</f>
        <v>31.12.2025</v>
      </c>
      <c r="I48" s="1635" t="b">
        <f>IF(f_year="",TRUE,FALSE)</f>
        <v>0</v>
      </c>
      <c r="J48" s="1638" t="s">
        <v>2157</v>
      </c>
      <c r="K48" s="1639"/>
      <c r="AX48" s="1043" t="s">
        <v>2158</v>
      </c>
      <c r="AZ48" s="1043" t="s">
        <v>1886</v>
      </c>
      <c r="BE48" s="1043">
        <v>2044</v>
      </c>
      <c r="BH48" s="994" t="s">
        <v>2131</v>
      </c>
      <c r="BJ48" s="1139" t="s">
        <v>1551</v>
      </c>
      <c r="BL48" s="1139" t="s">
        <v>1551</v>
      </c>
      <c r="BN48" s="994" t="s">
        <v>2159</v>
      </c>
    </row>
    <row r="49" spans="1:64" ht="11.25" customHeight="1">
      <c r="A49" s="1000" t="s">
        <v>2160</v>
      </c>
      <c r="E49" s="341" t="s">
        <v>2161</v>
      </c>
      <c r="F49" s="1039" t="s">
        <v>2162</v>
      </c>
      <c r="G49" s="1040" t="str">
        <f>IFERROR(IF(f_year="","01.01."&amp;CURRENT_YEAR,"01.01."&amp;f_year),"01.01."&amp;CURRENT_YEAR)</f>
        <v>01.01.2025</v>
      </c>
      <c r="H49" s="1040" t="str">
        <f>IFERROR(IF(f_year="","31.12."&amp;CURRENT_YEAR,"31.12."&amp;f_year),"31.12."&amp;CURRENT_YEAR)</f>
        <v>31.12.2025</v>
      </c>
      <c r="I49" s="1635" t="b">
        <f>IF(f_year="",TRUE,FALSE)</f>
        <v>0</v>
      </c>
      <c r="J49" s="163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39"/>
      <c r="AX49" s="1043" t="s">
        <v>2163</v>
      </c>
      <c r="AZ49" s="1043" t="s">
        <v>1901</v>
      </c>
      <c r="BE49" s="1043">
        <v>2045</v>
      </c>
      <c r="BH49" s="994" t="s">
        <v>1567</v>
      </c>
      <c r="BJ49" s="1139" t="s">
        <v>1553</v>
      </c>
      <c r="BL49" s="1139" t="s">
        <v>1553</v>
      </c>
    </row>
    <row r="50" spans="1:64" ht="11.25" customHeight="1">
      <c r="A50" s="1000" t="s">
        <v>2164</v>
      </c>
      <c r="E50" s="341" t="s">
        <v>2165</v>
      </c>
      <c r="F50" s="1039" t="s">
        <v>1537</v>
      </c>
      <c r="G50" s="1040" t="str">
        <f>IFERROR(IF(f_year="","01.01."&amp;CURRENT_YEAR,"01.01."&amp;f_year),"01.01."&amp;CURRENT_YEAR)</f>
        <v>01.01.2025</v>
      </c>
      <c r="H50" s="1040" t="str">
        <f>IFERROR(IF(f_year="","31.12."&amp;CURRENT_YEAR,"31.12."&amp;f_year),"31.12."&amp;CURRENT_YEAR)</f>
        <v>31.12.2025</v>
      </c>
      <c r="I50" s="1635" t="b">
        <f>IF(f_year="",TRUE,FALSE)</f>
        <v>0</v>
      </c>
      <c r="J50" s="163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39"/>
      <c r="AX50" s="1043" t="s">
        <v>1375</v>
      </c>
      <c r="AZ50" s="1043" t="s">
        <v>1918</v>
      </c>
      <c r="BE50" s="1043">
        <v>2046</v>
      </c>
      <c r="BH50" s="994" t="s">
        <v>2138</v>
      </c>
      <c r="BJ50" s="1139" t="s">
        <v>1555</v>
      </c>
      <c r="BL50" s="1139" t="s">
        <v>1555</v>
      </c>
    </row>
    <row r="51" spans="1:64" ht="11.25" customHeight="1">
      <c r="A51" s="1000" t="s">
        <v>2166</v>
      </c>
      <c r="E51" s="341" t="s">
        <v>2167</v>
      </c>
      <c r="F51" s="1039" t="s">
        <v>2168</v>
      </c>
      <c r="G51" s="1040" t="str">
        <f ca="1">IFERROR(IF(TITLE_PERIOD_START="","01.01."&amp;CURRENT_YEAR,"01.01."&amp;YEAR(TITLE_PERIOD_START)),"01.01."&amp;CURRENT_YEAR)</f>
        <v>01.01.2026</v>
      </c>
      <c r="H51" s="1040" t="str">
        <f ca="1">IFERROR(IF(TITLE_PERIOD_END="","31.12."&amp;CURRENT_YEAR,"31.12."&amp;YEAR(TITLE_PERIOD_END)),"31.12."&amp;CURRENT_YEAR)</f>
        <v>31.12.2026</v>
      </c>
      <c r="I51" s="1636" t="b">
        <f>IF(OR(TITLE_PERIOD_START="",TITLE_PERIOD_END=""),TRUE,FALSE)</f>
        <v>1</v>
      </c>
      <c r="J51" s="163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39"/>
      <c r="AX51" s="1043" t="s">
        <v>2169</v>
      </c>
      <c r="AZ51" s="1043" t="s">
        <v>1325</v>
      </c>
      <c r="BE51" s="1043">
        <v>2047</v>
      </c>
      <c r="BH51" s="994" t="s">
        <v>2147</v>
      </c>
      <c r="BJ51" s="1139" t="s">
        <v>2170</v>
      </c>
      <c r="BL51" s="1139" t="s">
        <v>2170</v>
      </c>
    </row>
    <row r="52" spans="1:64" ht="11.25" customHeight="1">
      <c r="A52" s="1000" t="s">
        <v>2171</v>
      </c>
      <c r="E52" s="341" t="s">
        <v>2172</v>
      </c>
      <c r="F52" s="1039" t="s">
        <v>2173</v>
      </c>
      <c r="G52" s="1040" t="str">
        <f ca="1">IFERROR(IF(TITLE_PERIOD_START="","01.01."&amp;CURRENT_YEAR,"01.01."&amp;YEAR(TITLE_PERIOD_START)),"01.01."&amp;CURRENT_YEAR)</f>
        <v>01.01.2026</v>
      </c>
      <c r="H52" s="1040" t="str">
        <f ca="1">IFERROR(IF(TITLE_PERIOD_END="","31.12."&amp;CURRENT_YEAR,"31.12."&amp;YEAR(TITLE_PERIOD_END)),"31.12."&amp;CURRENT_YEAR)</f>
        <v>31.12.2026</v>
      </c>
      <c r="I52" s="1636" t="b">
        <f>IF(OR(TITLE_PERIOD_START="",TITLE_PERIOD_END=""),TRUE,FALSE)</f>
        <v>1</v>
      </c>
      <c r="J52" s="1638" t="str">
        <f>"Показатели, подлежащие раскрытию в сфере "&amp;TEMPLATE_SPHERE_RUS&amp;" (цены и тарифы)"</f>
        <v>Показатели, подлежащие раскрытию в сфере теплоснабжения (цены и тарифы)</v>
      </c>
      <c r="K52" s="1639"/>
      <c r="AX52" s="1043" t="s">
        <v>2174</v>
      </c>
      <c r="AZ52" s="1043" t="s">
        <v>1736</v>
      </c>
      <c r="BE52" s="1043">
        <v>2048</v>
      </c>
      <c r="BH52" s="994" t="s">
        <v>2151</v>
      </c>
      <c r="BJ52" s="1139" t="s">
        <v>1566</v>
      </c>
      <c r="BL52" s="1139" t="s">
        <v>1566</v>
      </c>
    </row>
    <row r="53" spans="1:64" ht="11.25" customHeight="1">
      <c r="A53" s="1000" t="s">
        <v>2175</v>
      </c>
      <c r="E53" s="341" t="s">
        <v>2176</v>
      </c>
      <c r="F53" s="1039" t="s">
        <v>2176</v>
      </c>
      <c r="G53" s="1040" t="str">
        <f>IFERROR(IF(f_year="","01.01."&amp;CURRENT_YEAR,"01.01."&amp;f_year),"01.01."&amp;CURRENT_YEAR)</f>
        <v>01.01.2025</v>
      </c>
      <c r="H53" s="1040" t="str">
        <f>IFERROR(IF(f_year="","31.12."&amp;CURRENT_YEAR,"31.12."&amp;f_year),"31.12."&amp;CURRENT_YEAR)</f>
        <v>31.12.2025</v>
      </c>
      <c r="I53" s="1635" t="b">
        <f>IF(AND(f_year="",TITLE_DATE_FIL=""),TRUE,FALSE)</f>
        <v>0</v>
      </c>
      <c r="J53" s="1638" t="s">
        <v>2177</v>
      </c>
      <c r="K53" s="1639"/>
      <c r="AX53" s="1043" t="s">
        <v>2178</v>
      </c>
      <c r="BE53" s="1043">
        <v>2049</v>
      </c>
      <c r="BH53" s="994" t="s">
        <v>2154</v>
      </c>
      <c r="BJ53" s="1139" t="s">
        <v>2127</v>
      </c>
      <c r="BL53" s="1139" t="s">
        <v>2127</v>
      </c>
    </row>
    <row r="54" spans="1:64" ht="11.25" customHeight="1">
      <c r="A54" s="1000" t="s">
        <v>2179</v>
      </c>
      <c r="AX54" s="1043" t="s">
        <v>101</v>
      </c>
      <c r="AZ54" s="993" t="s">
        <v>2180</v>
      </c>
      <c r="BE54" s="1043">
        <v>2050</v>
      </c>
      <c r="BH54" s="994" t="s">
        <v>2159</v>
      </c>
      <c r="BJ54" s="1139" t="s">
        <v>2131</v>
      </c>
      <c r="BL54" s="1139" t="s">
        <v>2131</v>
      </c>
    </row>
    <row r="55" spans="1:64" ht="11.25" customHeight="1">
      <c r="A55" s="1000" t="s">
        <v>2181</v>
      </c>
      <c r="AX55" s="1043" t="s">
        <v>2182</v>
      </c>
      <c r="AZ55" s="1043" t="s">
        <v>1738</v>
      </c>
      <c r="BE55" s="1043">
        <v>2051</v>
      </c>
      <c r="BH55" s="996" t="s">
        <v>9</v>
      </c>
      <c r="BJ55" s="1139" t="s">
        <v>1567</v>
      </c>
      <c r="BL55" s="1139" t="s">
        <v>1567</v>
      </c>
    </row>
    <row r="56" spans="1:64" ht="11.25" customHeight="1">
      <c r="A56" s="1000" t="s">
        <v>2183</v>
      </c>
      <c r="D56" s="1042" t="s">
        <v>2184</v>
      </c>
      <c r="E56" s="1020" t="s">
        <v>100</v>
      </c>
      <c r="F56" s="1000" t="s">
        <v>2185</v>
      </c>
      <c r="AX56" s="1043" t="s">
        <v>2186</v>
      </c>
      <c r="AZ56" s="1043" t="s">
        <v>1763</v>
      </c>
      <c r="BE56" s="1043">
        <v>2052</v>
      </c>
      <c r="BH56" s="996" t="s">
        <v>9</v>
      </c>
      <c r="BJ56" s="1139" t="s">
        <v>2138</v>
      </c>
      <c r="BL56" s="1139" t="s">
        <v>2138</v>
      </c>
    </row>
    <row r="57" spans="1:64" ht="11.25" customHeight="1">
      <c r="A57" s="1000" t="s">
        <v>2187</v>
      </c>
      <c r="D57" s="1042" t="s">
        <v>2188</v>
      </c>
      <c r="E57" s="1020" t="s">
        <v>100</v>
      </c>
      <c r="F57" s="1000" t="s">
        <v>2185</v>
      </c>
      <c r="AX57" s="1043" t="s">
        <v>2189</v>
      </c>
      <c r="AZ57" s="1043" t="s">
        <v>1798</v>
      </c>
      <c r="BE57" s="1043">
        <v>2053</v>
      </c>
      <c r="BJ57" s="1139" t="s">
        <v>2147</v>
      </c>
      <c r="BL57" s="1139" t="s">
        <v>2147</v>
      </c>
    </row>
    <row r="58" spans="1:64" ht="11.25" customHeight="1">
      <c r="A58" s="1000" t="s">
        <v>2190</v>
      </c>
      <c r="D58" s="1042" t="s">
        <v>2191</v>
      </c>
      <c r="E58" s="1020" t="s">
        <v>2192</v>
      </c>
      <c r="F58" s="1000" t="s">
        <v>2185</v>
      </c>
      <c r="AX58" s="1043" t="s">
        <v>2193</v>
      </c>
      <c r="BE58" s="1043">
        <v>2054</v>
      </c>
      <c r="BJ58" s="1139" t="s">
        <v>2151</v>
      </c>
      <c r="BL58" s="1139" t="s">
        <v>2151</v>
      </c>
    </row>
    <row r="59" spans="1:64" ht="11.25" customHeight="1">
      <c r="A59" s="1000" t="s">
        <v>2194</v>
      </c>
      <c r="D59" s="1042" t="s">
        <v>184</v>
      </c>
      <c r="E59" s="1020" t="s">
        <v>1358</v>
      </c>
      <c r="F59" s="1000" t="s">
        <v>2195</v>
      </c>
      <c r="AX59" s="1043" t="s">
        <v>2196</v>
      </c>
      <c r="AZ59" s="993" t="s">
        <v>2197</v>
      </c>
      <c r="BE59" s="1043">
        <v>2055</v>
      </c>
      <c r="BJ59" s="1139" t="s">
        <v>2154</v>
      </c>
      <c r="BL59" s="1139" t="s">
        <v>2154</v>
      </c>
    </row>
    <row r="60" spans="1:64" ht="11.25" customHeight="1">
      <c r="A60" s="1000" t="s">
        <v>2198</v>
      </c>
      <c r="D60" s="1042" t="s">
        <v>2199</v>
      </c>
      <c r="E60" s="1020" t="s">
        <v>1358</v>
      </c>
      <c r="F60" s="1000" t="s">
        <v>2195</v>
      </c>
      <c r="AX60" s="1043" t="s">
        <v>104</v>
      </c>
      <c r="AZ60" s="1043" t="s">
        <v>1739</v>
      </c>
      <c r="BE60" s="1043">
        <v>2056</v>
      </c>
      <c r="BJ60" s="1139" t="s">
        <v>2159</v>
      </c>
      <c r="BL60" s="1139" t="s">
        <v>2159</v>
      </c>
    </row>
    <row r="61" spans="1:64" ht="11.25" customHeight="1">
      <c r="A61" s="1000" t="s">
        <v>2200</v>
      </c>
      <c r="D61" s="1042" t="s">
        <v>2201</v>
      </c>
      <c r="E61" s="1020" t="s">
        <v>1358</v>
      </c>
      <c r="F61" s="1000" t="s">
        <v>2195</v>
      </c>
      <c r="AX61" s="1043" t="s">
        <v>2202</v>
      </c>
      <c r="AZ61" s="1043" t="s">
        <v>1764</v>
      </c>
      <c r="BE61" s="1043">
        <v>2057</v>
      </c>
      <c r="BL61" s="1139" t="s">
        <v>1559</v>
      </c>
    </row>
    <row r="62" spans="1:64" ht="11.25" customHeight="1">
      <c r="A62" s="1000" t="s">
        <v>2203</v>
      </c>
      <c r="D62" s="1042" t="s">
        <v>183</v>
      </c>
      <c r="E62" s="1020">
        <v>30</v>
      </c>
      <c r="F62" s="1000" t="s">
        <v>2195</v>
      </c>
      <c r="AZ62" s="1043" t="s">
        <v>1799</v>
      </c>
      <c r="BE62" s="1043">
        <v>2058</v>
      </c>
      <c r="BL62" s="1139" t="s">
        <v>1561</v>
      </c>
    </row>
    <row r="63" spans="1:64" ht="11.25" customHeight="1">
      <c r="A63" s="1000" t="s">
        <v>2204</v>
      </c>
      <c r="D63" s="1042" t="s">
        <v>2205</v>
      </c>
      <c r="E63" s="1020">
        <v>30</v>
      </c>
      <c r="F63" s="1000" t="s">
        <v>2195</v>
      </c>
      <c r="AZ63" s="1043" t="s">
        <v>1832</v>
      </c>
      <c r="BE63" s="1043">
        <v>2059</v>
      </c>
    </row>
    <row r="64" spans="1:64" ht="11.25" customHeight="1">
      <c r="A64" s="1000" t="s">
        <v>2206</v>
      </c>
      <c r="D64" s="1042" t="s">
        <v>2207</v>
      </c>
      <c r="E64" s="1020">
        <v>30</v>
      </c>
      <c r="F64" s="1000" t="s">
        <v>2195</v>
      </c>
      <c r="AZ64" s="1043" t="s">
        <v>1852</v>
      </c>
      <c r="BE64" s="1043">
        <v>2060</v>
      </c>
    </row>
    <row r="65" spans="1:66" ht="11.25" customHeight="1">
      <c r="A65" s="1000" t="s">
        <v>2208</v>
      </c>
      <c r="D65" s="1000"/>
      <c r="BE65" s="1043">
        <v>2061</v>
      </c>
    </row>
    <row r="66" spans="1:66" ht="11.25" customHeight="1">
      <c r="A66" s="1000" t="s">
        <v>2209</v>
      </c>
      <c r="AZ66" s="993" t="s">
        <v>2210</v>
      </c>
      <c r="BE66" s="1043">
        <v>2062</v>
      </c>
    </row>
    <row r="67" spans="1:66" ht="11.25" customHeight="1">
      <c r="A67" s="1000" t="s">
        <v>2211</v>
      </c>
      <c r="AZ67" s="1043" t="s">
        <v>1740</v>
      </c>
      <c r="BE67" s="1043">
        <v>2063</v>
      </c>
    </row>
    <row r="68" spans="1:66" ht="11.25" customHeight="1">
      <c r="A68" s="1000" t="s">
        <v>2212</v>
      </c>
      <c r="AZ68" s="1043" t="s">
        <v>1765</v>
      </c>
      <c r="BE68" s="1043">
        <v>2064</v>
      </c>
      <c r="BH68" s="993" t="s">
        <v>2213</v>
      </c>
      <c r="BJ68" s="993" t="s">
        <v>2214</v>
      </c>
      <c r="BL68" s="993" t="s">
        <v>2215</v>
      </c>
      <c r="BN68" s="993" t="s">
        <v>2216</v>
      </c>
    </row>
    <row r="69" spans="1:66" ht="11.25" customHeight="1">
      <c r="A69" s="1000" t="s">
        <v>2217</v>
      </c>
      <c r="AZ69" s="1043" t="s">
        <v>1800</v>
      </c>
      <c r="BE69" s="1043">
        <v>2065</v>
      </c>
      <c r="BH69" s="994" t="s">
        <v>2218</v>
      </c>
      <c r="BI69" s="1041" t="s">
        <v>164</v>
      </c>
      <c r="BJ69" s="994" t="s">
        <v>2219</v>
      </c>
      <c r="BK69" s="1041" t="s">
        <v>164</v>
      </c>
      <c r="BL69" s="994" t="s">
        <v>2220</v>
      </c>
      <c r="BM69" s="996" t="s">
        <v>164</v>
      </c>
      <c r="BN69" s="994" t="s">
        <v>2221</v>
      </c>
    </row>
    <row r="70" spans="1:66" ht="11.25" customHeight="1">
      <c r="A70" s="1000" t="s">
        <v>2222</v>
      </c>
      <c r="AZ70" s="1043" t="s">
        <v>1833</v>
      </c>
      <c r="BE70" s="1043">
        <v>2066</v>
      </c>
      <c r="BH70" s="994" t="s">
        <v>2223</v>
      </c>
      <c r="BJ70" s="994" t="s">
        <v>2224</v>
      </c>
      <c r="BL70" s="994" t="s">
        <v>2225</v>
      </c>
      <c r="BN70" s="994" t="s">
        <v>2226</v>
      </c>
    </row>
    <row r="71" spans="1:66" ht="11.25" customHeight="1">
      <c r="A71" s="1000" t="s">
        <v>2227</v>
      </c>
      <c r="AZ71" s="1043" t="s">
        <v>1835</v>
      </c>
      <c r="BE71" s="1043">
        <v>2067</v>
      </c>
      <c r="BH71" s="994" t="s">
        <v>2228</v>
      </c>
      <c r="BI71" s="1041" t="s">
        <v>78</v>
      </c>
      <c r="BJ71" s="994" t="s">
        <v>2229</v>
      </c>
      <c r="BK71" s="1041" t="s">
        <v>78</v>
      </c>
      <c r="BL71" s="994" t="s">
        <v>2230</v>
      </c>
      <c r="BM71" s="996" t="s">
        <v>78</v>
      </c>
      <c r="BN71" s="994" t="s">
        <v>2231</v>
      </c>
    </row>
    <row r="72" spans="1:66" ht="11.25" customHeight="1">
      <c r="A72" s="1000" t="s">
        <v>2232</v>
      </c>
      <c r="AZ72" s="1043" t="s">
        <v>6</v>
      </c>
      <c r="BE72" s="1043">
        <v>2068</v>
      </c>
      <c r="BH72" s="994" t="s">
        <v>2233</v>
      </c>
      <c r="BJ72" s="994" t="s">
        <v>2233</v>
      </c>
      <c r="BL72" s="994" t="s">
        <v>2233</v>
      </c>
      <c r="BN72" s="994" t="s">
        <v>2234</v>
      </c>
    </row>
    <row r="73" spans="1:66" ht="11.25" customHeight="1">
      <c r="A73" s="1000" t="s">
        <v>2235</v>
      </c>
      <c r="BE73" s="1043">
        <v>2069</v>
      </c>
      <c r="BH73" s="994" t="s">
        <v>2236</v>
      </c>
      <c r="BI73" s="1041" t="s">
        <v>100</v>
      </c>
      <c r="BJ73" s="994" t="s">
        <v>2237</v>
      </c>
      <c r="BK73" s="1041" t="s">
        <v>100</v>
      </c>
      <c r="BL73" s="994" t="s">
        <v>2238</v>
      </c>
      <c r="BM73" s="996" t="s">
        <v>100</v>
      </c>
      <c r="BN73" s="994" t="s">
        <v>2239</v>
      </c>
    </row>
    <row r="74" spans="1:66" ht="11.25" customHeight="1">
      <c r="A74" s="1000" t="s">
        <v>3</v>
      </c>
      <c r="BE74" s="1043">
        <v>2070</v>
      </c>
      <c r="BH74" s="994" t="s">
        <v>2240</v>
      </c>
      <c r="BJ74" s="994" t="s">
        <v>2241</v>
      </c>
      <c r="BL74" s="994" t="s">
        <v>2242</v>
      </c>
      <c r="BN74" s="994" t="s">
        <v>2243</v>
      </c>
    </row>
    <row r="75" spans="1:66" ht="11.25" customHeight="1">
      <c r="A75" s="1000" t="s">
        <v>2244</v>
      </c>
      <c r="AZ75" s="993" t="s">
        <v>2245</v>
      </c>
      <c r="BH75" s="994" t="s">
        <v>2246</v>
      </c>
      <c r="BJ75" s="994" t="s">
        <v>2246</v>
      </c>
      <c r="BL75" s="994" t="s">
        <v>2246</v>
      </c>
    </row>
    <row r="76" spans="1:66" ht="11.25" customHeight="1">
      <c r="A76" s="1000" t="s">
        <v>2247</v>
      </c>
      <c r="AZ76" s="1043" t="s">
        <v>1749</v>
      </c>
      <c r="BH76" s="994" t="s">
        <v>2248</v>
      </c>
      <c r="BJ76" s="994" t="s">
        <v>2249</v>
      </c>
      <c r="BL76" s="994" t="s">
        <v>2250</v>
      </c>
    </row>
    <row r="77" spans="1:66" ht="11.25" customHeight="1">
      <c r="A77" s="1000" t="s">
        <v>2251</v>
      </c>
      <c r="AZ77" s="1043" t="s">
        <v>1775</v>
      </c>
    </row>
    <row r="78" spans="1:66" ht="11.25" customHeight="1">
      <c r="A78" s="1000" t="s">
        <v>2252</v>
      </c>
      <c r="AZ78" s="1043" t="s">
        <v>1807</v>
      </c>
    </row>
    <row r="79" spans="1:66" ht="11.25" customHeight="1">
      <c r="A79" s="1000" t="s">
        <v>2253</v>
      </c>
      <c r="AZ79" s="1043" t="s">
        <v>1839</v>
      </c>
      <c r="BH79" s="993" t="s">
        <v>2254</v>
      </c>
      <c r="BJ79" s="993" t="s">
        <v>2255</v>
      </c>
      <c r="BL79" s="993" t="s">
        <v>2256</v>
      </c>
    </row>
    <row r="80" spans="1:66" ht="11.25" customHeight="1">
      <c r="A80" s="1000" t="s">
        <v>2257</v>
      </c>
      <c r="AZ80" s="1043" t="s">
        <v>1857</v>
      </c>
      <c r="BH80" s="994" t="s">
        <v>2258</v>
      </c>
      <c r="BJ80" s="994" t="s">
        <v>2259</v>
      </c>
      <c r="BL80" s="994" t="s">
        <v>2260</v>
      </c>
    </row>
    <row r="81" spans="1:66" ht="11.25" customHeight="1">
      <c r="A81" s="1000" t="s">
        <v>2261</v>
      </c>
      <c r="AZ81" s="1043" t="s">
        <v>1874</v>
      </c>
      <c r="BH81" s="994" t="s">
        <v>2262</v>
      </c>
      <c r="BJ81" s="994" t="s">
        <v>2263</v>
      </c>
      <c r="BL81" s="994" t="s">
        <v>2264</v>
      </c>
    </row>
    <row r="82" spans="1:66" ht="11.25" customHeight="1">
      <c r="A82" s="1000" t="s">
        <v>2265</v>
      </c>
      <c r="AZ82" s="1043" t="s">
        <v>1888</v>
      </c>
      <c r="BH82" s="994" t="s">
        <v>2266</v>
      </c>
      <c r="BJ82" s="994" t="s">
        <v>2267</v>
      </c>
      <c r="BL82" s="994" t="s">
        <v>2268</v>
      </c>
    </row>
    <row r="83" spans="1:66" ht="11.25" customHeight="1">
      <c r="A83" s="1000" t="s">
        <v>2269</v>
      </c>
      <c r="BH83" s="994" t="s">
        <v>2270</v>
      </c>
      <c r="BJ83" s="994" t="s">
        <v>2271</v>
      </c>
      <c r="BL83" s="994" t="s">
        <v>2272</v>
      </c>
    </row>
    <row r="84" spans="1:66" ht="11.25" customHeight="1">
      <c r="A84" s="1000" t="s">
        <v>2273</v>
      </c>
      <c r="AZ84" s="993" t="s">
        <v>2274</v>
      </c>
    </row>
    <row r="85" spans="1:66" ht="11.25" customHeight="1">
      <c r="A85" s="1759" t="s">
        <v>2275</v>
      </c>
      <c r="AZ85" s="1043" t="s">
        <v>2276</v>
      </c>
    </row>
    <row r="86" spans="1:66" ht="11.25" customHeight="1">
      <c r="A86" s="1000" t="s">
        <v>2277</v>
      </c>
      <c r="AZ86" s="1043" t="s">
        <v>2278</v>
      </c>
      <c r="BH86" s="993" t="s">
        <v>2279</v>
      </c>
      <c r="BJ86" s="993" t="s">
        <v>2280</v>
      </c>
      <c r="BL86" s="993" t="s">
        <v>2281</v>
      </c>
    </row>
    <row r="87" spans="1:66" ht="11.25" customHeight="1">
      <c r="A87" s="1000" t="s">
        <v>2282</v>
      </c>
      <c r="AZ87" s="1043" t="s">
        <v>2283</v>
      </c>
      <c r="BH87" s="994" t="s">
        <v>2284</v>
      </c>
      <c r="BJ87" s="994" t="s">
        <v>2285</v>
      </c>
      <c r="BL87" s="994" t="s">
        <v>2286</v>
      </c>
    </row>
    <row r="88" spans="1:66" ht="11.25" customHeight="1">
      <c r="A88" s="1000" t="s">
        <v>2287</v>
      </c>
      <c r="AZ88" s="1528"/>
      <c r="BH88" s="994" t="s">
        <v>2288</v>
      </c>
      <c r="BJ88" s="994" t="s">
        <v>2289</v>
      </c>
      <c r="BL88" s="994" t="s">
        <v>2290</v>
      </c>
    </row>
    <row r="89" spans="1:66" ht="11.25" customHeight="1">
      <c r="A89" s="1000" t="s">
        <v>2291</v>
      </c>
      <c r="AZ89" s="993" t="s">
        <v>2292</v>
      </c>
    </row>
    <row r="90" spans="1:66" ht="11.25" customHeight="1">
      <c r="A90" s="1000" t="s">
        <v>2293</v>
      </c>
      <c r="AZ90" s="1043" t="s">
        <v>1537</v>
      </c>
    </row>
    <row r="91" spans="1:66" ht="11.25" customHeight="1">
      <c r="A91" s="1000" t="s">
        <v>2294</v>
      </c>
      <c r="AZ91" s="1043" t="s">
        <v>1573</v>
      </c>
      <c r="BH91" s="993" t="s">
        <v>2295</v>
      </c>
      <c r="BJ91" s="993" t="s">
        <v>2296</v>
      </c>
      <c r="BL91" s="993" t="s">
        <v>2297</v>
      </c>
    </row>
    <row r="92" spans="1:66" ht="11.25" customHeight="1">
      <c r="AZ92" s="1043" t="s">
        <v>2298</v>
      </c>
      <c r="BH92" s="994" t="s">
        <v>2299</v>
      </c>
      <c r="BJ92" s="994" t="s">
        <v>2300</v>
      </c>
      <c r="BL92" s="994" t="s">
        <v>2301</v>
      </c>
    </row>
    <row r="93" spans="1:66" ht="11.25" customHeight="1">
      <c r="AZ93" s="1043" t="s">
        <v>2302</v>
      </c>
      <c r="BH93" s="994" t="s">
        <v>2303</v>
      </c>
      <c r="BJ93" s="994" t="s">
        <v>2304</v>
      </c>
      <c r="BL93" s="994" t="s">
        <v>2305</v>
      </c>
    </row>
    <row r="94" spans="1:66" ht="11.25" customHeight="1">
      <c r="AZ94" s="1043" t="s">
        <v>2306</v>
      </c>
    </row>
    <row r="96" spans="1:66" ht="11.25" customHeight="1">
      <c r="AZ96" s="993" t="s">
        <v>2307</v>
      </c>
      <c r="BH96" s="993" t="s">
        <v>2308</v>
      </c>
      <c r="BJ96" s="993" t="s">
        <v>2309</v>
      </c>
      <c r="BL96" s="993" t="s">
        <v>2310</v>
      </c>
      <c r="BN96" s="993" t="s">
        <v>2311</v>
      </c>
    </row>
    <row r="97" spans="52:66" ht="11.25" customHeight="1">
      <c r="AZ97" s="1790" t="s">
        <v>2312</v>
      </c>
      <c r="BA97" s="1791" t="s">
        <v>2313</v>
      </c>
      <c r="BH97" s="994" t="s">
        <v>2314</v>
      </c>
      <c r="BJ97" s="994" t="s">
        <v>2315</v>
      </c>
      <c r="BL97" s="994" t="s">
        <v>2316</v>
      </c>
      <c r="BN97" s="994" t="s">
        <v>2317</v>
      </c>
    </row>
    <row r="98" spans="52:66" ht="11.25" customHeight="1">
      <c r="AZ98" s="1790" t="s">
        <v>2318</v>
      </c>
      <c r="BA98" s="1791" t="s">
        <v>2319</v>
      </c>
      <c r="BH98" s="994" t="s">
        <v>2320</v>
      </c>
      <c r="BJ98" s="994" t="s">
        <v>2321</v>
      </c>
      <c r="BL98" s="994" t="s">
        <v>2322</v>
      </c>
      <c r="BN98" s="994" t="s">
        <v>2323</v>
      </c>
    </row>
    <row r="99" spans="52:66" ht="22.5" customHeight="1">
      <c r="AZ99" s="1790" t="s">
        <v>2324</v>
      </c>
      <c r="BA99" s="1791"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4" t="s">
        <v>2325</v>
      </c>
      <c r="BJ99" s="994" t="s">
        <v>2326</v>
      </c>
      <c r="BL99" s="994" t="s">
        <v>2327</v>
      </c>
      <c r="BN99" s="994" t="s">
        <v>2328</v>
      </c>
    </row>
    <row r="100" spans="52:66" ht="22.5" customHeight="1">
      <c r="AZ100" s="1790" t="s">
        <v>2329</v>
      </c>
      <c r="BA100" s="179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4" t="s">
        <v>1325</v>
      </c>
      <c r="BL100" s="994" t="s">
        <v>1325</v>
      </c>
      <c r="BN100" s="994" t="s">
        <v>2330</v>
      </c>
    </row>
    <row r="101" spans="52:66" ht="22.5" customHeight="1">
      <c r="AZ101" s="1790" t="s">
        <v>2331</v>
      </c>
      <c r="BA101" s="1791" t="s">
        <v>2332</v>
      </c>
      <c r="BN101" s="994" t="s">
        <v>2333</v>
      </c>
    </row>
    <row r="102" spans="52:66" ht="22.5" customHeight="1">
      <c r="AZ102" s="1790" t="s">
        <v>2334</v>
      </c>
      <c r="BA102" s="179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4" t="s">
        <v>2335</v>
      </c>
    </row>
    <row r="103" spans="52:66" ht="11.25" customHeight="1">
      <c r="AZ103" s="1790" t="s">
        <v>2336</v>
      </c>
      <c r="BA103" s="1791" t="s">
        <v>2337</v>
      </c>
      <c r="BN103" s="994" t="s">
        <v>2338</v>
      </c>
    </row>
    <row r="104" spans="52:66" ht="11.25" customHeight="1">
      <c r="BN104" s="994" t="s">
        <v>2339</v>
      </c>
    </row>
    <row r="105" spans="52:66" ht="11.25" customHeight="1">
      <c r="AZ105" s="1613" t="s">
        <v>2340</v>
      </c>
    </row>
    <row r="106" spans="52:66" ht="11.25" customHeight="1">
      <c r="AZ106" s="1043" t="s">
        <v>2341</v>
      </c>
    </row>
    <row r="107" spans="52:66" ht="11.25" customHeight="1">
      <c r="AZ107" s="1043" t="s">
        <v>2342</v>
      </c>
      <c r="BH107" s="993" t="s">
        <v>2343</v>
      </c>
      <c r="BJ107" s="993" t="s">
        <v>2344</v>
      </c>
      <c r="BL107" s="993" t="s">
        <v>2345</v>
      </c>
      <c r="BN107" s="993" t="s">
        <v>2346</v>
      </c>
    </row>
    <row r="108" spans="52:66" ht="11.25" customHeight="1">
      <c r="AZ108" s="1043" t="s">
        <v>620</v>
      </c>
      <c r="BH108" s="994" t="s">
        <v>2347</v>
      </c>
      <c r="BJ108" s="994" t="s">
        <v>2348</v>
      </c>
      <c r="BL108" s="994" t="s">
        <v>2012</v>
      </c>
      <c r="BN108" s="994" t="s">
        <v>2349</v>
      </c>
    </row>
    <row r="109" spans="52:66" ht="11.25" customHeight="1">
      <c r="BH109" s="994" t="s">
        <v>2350</v>
      </c>
    </row>
    <row r="110" spans="52:66" ht="11.25" customHeight="1">
      <c r="AZ110" s="1613" t="s">
        <v>2351</v>
      </c>
      <c r="BH110" s="994" t="s">
        <v>2350</v>
      </c>
    </row>
    <row r="111" spans="52:66" ht="11.25" customHeight="1">
      <c r="AZ111" s="1790" t="s">
        <v>2312</v>
      </c>
      <c r="BA111" s="1791" t="s">
        <v>2313</v>
      </c>
    </row>
    <row r="112" spans="52:66" ht="11.25" customHeight="1">
      <c r="AZ112" s="1790" t="s">
        <v>2318</v>
      </c>
      <c r="BA112" s="1791" t="s">
        <v>2319</v>
      </c>
    </row>
    <row r="113" spans="52:60" ht="22.5" customHeight="1">
      <c r="AZ113" s="1790" t="s">
        <v>2324</v>
      </c>
      <c r="BA113" s="179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0" t="s">
        <v>2329</v>
      </c>
      <c r="BA114" s="179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3" t="s">
        <v>2352</v>
      </c>
    </row>
    <row r="115" spans="52:60" ht="22.5" customHeight="1">
      <c r="AZ115" s="1790" t="s">
        <v>2334</v>
      </c>
      <c r="BA115" s="179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4" t="s">
        <v>1736</v>
      </c>
    </row>
    <row r="116" spans="52:60" ht="11.25" customHeight="1">
      <c r="AZ116" s="1790" t="s">
        <v>2336</v>
      </c>
      <c r="BA116" s="1791" t="s">
        <v>2337</v>
      </c>
      <c r="BH116" s="994" t="s">
        <v>1761</v>
      </c>
    </row>
    <row r="117" spans="52:60" ht="11.25" customHeight="1">
      <c r="BH117" s="994" t="s">
        <v>1796</v>
      </c>
    </row>
    <row r="118" spans="52:60" ht="11.25" customHeight="1">
      <c r="BH118" s="994" t="s">
        <v>1830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5" hidden="1" customWidth="1"/>
    <col min="3" max="3" width="3" style="389" customWidth="1"/>
    <col min="4" max="4" width="6" style="390" customWidth="1"/>
    <col min="5" max="5" width="52" style="389" customWidth="1"/>
    <col min="6" max="6" width="48" style="389" customWidth="1"/>
    <col min="7" max="7" width="93" style="389" customWidth="1"/>
    <col min="8" max="8" width="8" style="389" customWidth="1"/>
    <col min="9" max="9" width="64" style="389" customWidth="1"/>
    <col min="10" max="10" width="9.140625" style="389" hidden="1"/>
  </cols>
  <sheetData>
    <row r="1" spans="1:10" ht="11.25" hidden="1" customHeight="1">
      <c r="A1" s="435" t="s">
        <v>344</v>
      </c>
      <c r="J1" s="389" t="s">
        <v>1</v>
      </c>
    </row>
    <row r="2" spans="1:10" ht="22.5" hidden="1" customHeight="1">
      <c r="A2" s="436"/>
      <c r="B2" s="436"/>
      <c r="C2" s="1623" t="s">
        <v>90</v>
      </c>
      <c r="D2" s="1442"/>
      <c r="E2" s="1448"/>
      <c r="F2" s="1471"/>
      <c r="H2" s="409"/>
      <c r="J2" s="389">
        <v>0</v>
      </c>
    </row>
    <row r="3" spans="1:10" ht="11.25" hidden="1" customHeight="1">
      <c r="J3" s="389">
        <v>0</v>
      </c>
    </row>
    <row r="4" spans="1:10" ht="11.45" customHeight="1">
      <c r="A4" s="1472"/>
      <c r="B4" s="1472"/>
      <c r="J4" s="389">
        <v>11</v>
      </c>
    </row>
    <row r="5" spans="1:10" ht="27.4" customHeight="1">
      <c r="D5" s="361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612"/>
      <c r="F5" s="3613"/>
      <c r="I5" s="649"/>
      <c r="J5" s="389">
        <v>26</v>
      </c>
    </row>
    <row r="6" spans="1:10" ht="18" customHeight="1">
      <c r="D6" s="3667" t="str">
        <f>IF(region_name=0,"Не определено",region_name)</f>
        <v>Смоленская область</v>
      </c>
      <c r="E6" s="3667"/>
      <c r="F6" s="3667"/>
      <c r="I6" s="649"/>
      <c r="J6" s="389">
        <v>17</v>
      </c>
    </row>
    <row r="7" spans="1:10" s="411" customFormat="1" ht="11.45" customHeight="1">
      <c r="A7" s="435"/>
      <c r="B7" s="435"/>
      <c r="D7" s="648"/>
      <c r="E7" s="648"/>
      <c r="F7" s="686"/>
      <c r="G7" s="648"/>
      <c r="J7" s="411">
        <v>11</v>
      </c>
    </row>
    <row r="8" spans="1:10" ht="11.25" hidden="1" customHeight="1">
      <c r="A8" s="436"/>
      <c r="B8" s="436"/>
      <c r="C8" s="391"/>
      <c r="D8" s="397"/>
      <c r="E8" s="3695"/>
      <c r="F8" s="3695"/>
      <c r="J8" s="389">
        <v>0</v>
      </c>
    </row>
    <row r="9" spans="1:10" ht="11.45" customHeight="1">
      <c r="A9" s="436"/>
      <c r="B9" s="436"/>
      <c r="C9" s="391"/>
      <c r="D9" s="3692" t="s">
        <v>345</v>
      </c>
      <c r="E9" s="3693"/>
      <c r="F9" s="3693"/>
      <c r="G9" s="3696" t="s">
        <v>346</v>
      </c>
      <c r="J9" s="389">
        <v>11</v>
      </c>
    </row>
    <row r="10" spans="1:10" ht="11.45" customHeight="1">
      <c r="A10" s="436"/>
      <c r="B10" s="436"/>
      <c r="C10" s="391"/>
      <c r="D10" s="1396" t="s">
        <v>76</v>
      </c>
      <c r="E10" s="1398" t="s">
        <v>347</v>
      </c>
      <c r="F10" s="1398" t="s">
        <v>348</v>
      </c>
      <c r="G10" s="3697"/>
      <c r="J10" s="389">
        <v>11</v>
      </c>
    </row>
    <row r="11" spans="1:10" ht="1.1499999999999999" customHeight="1">
      <c r="A11" s="436"/>
      <c r="B11" s="436"/>
      <c r="C11" s="391"/>
      <c r="D11" s="398"/>
      <c r="E11" s="398"/>
      <c r="F11" s="398"/>
      <c r="G11" s="398"/>
      <c r="J11" s="389">
        <v>1</v>
      </c>
    </row>
    <row r="12" spans="1:10" ht="24" customHeight="1">
      <c r="A12" s="436"/>
      <c r="B12" s="436"/>
      <c r="C12" s="391"/>
      <c r="D12" s="1442">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797" t="str">
        <f>IF(org="","",org)</f>
        <v>ООО "Смоленскрегионтеплоэнерго"</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5"/>
      <c r="J12" s="389">
        <v>23</v>
      </c>
    </row>
    <row r="13" spans="1:10" ht="19.899999999999999" customHeight="1">
      <c r="A13" s="436"/>
      <c r="B13" s="436"/>
      <c r="C13" s="391"/>
      <c r="D13" s="1442">
        <v>2</v>
      </c>
      <c r="E13" s="1449" t="s">
        <v>2353</v>
      </c>
      <c r="F13" s="1443" t="s">
        <v>351</v>
      </c>
      <c r="G13" s="408"/>
      <c r="H13" s="1455"/>
      <c r="J13" s="389">
        <v>19</v>
      </c>
    </row>
    <row r="14" spans="1:10" ht="19.899999999999999" customHeight="1">
      <c r="A14" s="436"/>
      <c r="B14" s="436"/>
      <c r="C14" s="391"/>
      <c r="D14" s="1445" t="s">
        <v>1029</v>
      </c>
      <c r="E14" s="1446" t="s">
        <v>2354</v>
      </c>
      <c r="F14" s="1448"/>
      <c r="G14" s="1447" t="s">
        <v>2355</v>
      </c>
      <c r="H14" s="1455"/>
      <c r="J14" s="389">
        <v>19</v>
      </c>
    </row>
    <row r="15" spans="1:10" ht="19.899999999999999" customHeight="1">
      <c r="A15" s="436"/>
      <c r="B15" s="436"/>
      <c r="C15" s="391"/>
      <c r="D15" s="1445" t="s">
        <v>352</v>
      </c>
      <c r="E15" s="1446" t="s">
        <v>2356</v>
      </c>
      <c r="F15" s="1448"/>
      <c r="G15" s="1447" t="s">
        <v>2357</v>
      </c>
      <c r="H15" s="1455"/>
      <c r="J15" s="389">
        <v>19</v>
      </c>
    </row>
    <row r="16" spans="1:10" ht="24" customHeight="1">
      <c r="A16" s="436"/>
      <c r="B16" s="436"/>
      <c r="C16" s="391"/>
      <c r="D16" s="1445" t="s">
        <v>355</v>
      </c>
      <c r="E16" s="1444" t="s">
        <v>2358</v>
      </c>
      <c r="F16" s="1453"/>
      <c r="G16" s="408" t="s">
        <v>2359</v>
      </c>
      <c r="H16" s="1455"/>
      <c r="J16" s="389">
        <v>23</v>
      </c>
    </row>
    <row r="17" spans="1:10" ht="48.2" customHeight="1">
      <c r="A17" s="436"/>
      <c r="B17" s="436"/>
      <c r="C17" s="391"/>
      <c r="D17" s="1442">
        <v>3</v>
      </c>
      <c r="E17" s="1449" t="s">
        <v>2360</v>
      </c>
      <c r="F17" s="1448"/>
      <c r="G17" s="408" t="s">
        <v>2361</v>
      </c>
      <c r="H17" s="1455"/>
      <c r="J17" s="389">
        <v>46</v>
      </c>
    </row>
    <row r="18" spans="1:10" ht="48.2" customHeight="1">
      <c r="A18" s="1397">
        <v>1</v>
      </c>
      <c r="B18" s="436"/>
      <c r="C18" s="1399"/>
      <c r="D18" s="1442" t="s">
        <v>79</v>
      </c>
      <c r="E18" s="1449" t="s">
        <v>2362</v>
      </c>
      <c r="F18" s="1448"/>
      <c r="G18" s="408" t="s">
        <v>2361</v>
      </c>
      <c r="H18" s="1455"/>
      <c r="I18" s="780"/>
      <c r="J18" s="389">
        <v>46</v>
      </c>
    </row>
    <row r="19" spans="1:10" ht="23.25" customHeight="1">
      <c r="A19" s="436"/>
      <c r="B19" s="436"/>
      <c r="C19" s="391"/>
      <c r="D19" s="1442" t="s">
        <v>100</v>
      </c>
      <c r="E19" s="1449" t="s">
        <v>2363</v>
      </c>
      <c r="F19" s="1443" t="s">
        <v>351</v>
      </c>
      <c r="G19" s="3949" t="s">
        <v>2364</v>
      </c>
      <c r="H19" s="409"/>
      <c r="J19" s="389">
        <v>22</v>
      </c>
    </row>
    <row r="20" spans="1:10" s="1452" customFormat="1" ht="5.25" hidden="1" customHeight="1">
      <c r="A20" s="436"/>
      <c r="B20" s="436"/>
      <c r="C20" s="1451"/>
      <c r="D20" s="1450" t="s">
        <v>1635</v>
      </c>
      <c r="E20" s="940"/>
      <c r="F20" s="939"/>
      <c r="G20" s="3950"/>
      <c r="J20" s="1452">
        <v>0</v>
      </c>
    </row>
    <row r="21" spans="1:10" ht="15.75" customHeight="1">
      <c r="A21" s="436"/>
      <c r="B21" s="436"/>
      <c r="C21" s="391"/>
      <c r="D21" s="401"/>
      <c r="E21" s="349" t="s">
        <v>384</v>
      </c>
      <c r="F21" s="403"/>
      <c r="G21" s="3951"/>
      <c r="H21" s="1455"/>
      <c r="J21" s="389">
        <v>15</v>
      </c>
    </row>
    <row r="22" spans="1:10" s="435" customFormat="1" ht="26.25" customHeight="1">
      <c r="A22" s="436"/>
      <c r="B22" s="436"/>
      <c r="C22" s="436"/>
      <c r="D22" s="1442" t="s">
        <v>80</v>
      </c>
      <c r="E22" s="408" t="s">
        <v>2365</v>
      </c>
      <c r="F22" s="1448"/>
      <c r="G22" s="408" t="s">
        <v>2366</v>
      </c>
      <c r="H22" s="1454"/>
      <c r="J22" s="435">
        <v>25</v>
      </c>
    </row>
    <row r="23" spans="1:10" s="435" customFormat="1" ht="19.899999999999999" customHeight="1">
      <c r="A23" s="436"/>
      <c r="B23" s="436"/>
      <c r="C23" s="436"/>
      <c r="D23" s="1442" t="s">
        <v>81</v>
      </c>
      <c r="E23" s="1449" t="s">
        <v>2367</v>
      </c>
      <c r="F23" s="1453"/>
      <c r="G23" s="408" t="s">
        <v>2368</v>
      </c>
      <c r="H23" s="1454"/>
      <c r="J23" s="435">
        <v>19</v>
      </c>
    </row>
    <row r="24" spans="1:10" s="435" customFormat="1" ht="144" hidden="1" customHeight="1">
      <c r="A24" s="436"/>
      <c r="B24" s="436"/>
      <c r="C24" s="436"/>
      <c r="D24" s="1442" t="s">
        <v>110</v>
      </c>
      <c r="E24" s="178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87"/>
      <c r="G24" s="178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4"/>
      <c r="J24" s="435">
        <v>0</v>
      </c>
    </row>
    <row r="25" spans="1:10" ht="11.25" hidden="1" customHeight="1">
      <c r="A25" s="435" t="s">
        <v>70</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31" customWidth="1"/>
    <col min="5" max="5" width="6" style="1557" customWidth="1"/>
    <col min="6" max="6" width="46" style="1557" customWidth="1"/>
    <col min="7" max="8" width="16" style="1557" customWidth="1"/>
    <col min="9" max="9" width="35" style="1557" customWidth="1"/>
    <col min="10" max="10" width="89" style="1557" customWidth="1"/>
    <col min="11" max="11" width="3" style="1546" customWidth="1"/>
    <col min="12" max="14" width="8" style="1546" customWidth="1"/>
    <col min="15" max="15" width="25" style="1546" customWidth="1"/>
    <col min="16" max="16" width="14" style="1546" customWidth="1"/>
    <col min="17" max="20" width="8" style="160" customWidth="1"/>
    <col min="21" max="254" width="8" style="1557" customWidth="1"/>
    <col min="255" max="255" width="9.140625" style="1557" hidden="1"/>
  </cols>
  <sheetData>
    <row r="1" spans="1:255" ht="22.5" hidden="1" customHeight="1">
      <c r="F1" s="1553" t="s">
        <v>2369</v>
      </c>
      <c r="G1" s="1553" t="s">
        <v>35</v>
      </c>
      <c r="H1" s="1553" t="s">
        <v>37</v>
      </c>
      <c r="IU1" s="1077" t="s">
        <v>1</v>
      </c>
    </row>
    <row r="2" spans="1:255" s="1739" customFormat="1" ht="22.5" hidden="1" customHeight="1">
      <c r="A2" s="759"/>
      <c r="B2" s="1082">
        <v>1</v>
      </c>
      <c r="C2" s="1082"/>
      <c r="D2" s="1814" t="s">
        <v>90</v>
      </c>
      <c r="E2" s="1406"/>
      <c r="F2" s="1413"/>
      <c r="G2" s="1413"/>
      <c r="H2" s="1413"/>
      <c r="I2" s="1870"/>
      <c r="J2" s="1871"/>
      <c r="K2" s="1457"/>
      <c r="L2" s="445"/>
      <c r="M2" s="445"/>
      <c r="N2" s="434" t="str">
        <f t="array" ref="N2">IF(ISERROR(MATCH(MID(O2,1,250),MID(note_ter,1,250),0)),"n","y")</f>
        <v>n</v>
      </c>
      <c r="O2" s="445"/>
      <c r="P2" s="434" t="str">
        <f>G2&amp;"("&amp;J2&amp;")"</f>
        <v>()</v>
      </c>
      <c r="Q2" s="1082"/>
      <c r="R2" s="1082"/>
      <c r="S2" s="354"/>
      <c r="T2" s="1082"/>
      <c r="U2" s="1082"/>
      <c r="V2" s="1082"/>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1564" customFormat="1" ht="4.1500000000000004" customHeight="1">
      <c r="A3" s="430"/>
      <c r="D3" s="428"/>
      <c r="F3" s="182" t="s">
        <v>71</v>
      </c>
      <c r="G3" s="428" t="s">
        <v>72</v>
      </c>
      <c r="H3" s="428"/>
      <c r="I3" s="428"/>
      <c r="J3" s="162" t="s">
        <v>73</v>
      </c>
      <c r="K3" s="182" t="s">
        <v>71</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1711" customFormat="1" ht="14.65" customHeight="1">
      <c r="A4" s="1077"/>
      <c r="B4" s="1082"/>
      <c r="C4" s="1077"/>
      <c r="D4" s="1417"/>
      <c r="E4" s="443"/>
      <c r="F4" s="1564"/>
      <c r="G4" s="443"/>
      <c r="H4" s="443"/>
      <c r="I4" s="443"/>
      <c r="J4" s="101"/>
      <c r="K4" s="182"/>
      <c r="L4" s="434"/>
      <c r="M4" s="434"/>
      <c r="N4" s="434"/>
      <c r="O4" s="161"/>
      <c r="P4" s="434"/>
      <c r="Q4" s="160"/>
      <c r="R4" s="160"/>
      <c r="S4" s="160"/>
      <c r="T4" s="160"/>
      <c r="IU4" s="441">
        <v>14</v>
      </c>
    </row>
    <row r="5" spans="1:255" s="1711" customFormat="1" ht="27.4" customHeight="1">
      <c r="A5" s="1077"/>
      <c r="B5" s="1082"/>
      <c r="C5" s="1077"/>
      <c r="D5" s="1417"/>
      <c r="E5" s="359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594"/>
      <c r="G5" s="3594"/>
      <c r="H5" s="3594"/>
      <c r="I5" s="3594"/>
      <c r="J5" s="3594"/>
      <c r="K5" s="182"/>
      <c r="L5" s="434"/>
      <c r="M5" s="434"/>
      <c r="N5" s="434"/>
      <c r="O5" s="161"/>
      <c r="P5" s="434"/>
      <c r="Q5" s="160"/>
      <c r="R5" s="160"/>
      <c r="S5" s="160"/>
      <c r="T5" s="160"/>
      <c r="IU5" s="441">
        <v>26</v>
      </c>
    </row>
    <row r="6" spans="1:255" s="1711" customFormat="1" ht="14.65" customHeight="1">
      <c r="A6" s="1077"/>
      <c r="B6" s="1082"/>
      <c r="C6" s="1077"/>
      <c r="D6" s="1417"/>
      <c r="E6" s="443"/>
      <c r="F6" s="102"/>
      <c r="G6" s="102"/>
      <c r="H6" s="102"/>
      <c r="I6" s="102"/>
      <c r="J6" s="103"/>
      <c r="K6" s="434"/>
      <c r="L6" s="434"/>
      <c r="M6" s="434"/>
      <c r="N6" s="434"/>
      <c r="O6" s="161"/>
      <c r="P6" s="434"/>
      <c r="Q6" s="160"/>
      <c r="R6" s="160"/>
      <c r="S6" s="160"/>
      <c r="T6" s="160"/>
      <c r="IU6" s="441">
        <v>14</v>
      </c>
    </row>
    <row r="7" spans="1:255" s="1711" customFormat="1" ht="14.65" customHeight="1">
      <c r="A7" s="1077"/>
      <c r="B7" s="1082"/>
      <c r="C7" s="1077"/>
      <c r="D7" s="1417"/>
      <c r="E7" s="3589" t="s">
        <v>345</v>
      </c>
      <c r="F7" s="3595"/>
      <c r="G7" s="3595"/>
      <c r="H7" s="3595"/>
      <c r="I7" s="3595"/>
      <c r="J7" s="3952" t="s">
        <v>346</v>
      </c>
      <c r="K7" s="434"/>
      <c r="L7" s="434"/>
      <c r="M7" s="434"/>
      <c r="N7" s="434"/>
      <c r="O7" s="161"/>
      <c r="P7" s="434"/>
      <c r="Q7" s="160"/>
      <c r="R7" s="160"/>
      <c r="S7" s="160"/>
      <c r="T7" s="160"/>
      <c r="IU7" s="441">
        <v>14</v>
      </c>
    </row>
    <row r="8" spans="1:255" s="1711" customFormat="1" ht="21" customHeight="1">
      <c r="A8" s="1077"/>
      <c r="B8" s="1082"/>
      <c r="C8" s="1077"/>
      <c r="D8" s="1417"/>
      <c r="E8" s="1470" t="s">
        <v>76</v>
      </c>
      <c r="F8" s="1462" t="s">
        <v>2369</v>
      </c>
      <c r="G8" s="1462" t="s">
        <v>35</v>
      </c>
      <c r="H8" s="1462" t="s">
        <v>37</v>
      </c>
      <c r="I8" s="1462" t="s">
        <v>2370</v>
      </c>
      <c r="J8" s="3953"/>
      <c r="K8" s="434"/>
      <c r="L8" s="434"/>
      <c r="M8" s="434"/>
      <c r="N8" s="434"/>
      <c r="O8" s="161"/>
      <c r="P8" s="434"/>
      <c r="Q8" s="160"/>
      <c r="R8" s="160"/>
      <c r="S8" s="160"/>
      <c r="T8" s="160"/>
      <c r="IU8" s="441">
        <v>20</v>
      </c>
    </row>
    <row r="9" spans="1:255" s="1739" customFormat="1" ht="23.25" customHeight="1">
      <c r="A9" s="1553"/>
      <c r="B9" s="1082">
        <v>1</v>
      </c>
      <c r="C9" s="1082"/>
      <c r="D9" s="729"/>
      <c r="E9" s="1406">
        <v>1</v>
      </c>
      <c r="F9" s="1469"/>
      <c r="G9" s="1413"/>
      <c r="H9" s="1413"/>
      <c r="I9" s="1460"/>
      <c r="J9" s="366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7"/>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2"/>
      <c r="R9" s="1082"/>
      <c r="S9" s="354"/>
      <c r="T9" s="1082"/>
      <c r="U9" s="1082"/>
      <c r="V9" s="1082"/>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1739" customFormat="1" ht="15.75" customHeight="1">
      <c r="A10" s="1553"/>
      <c r="B10" s="1082"/>
      <c r="C10" s="346"/>
      <c r="D10" s="729"/>
      <c r="E10" s="1463"/>
      <c r="F10" s="1422" t="s">
        <v>2371</v>
      </c>
      <c r="G10" s="1464"/>
      <c r="H10" s="1464"/>
      <c r="I10" s="1788"/>
      <c r="J10" s="3662"/>
      <c r="K10" s="1458"/>
      <c r="L10" s="445"/>
      <c r="M10" s="445"/>
      <c r="N10" s="445"/>
      <c r="O10" s="434"/>
      <c r="P10" s="445"/>
      <c r="Q10" s="1082"/>
      <c r="R10" s="1082"/>
      <c r="S10" s="354"/>
      <c r="T10" s="1082"/>
      <c r="U10" s="1082"/>
      <c r="V10" s="1082"/>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1711" customFormat="1" ht="21.95" customHeight="1">
      <c r="A11" s="1077"/>
      <c r="B11" s="1082"/>
      <c r="C11" s="1077"/>
      <c r="D11" s="385"/>
      <c r="E11" s="115"/>
      <c r="F11" s="115"/>
      <c r="G11" s="115"/>
      <c r="H11" s="115"/>
      <c r="I11" s="115"/>
      <c r="J11" s="115"/>
      <c r="K11" s="434"/>
      <c r="L11" s="434"/>
      <c r="M11" s="434"/>
      <c r="N11" s="434"/>
      <c r="O11" s="161"/>
      <c r="P11" s="434"/>
      <c r="Q11" s="160"/>
      <c r="R11" s="160"/>
      <c r="S11" s="160"/>
      <c r="T11" s="160"/>
      <c r="IU11" s="441">
        <v>21</v>
      </c>
    </row>
    <row r="12" spans="1:255" s="1711" customFormat="1" ht="14.65" customHeight="1">
      <c r="A12" s="1077"/>
      <c r="B12" s="1082"/>
      <c r="C12" s="1077"/>
      <c r="D12" s="385"/>
      <c r="E12" s="1077"/>
      <c r="F12" s="1077"/>
      <c r="G12" s="1077"/>
      <c r="H12" s="1077"/>
      <c r="I12" s="1077"/>
      <c r="J12" s="1077"/>
      <c r="K12" s="434"/>
      <c r="L12" s="434"/>
      <c r="M12" s="434"/>
      <c r="N12" s="434"/>
      <c r="O12" s="161"/>
      <c r="P12" s="434"/>
      <c r="Q12" s="160"/>
      <c r="R12" s="160"/>
      <c r="S12" s="160"/>
      <c r="T12" s="160"/>
      <c r="IU12" s="441">
        <v>14</v>
      </c>
    </row>
    <row r="13" spans="1:255" s="1711" customFormat="1" ht="1.1499999999999999" customHeight="1">
      <c r="A13" s="1077"/>
      <c r="B13" s="1082"/>
      <c r="C13" s="1077"/>
      <c r="D13" s="385"/>
      <c r="E13" s="1077"/>
      <c r="F13" s="1077"/>
      <c r="G13" s="1077"/>
      <c r="H13" s="1077"/>
      <c r="I13" s="1077"/>
      <c r="J13" s="1077"/>
      <c r="K13" s="434"/>
      <c r="L13" s="434"/>
      <c r="M13" s="434"/>
      <c r="N13" s="434"/>
      <c r="O13" s="161"/>
      <c r="P13" s="434"/>
      <c r="Q13" s="160"/>
      <c r="R13" s="160"/>
      <c r="S13" s="160"/>
      <c r="T13" s="160"/>
      <c r="IU13" s="441">
        <v>1</v>
      </c>
    </row>
    <row r="14" spans="1:255" s="990" customFormat="1" ht="10.5" customHeight="1">
      <c r="B14" s="762"/>
      <c r="D14" s="117"/>
      <c r="K14" s="434"/>
      <c r="L14" s="434"/>
      <c r="M14" s="434"/>
      <c r="N14" s="434"/>
      <c r="O14" s="161"/>
      <c r="P14" s="434"/>
      <c r="Q14" s="160"/>
      <c r="R14" s="160"/>
      <c r="S14" s="160"/>
      <c r="T14" s="160"/>
      <c r="IU14" s="116">
        <v>10</v>
      </c>
    </row>
    <row r="15" spans="1:255" s="990" customFormat="1" ht="10.5" customHeight="1">
      <c r="B15" s="762"/>
      <c r="D15" s="117"/>
      <c r="K15" s="434"/>
      <c r="L15" s="434"/>
      <c r="M15" s="434"/>
      <c r="N15" s="434"/>
      <c r="O15" s="161"/>
      <c r="P15" s="434"/>
      <c r="Q15" s="160"/>
      <c r="R15" s="160"/>
      <c r="S15" s="160"/>
      <c r="T15" s="160"/>
      <c r="IU15" s="116">
        <v>10</v>
      </c>
    </row>
    <row r="16" spans="1:255" ht="14.65" customHeight="1">
      <c r="IU16" s="1077">
        <v>14</v>
      </c>
    </row>
    <row r="17" spans="1:255" ht="14.65" customHeight="1">
      <c r="IU17" s="1077">
        <v>14</v>
      </c>
    </row>
    <row r="18" spans="1:255" ht="14.65" customHeight="1">
      <c r="IU18" s="1077">
        <v>14</v>
      </c>
    </row>
    <row r="19" spans="1:255" ht="14.65" customHeight="1">
      <c r="G19" s="307"/>
      <c r="H19" s="307"/>
      <c r="I19" s="307"/>
      <c r="IU19" s="1077">
        <v>14</v>
      </c>
    </row>
    <row r="20" spans="1:255" ht="14.65" customHeight="1">
      <c r="IU20" s="1077">
        <v>14</v>
      </c>
    </row>
    <row r="21" spans="1:255" ht="14.65" customHeight="1">
      <c r="IU21" s="1077">
        <v>14</v>
      </c>
    </row>
    <row r="22" spans="1:255" ht="14.65" customHeight="1">
      <c r="IU22" s="1077">
        <v>14</v>
      </c>
    </row>
    <row r="23" spans="1:255" ht="14.65" customHeight="1">
      <c r="K23" s="1077"/>
      <c r="L23" s="1077"/>
      <c r="M23" s="1077"/>
      <c r="IU23" s="1077">
        <v>14</v>
      </c>
    </row>
    <row r="24" spans="1:255" ht="22.5" hidden="1" customHeight="1">
      <c r="A24" s="1077" t="s">
        <v>70</v>
      </c>
      <c r="B24" s="1082">
        <v>0</v>
      </c>
      <c r="C24" s="1077">
        <v>0</v>
      </c>
      <c r="D24" s="385">
        <v>3</v>
      </c>
      <c r="E24" s="1077">
        <v>6</v>
      </c>
      <c r="F24" s="1077">
        <v>46</v>
      </c>
      <c r="G24" s="1077">
        <v>16</v>
      </c>
      <c r="H24" s="1077">
        <v>16</v>
      </c>
      <c r="I24" s="1077">
        <v>35</v>
      </c>
      <c r="J24" s="1077">
        <v>89</v>
      </c>
      <c r="K24" s="434">
        <v>3</v>
      </c>
      <c r="L24" s="434">
        <v>8</v>
      </c>
      <c r="M24" s="434">
        <v>8</v>
      </c>
      <c r="N24" s="434">
        <v>8</v>
      </c>
      <c r="O24" s="161">
        <v>25</v>
      </c>
      <c r="P24" s="434">
        <v>14</v>
      </c>
      <c r="Q24" s="160">
        <v>8</v>
      </c>
      <c r="R24" s="160">
        <v>8</v>
      </c>
      <c r="S24" s="160">
        <v>8</v>
      </c>
      <c r="T24" s="160">
        <v>8</v>
      </c>
      <c r="U24" s="1077">
        <v>8</v>
      </c>
      <c r="V24" s="1077">
        <v>8</v>
      </c>
      <c r="W24" s="1077">
        <v>8</v>
      </c>
      <c r="X24" s="1077">
        <v>8</v>
      </c>
      <c r="Y24" s="1077">
        <v>8</v>
      </c>
      <c r="Z24" s="1077">
        <v>8</v>
      </c>
      <c r="AA24" s="1077">
        <v>8</v>
      </c>
      <c r="AB24" s="1077">
        <v>8</v>
      </c>
      <c r="AC24" s="1077">
        <v>8</v>
      </c>
      <c r="AD24" s="1077">
        <v>8</v>
      </c>
      <c r="AE24" s="1077">
        <v>8</v>
      </c>
      <c r="AF24" s="1077">
        <v>8</v>
      </c>
      <c r="AG24" s="1077">
        <v>8</v>
      </c>
      <c r="AH24" s="1077">
        <v>8</v>
      </c>
      <c r="AI24" s="1077">
        <v>8</v>
      </c>
      <c r="AJ24" s="1077">
        <v>8</v>
      </c>
      <c r="AK24" s="1077">
        <v>8</v>
      </c>
      <c r="AL24" s="1077">
        <v>8</v>
      </c>
      <c r="AM24" s="1077">
        <v>8</v>
      </c>
      <c r="AN24" s="1077">
        <v>8</v>
      </c>
      <c r="AO24" s="1077">
        <v>8</v>
      </c>
      <c r="AP24" s="1077">
        <v>8</v>
      </c>
      <c r="AQ24" s="1077">
        <v>8</v>
      </c>
      <c r="AR24" s="1077">
        <v>8</v>
      </c>
      <c r="AS24" s="1077">
        <v>8</v>
      </c>
      <c r="AT24" s="1077">
        <v>8</v>
      </c>
      <c r="AU24" s="1077">
        <v>8</v>
      </c>
      <c r="AV24" s="1077">
        <v>8</v>
      </c>
      <c r="AW24" s="1077">
        <v>8</v>
      </c>
      <c r="AX24" s="1077">
        <v>8</v>
      </c>
      <c r="AY24" s="1077">
        <v>8</v>
      </c>
      <c r="AZ24" s="1077">
        <v>8</v>
      </c>
      <c r="BA24" s="1077">
        <v>8</v>
      </c>
      <c r="BB24" s="1077">
        <v>8</v>
      </c>
      <c r="BC24" s="1077">
        <v>8</v>
      </c>
      <c r="BD24" s="1077">
        <v>8</v>
      </c>
      <c r="BE24" s="1077">
        <v>8</v>
      </c>
      <c r="BF24" s="1077">
        <v>8</v>
      </c>
      <c r="BG24" s="1077">
        <v>8</v>
      </c>
      <c r="BH24" s="1077">
        <v>8</v>
      </c>
      <c r="BI24" s="1077">
        <v>8</v>
      </c>
      <c r="BJ24" s="1077">
        <v>8</v>
      </c>
      <c r="BK24" s="1077">
        <v>8</v>
      </c>
      <c r="BL24" s="1077">
        <v>8</v>
      </c>
      <c r="BM24" s="1077">
        <v>8</v>
      </c>
      <c r="BN24" s="1077">
        <v>8</v>
      </c>
      <c r="BO24" s="1077">
        <v>8</v>
      </c>
      <c r="BP24" s="1077">
        <v>8</v>
      </c>
      <c r="BQ24" s="1077">
        <v>8</v>
      </c>
      <c r="BR24" s="1077">
        <v>8</v>
      </c>
      <c r="BS24" s="1077">
        <v>8</v>
      </c>
      <c r="BT24" s="1077">
        <v>8</v>
      </c>
      <c r="BU24" s="1077">
        <v>8</v>
      </c>
      <c r="BV24" s="1077">
        <v>8</v>
      </c>
      <c r="BW24" s="1077">
        <v>8</v>
      </c>
      <c r="BX24" s="1077">
        <v>8</v>
      </c>
      <c r="BY24" s="1077">
        <v>8</v>
      </c>
      <c r="BZ24" s="1077">
        <v>8</v>
      </c>
      <c r="CA24" s="1077">
        <v>8</v>
      </c>
      <c r="CB24" s="1077">
        <v>8</v>
      </c>
      <c r="CC24" s="1077">
        <v>8</v>
      </c>
      <c r="CD24" s="1077">
        <v>8</v>
      </c>
      <c r="CE24" s="1077">
        <v>8</v>
      </c>
      <c r="CF24" s="1077">
        <v>8</v>
      </c>
      <c r="CG24" s="1077">
        <v>8</v>
      </c>
      <c r="CH24" s="1077">
        <v>8</v>
      </c>
      <c r="CI24" s="1077">
        <v>8</v>
      </c>
      <c r="CJ24" s="1077">
        <v>8</v>
      </c>
      <c r="CK24" s="1077">
        <v>8</v>
      </c>
      <c r="CL24" s="1077">
        <v>8</v>
      </c>
      <c r="CM24" s="1077">
        <v>8</v>
      </c>
      <c r="CN24" s="1077">
        <v>8</v>
      </c>
      <c r="CO24" s="1077">
        <v>8</v>
      </c>
      <c r="CP24" s="1077">
        <v>8</v>
      </c>
      <c r="CQ24" s="1077">
        <v>8</v>
      </c>
      <c r="CR24" s="1077">
        <v>8</v>
      </c>
      <c r="CS24" s="1077">
        <v>8</v>
      </c>
      <c r="CT24" s="1077">
        <v>8</v>
      </c>
      <c r="CU24" s="1077">
        <v>8</v>
      </c>
      <c r="CV24" s="1077">
        <v>8</v>
      </c>
      <c r="CW24" s="1077">
        <v>8</v>
      </c>
      <c r="CX24" s="1077">
        <v>8</v>
      </c>
      <c r="CY24" s="1077">
        <v>8</v>
      </c>
      <c r="CZ24" s="1077">
        <v>8</v>
      </c>
      <c r="DA24" s="1077">
        <v>8</v>
      </c>
      <c r="DB24" s="1077">
        <v>8</v>
      </c>
      <c r="DC24" s="1077">
        <v>8</v>
      </c>
      <c r="DD24" s="1077">
        <v>8</v>
      </c>
      <c r="DE24" s="1077">
        <v>8</v>
      </c>
      <c r="DF24" s="1077">
        <v>8</v>
      </c>
      <c r="DG24" s="1077">
        <v>8</v>
      </c>
      <c r="DH24" s="1077">
        <v>8</v>
      </c>
      <c r="DI24" s="1077">
        <v>8</v>
      </c>
      <c r="DJ24" s="1077">
        <v>8</v>
      </c>
      <c r="DK24" s="1077">
        <v>8</v>
      </c>
      <c r="DL24" s="1077">
        <v>8</v>
      </c>
      <c r="DM24" s="1077">
        <v>8</v>
      </c>
      <c r="DN24" s="1077">
        <v>8</v>
      </c>
      <c r="DO24" s="1077">
        <v>8</v>
      </c>
      <c r="DP24" s="1077">
        <v>8</v>
      </c>
      <c r="DQ24" s="1077">
        <v>8</v>
      </c>
      <c r="DR24" s="1077">
        <v>8</v>
      </c>
      <c r="DS24" s="1077">
        <v>8</v>
      </c>
      <c r="DT24" s="1077">
        <v>8</v>
      </c>
      <c r="DU24" s="1077">
        <v>8</v>
      </c>
      <c r="DV24" s="1077">
        <v>8</v>
      </c>
      <c r="DW24" s="1077">
        <v>8</v>
      </c>
      <c r="DX24" s="1077">
        <v>8</v>
      </c>
      <c r="DY24" s="1077">
        <v>8</v>
      </c>
      <c r="DZ24" s="1077">
        <v>8</v>
      </c>
      <c r="EA24" s="1077">
        <v>8</v>
      </c>
      <c r="EB24" s="1077">
        <v>8</v>
      </c>
      <c r="EC24" s="1077">
        <v>8</v>
      </c>
      <c r="ED24" s="1077">
        <v>8</v>
      </c>
      <c r="EE24" s="1077">
        <v>8</v>
      </c>
      <c r="EF24" s="1077">
        <v>8</v>
      </c>
      <c r="EG24" s="1077">
        <v>8</v>
      </c>
      <c r="EH24" s="1077">
        <v>8</v>
      </c>
      <c r="EI24" s="1077">
        <v>8</v>
      </c>
      <c r="EJ24" s="1077">
        <v>8</v>
      </c>
      <c r="EK24" s="1077">
        <v>8</v>
      </c>
      <c r="EL24" s="1077">
        <v>8</v>
      </c>
      <c r="EM24" s="1077">
        <v>8</v>
      </c>
      <c r="EN24" s="1077">
        <v>8</v>
      </c>
      <c r="EO24" s="1077">
        <v>8</v>
      </c>
      <c r="EP24" s="1077">
        <v>8</v>
      </c>
      <c r="EQ24" s="1077">
        <v>8</v>
      </c>
      <c r="ER24" s="1077">
        <v>8</v>
      </c>
      <c r="ES24" s="1077">
        <v>8</v>
      </c>
      <c r="ET24" s="1077">
        <v>8</v>
      </c>
      <c r="EU24" s="1077">
        <v>8</v>
      </c>
      <c r="EV24" s="1077">
        <v>8</v>
      </c>
      <c r="EW24" s="1077">
        <v>8</v>
      </c>
      <c r="EX24" s="1077">
        <v>8</v>
      </c>
      <c r="EY24" s="1077">
        <v>8</v>
      </c>
      <c r="EZ24" s="1077">
        <v>8</v>
      </c>
      <c r="FA24" s="1077">
        <v>8</v>
      </c>
      <c r="FB24" s="1077">
        <v>8</v>
      </c>
      <c r="FC24" s="1077">
        <v>8</v>
      </c>
      <c r="FD24" s="1077">
        <v>8</v>
      </c>
      <c r="FE24" s="1077">
        <v>8</v>
      </c>
      <c r="FF24" s="1077">
        <v>8</v>
      </c>
      <c r="FG24" s="1077">
        <v>8</v>
      </c>
      <c r="FH24" s="1077">
        <v>8</v>
      </c>
      <c r="FI24" s="1077">
        <v>8</v>
      </c>
      <c r="FJ24" s="1077">
        <v>8</v>
      </c>
      <c r="FK24" s="1077">
        <v>8</v>
      </c>
      <c r="FL24" s="1077">
        <v>8</v>
      </c>
      <c r="FM24" s="1077">
        <v>8</v>
      </c>
      <c r="FN24" s="1077">
        <v>8</v>
      </c>
      <c r="FO24" s="1077">
        <v>8</v>
      </c>
      <c r="FP24" s="1077">
        <v>8</v>
      </c>
      <c r="FQ24" s="1077">
        <v>8</v>
      </c>
      <c r="FR24" s="1077">
        <v>8</v>
      </c>
      <c r="FS24" s="1077">
        <v>8</v>
      </c>
      <c r="FT24" s="1077">
        <v>8</v>
      </c>
      <c r="FU24" s="1077">
        <v>8</v>
      </c>
      <c r="FV24" s="1077">
        <v>8</v>
      </c>
      <c r="FW24" s="1077">
        <v>8</v>
      </c>
      <c r="FX24" s="1077">
        <v>8</v>
      </c>
      <c r="FY24" s="1077">
        <v>8</v>
      </c>
      <c r="FZ24" s="1077">
        <v>8</v>
      </c>
      <c r="GA24" s="1077">
        <v>8</v>
      </c>
      <c r="GB24" s="1077">
        <v>8</v>
      </c>
      <c r="GC24" s="1077">
        <v>8</v>
      </c>
      <c r="GD24" s="1077">
        <v>8</v>
      </c>
      <c r="GE24" s="1077">
        <v>8</v>
      </c>
      <c r="GF24" s="1077">
        <v>8</v>
      </c>
      <c r="GG24" s="1077">
        <v>8</v>
      </c>
      <c r="GH24" s="1077">
        <v>8</v>
      </c>
      <c r="GI24" s="1077">
        <v>8</v>
      </c>
      <c r="GJ24" s="1077">
        <v>8</v>
      </c>
      <c r="GK24" s="1077">
        <v>8</v>
      </c>
      <c r="GL24" s="1077">
        <v>8</v>
      </c>
      <c r="GM24" s="1077">
        <v>8</v>
      </c>
      <c r="GN24" s="1077">
        <v>8</v>
      </c>
      <c r="GO24" s="1077">
        <v>8</v>
      </c>
      <c r="GP24" s="1077">
        <v>8</v>
      </c>
      <c r="GQ24" s="1077">
        <v>8</v>
      </c>
      <c r="GR24" s="1077">
        <v>8</v>
      </c>
      <c r="GS24" s="1077">
        <v>8</v>
      </c>
      <c r="GT24" s="1077">
        <v>8</v>
      </c>
      <c r="GU24" s="1077">
        <v>8</v>
      </c>
      <c r="GV24" s="1077">
        <v>8</v>
      </c>
      <c r="GW24" s="1077">
        <v>8</v>
      </c>
      <c r="GX24" s="1077">
        <v>8</v>
      </c>
      <c r="GY24" s="1077">
        <v>8</v>
      </c>
      <c r="GZ24" s="1077">
        <v>8</v>
      </c>
      <c r="HA24" s="1077">
        <v>8</v>
      </c>
      <c r="HB24" s="1077">
        <v>8</v>
      </c>
      <c r="HC24" s="1077">
        <v>8</v>
      </c>
      <c r="HD24" s="1077">
        <v>8</v>
      </c>
      <c r="HE24" s="1077">
        <v>8</v>
      </c>
      <c r="HF24" s="1077">
        <v>8</v>
      </c>
      <c r="HG24" s="1077">
        <v>8</v>
      </c>
      <c r="HH24" s="1077">
        <v>8</v>
      </c>
      <c r="HI24" s="1077">
        <v>8</v>
      </c>
      <c r="HJ24" s="1077">
        <v>8</v>
      </c>
      <c r="HK24" s="1077">
        <v>8</v>
      </c>
      <c r="HL24" s="1077">
        <v>8</v>
      </c>
      <c r="HM24" s="1077">
        <v>8</v>
      </c>
      <c r="HN24" s="1077">
        <v>8</v>
      </c>
      <c r="HO24" s="1077">
        <v>8</v>
      </c>
      <c r="HP24" s="1077">
        <v>8</v>
      </c>
      <c r="HQ24" s="1077">
        <v>8</v>
      </c>
      <c r="HR24" s="1077">
        <v>8</v>
      </c>
      <c r="HS24" s="1077">
        <v>8</v>
      </c>
      <c r="HT24" s="1077">
        <v>8</v>
      </c>
      <c r="HU24" s="1077">
        <v>8</v>
      </c>
      <c r="HV24" s="1077">
        <v>8</v>
      </c>
      <c r="HW24" s="1077">
        <v>8</v>
      </c>
      <c r="HX24" s="1077">
        <v>8</v>
      </c>
      <c r="HY24" s="1077">
        <v>8</v>
      </c>
      <c r="HZ24" s="1077">
        <v>8</v>
      </c>
      <c r="IA24" s="1077">
        <v>8</v>
      </c>
      <c r="IB24" s="1077">
        <v>8</v>
      </c>
      <c r="IC24" s="1077">
        <v>8</v>
      </c>
      <c r="ID24" s="1077">
        <v>8</v>
      </c>
      <c r="IE24" s="1077">
        <v>8</v>
      </c>
      <c r="IF24" s="1077">
        <v>8</v>
      </c>
      <c r="IG24" s="1077">
        <v>8</v>
      </c>
      <c r="IH24" s="1077">
        <v>8</v>
      </c>
      <c r="II24" s="1077">
        <v>8</v>
      </c>
      <c r="IJ24" s="1077">
        <v>8</v>
      </c>
      <c r="IK24" s="1077">
        <v>8</v>
      </c>
      <c r="IL24" s="1077">
        <v>8</v>
      </c>
      <c r="IM24" s="1077">
        <v>8</v>
      </c>
      <c r="IN24" s="1077">
        <v>8</v>
      </c>
      <c r="IO24" s="1077">
        <v>8</v>
      </c>
      <c r="IP24" s="1077">
        <v>8</v>
      </c>
      <c r="IQ24" s="1077">
        <v>8</v>
      </c>
      <c r="IR24" s="1077">
        <v>8</v>
      </c>
      <c r="IS24" s="1077">
        <v>8</v>
      </c>
      <c r="IT24" s="1077">
        <v>8</v>
      </c>
      <c r="IU24" s="1077">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31" customWidth="1"/>
    <col min="5" max="5" width="6" style="1557" customWidth="1"/>
    <col min="6" max="6" width="27" style="1557" customWidth="1"/>
    <col min="7" max="7" width="16" style="1557" customWidth="1"/>
    <col min="8" max="8" width="12" style="1557" customWidth="1"/>
    <col min="9" max="9" width="32" style="1557" customWidth="1"/>
    <col min="10" max="11" width="41" style="1557" customWidth="1"/>
    <col min="12" max="12" width="89" style="1557" customWidth="1"/>
    <col min="13" max="13" width="3" style="1546" customWidth="1"/>
    <col min="14" max="16" width="8" style="1546" customWidth="1"/>
    <col min="17" max="17" width="25" style="1546" customWidth="1"/>
    <col min="18" max="18" width="14" style="1546" customWidth="1"/>
    <col min="19" max="22" width="8" style="160" customWidth="1"/>
    <col min="23" max="256" width="8" style="1557" customWidth="1"/>
    <col min="257" max="257" width="9.140625" style="1557" hidden="1"/>
  </cols>
  <sheetData>
    <row r="1" spans="1:257" ht="22.5" hidden="1" customHeight="1">
      <c r="IW1" s="1077" t="s">
        <v>1</v>
      </c>
    </row>
    <row r="2" spans="1:257" s="1739" customFormat="1" ht="22.5" hidden="1" customHeight="1">
      <c r="A2" s="759"/>
      <c r="B2" s="1082">
        <v>1</v>
      </c>
      <c r="C2" s="1082"/>
      <c r="D2" s="1814" t="s">
        <v>90</v>
      </c>
      <c r="E2" s="1778"/>
      <c r="F2" s="1781" t="str">
        <f>IF(ROIV_INFO_NAME="","",ROIV_INFO_NAME)</f>
        <v>ООО "Смоленскрегионтеплоэнерго"</v>
      </c>
      <c r="G2" s="1806" t="s">
        <v>9</v>
      </c>
      <c r="H2" s="1805"/>
      <c r="I2" s="1460"/>
      <c r="J2" s="746"/>
      <c r="K2" s="746"/>
      <c r="L2" s="163"/>
      <c r="M2" s="1457" t="e">
        <f ca="1">MERGEVALUE(F2)</f>
        <v>#NAME?</v>
      </c>
      <c r="N2" s="445"/>
      <c r="O2" s="445"/>
      <c r="P2" s="434" t="str">
        <f t="array" ref="P2">IF(ISERROR(MATCH(MID(Q2,1,250),MID(note_ter,1,250),0)),"n","y")</f>
        <v>n</v>
      </c>
      <c r="Q2" s="445"/>
      <c r="R2" s="434" t="str">
        <f>G2&amp;"("&amp;L2&amp;")"</f>
        <v>()</v>
      </c>
      <c r="S2" s="1082"/>
      <c r="T2" s="1082"/>
      <c r="U2" s="354"/>
      <c r="V2" s="1082"/>
      <c r="W2" s="1082"/>
      <c r="X2" s="1082"/>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1564" customFormat="1" ht="5.25" hidden="1" customHeight="1">
      <c r="A3" s="430"/>
      <c r="D3" s="428"/>
      <c r="F3" s="182" t="s">
        <v>71</v>
      </c>
      <c r="G3" s="1628" t="s">
        <v>72</v>
      </c>
      <c r="H3" s="428"/>
      <c r="I3" s="428"/>
      <c r="J3" s="428"/>
      <c r="K3" s="428"/>
      <c r="L3" s="162" t="s">
        <v>73</v>
      </c>
      <c r="M3" s="182" t="s">
        <v>71</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1711" customFormat="1" ht="14.65" customHeight="1">
      <c r="A4" s="1077"/>
      <c r="B4" s="1082"/>
      <c r="C4" s="1077"/>
      <c r="D4" s="1417"/>
      <c r="E4" s="443"/>
      <c r="F4" s="443"/>
      <c r="G4" s="443"/>
      <c r="H4" s="443"/>
      <c r="I4" s="443"/>
      <c r="J4" s="443"/>
      <c r="K4" s="443"/>
      <c r="L4" s="101"/>
      <c r="M4" s="182"/>
      <c r="N4" s="434"/>
      <c r="O4" s="434"/>
      <c r="P4" s="434"/>
      <c r="Q4" s="161"/>
      <c r="R4" s="434"/>
      <c r="S4" s="160"/>
      <c r="T4" s="160"/>
      <c r="U4" s="160"/>
      <c r="V4" s="160"/>
      <c r="IW4" s="441">
        <v>14</v>
      </c>
    </row>
    <row r="5" spans="1:257" s="1711" customFormat="1" ht="27.4" customHeight="1">
      <c r="A5" s="1077"/>
      <c r="B5" s="1082"/>
      <c r="C5" s="1077"/>
      <c r="D5" s="1417"/>
      <c r="E5" s="35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594"/>
      <c r="G5" s="3594"/>
      <c r="H5" s="3594"/>
      <c r="I5" s="3594"/>
      <c r="J5" s="3594"/>
      <c r="K5" s="3594"/>
      <c r="L5" s="522"/>
      <c r="M5" s="182"/>
      <c r="N5" s="434"/>
      <c r="O5" s="434"/>
      <c r="P5" s="434"/>
      <c r="Q5" s="161"/>
      <c r="R5" s="434"/>
      <c r="S5" s="160"/>
      <c r="T5" s="160"/>
      <c r="U5" s="160"/>
      <c r="V5" s="160"/>
      <c r="IW5" s="441">
        <v>26</v>
      </c>
    </row>
    <row r="6" spans="1:257" s="1711" customFormat="1" ht="14.65" customHeight="1">
      <c r="A6" s="1077"/>
      <c r="B6" s="1082"/>
      <c r="C6" s="1077"/>
      <c r="D6" s="1417"/>
      <c r="E6" s="443"/>
      <c r="F6" s="102"/>
      <c r="G6" s="102"/>
      <c r="H6" s="102"/>
      <c r="I6" s="102"/>
      <c r="J6" s="102"/>
      <c r="K6" s="102"/>
      <c r="L6" s="103"/>
      <c r="M6" s="434"/>
      <c r="N6" s="434"/>
      <c r="O6" s="434"/>
      <c r="P6" s="434"/>
      <c r="Q6" s="161"/>
      <c r="R6" s="434"/>
      <c r="S6" s="160"/>
      <c r="T6" s="160"/>
      <c r="U6" s="160"/>
      <c r="V6" s="160"/>
      <c r="IW6" s="441">
        <v>14</v>
      </c>
    </row>
    <row r="7" spans="1:257" s="1711" customFormat="1" ht="14.65" customHeight="1">
      <c r="A7" s="1077"/>
      <c r="B7" s="1082"/>
      <c r="C7" s="1077"/>
      <c r="D7" s="1417"/>
      <c r="E7" s="3589" t="s">
        <v>345</v>
      </c>
      <c r="F7" s="3595"/>
      <c r="G7" s="3595"/>
      <c r="H7" s="3595"/>
      <c r="I7" s="3595"/>
      <c r="J7" s="3595"/>
      <c r="K7" s="3595"/>
      <c r="L7" s="3952" t="s">
        <v>346</v>
      </c>
      <c r="M7" s="434"/>
      <c r="N7" s="434"/>
      <c r="O7" s="434"/>
      <c r="P7" s="434"/>
      <c r="Q7" s="161"/>
      <c r="R7" s="434"/>
      <c r="S7" s="160"/>
      <c r="T7" s="160"/>
      <c r="U7" s="160"/>
      <c r="V7" s="160"/>
      <c r="IW7" s="441">
        <v>14</v>
      </c>
    </row>
    <row r="8" spans="1:257" s="1711" customFormat="1" ht="67.150000000000006" customHeight="1">
      <c r="A8" s="1077"/>
      <c r="B8" s="1082"/>
      <c r="C8" s="1077"/>
      <c r="D8" s="1417"/>
      <c r="E8" s="3956" t="s">
        <v>76</v>
      </c>
      <c r="F8" s="39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9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959"/>
      <c r="I8" s="3960"/>
      <c r="J8" s="39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9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954"/>
      <c r="M8" s="434"/>
      <c r="N8" s="434"/>
      <c r="O8" s="434"/>
      <c r="P8" s="434"/>
      <c r="Q8" s="161"/>
      <c r="R8" s="434"/>
      <c r="S8" s="160"/>
      <c r="T8" s="160"/>
      <c r="U8" s="160"/>
      <c r="V8" s="160"/>
      <c r="IW8" s="441">
        <v>64</v>
      </c>
    </row>
    <row r="9" spans="1:257" s="1711" customFormat="1" ht="29.25" customHeight="1">
      <c r="A9" s="1077"/>
      <c r="B9" s="1082"/>
      <c r="C9" s="1077"/>
      <c r="D9" s="1417"/>
      <c r="E9" s="3957"/>
      <c r="F9" s="3957"/>
      <c r="G9" s="1459" t="s">
        <v>2372</v>
      </c>
      <c r="H9" s="1459" t="s">
        <v>2373</v>
      </c>
      <c r="I9" s="1459" t="s">
        <v>2374</v>
      </c>
      <c r="J9" s="3957"/>
      <c r="K9" s="3957"/>
      <c r="L9" s="3953"/>
      <c r="M9" s="434"/>
      <c r="N9" s="434"/>
      <c r="O9" s="434"/>
      <c r="P9" s="434"/>
      <c r="Q9" s="161"/>
      <c r="R9" s="434"/>
      <c r="S9" s="160"/>
      <c r="T9" s="160"/>
      <c r="U9" s="160"/>
      <c r="V9" s="160"/>
      <c r="IW9" s="441">
        <v>28</v>
      </c>
    </row>
    <row r="10" spans="1:257" s="1739" customFormat="1" ht="23.25" customHeight="1">
      <c r="A10" s="3592"/>
      <c r="B10" s="1082">
        <v>1</v>
      </c>
      <c r="C10" s="1082"/>
      <c r="D10" s="728"/>
      <c r="E10" s="726">
        <v>1</v>
      </c>
      <c r="F10" s="1461" t="str">
        <f>IF(ROIV_INFO_NAME="","",ROIV_INFO_NAME)</f>
        <v>ООО "Смоленскрегионтеплоэнерго"</v>
      </c>
      <c r="G10" s="1625" t="s">
        <v>9</v>
      </c>
      <c r="H10" s="1805"/>
      <c r="I10" s="1456"/>
      <c r="J10" s="746"/>
      <c r="K10" s="746"/>
      <c r="L10" s="39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7"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2"/>
      <c r="T10" s="1082"/>
      <c r="U10" s="354"/>
      <c r="V10" s="1082"/>
      <c r="W10" s="1082"/>
      <c r="X10" s="1082"/>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1739" customFormat="1" ht="15.75" customHeight="1">
      <c r="A11" s="3592"/>
      <c r="B11" s="1082"/>
      <c r="C11" s="346"/>
      <c r="D11" s="729"/>
      <c r="E11" s="355"/>
      <c r="F11" s="350" t="s">
        <v>2375</v>
      </c>
      <c r="G11" s="122"/>
      <c r="H11" s="122"/>
      <c r="I11" s="122"/>
      <c r="J11" s="122"/>
      <c r="K11" s="358"/>
      <c r="L11" s="3955"/>
      <c r="M11" s="1458"/>
      <c r="N11" s="445"/>
      <c r="O11" s="445"/>
      <c r="P11" s="445"/>
      <c r="Q11" s="434"/>
      <c r="R11" s="445"/>
      <c r="S11" s="1082"/>
      <c r="T11" s="1082"/>
      <c r="U11" s="354"/>
      <c r="V11" s="1082"/>
      <c r="W11" s="1082"/>
      <c r="X11" s="1082"/>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1711" customFormat="1" ht="21.95" customHeight="1">
      <c r="A12" s="1077"/>
      <c r="B12" s="1082"/>
      <c r="C12" s="1077"/>
      <c r="D12" s="385"/>
      <c r="E12" s="115"/>
      <c r="F12" s="115"/>
      <c r="G12" s="115"/>
      <c r="H12" s="115"/>
      <c r="I12" s="115"/>
      <c r="J12" s="115"/>
      <c r="K12" s="115"/>
      <c r="L12" s="115"/>
      <c r="M12" s="434"/>
      <c r="N12" s="434"/>
      <c r="O12" s="434"/>
      <c r="P12" s="434"/>
      <c r="Q12" s="161"/>
      <c r="R12" s="434"/>
      <c r="S12" s="160"/>
      <c r="T12" s="160"/>
      <c r="U12" s="160"/>
      <c r="V12" s="160"/>
      <c r="IW12" s="441">
        <v>21</v>
      </c>
    </row>
    <row r="13" spans="1:257" s="1711" customFormat="1" ht="14.65" customHeight="1">
      <c r="A13" s="1077"/>
      <c r="B13" s="1082"/>
      <c r="C13" s="1077"/>
      <c r="D13" s="385"/>
      <c r="E13" s="1077"/>
      <c r="F13" s="1077"/>
      <c r="G13" s="1077"/>
      <c r="H13" s="1077"/>
      <c r="I13" s="1077"/>
      <c r="J13" s="1077"/>
      <c r="K13" s="1077"/>
      <c r="L13" s="1077"/>
      <c r="M13" s="434"/>
      <c r="N13" s="434"/>
      <c r="O13" s="434"/>
      <c r="P13" s="434"/>
      <c r="Q13" s="161"/>
      <c r="R13" s="434"/>
      <c r="S13" s="160"/>
      <c r="T13" s="160"/>
      <c r="U13" s="160"/>
      <c r="V13" s="160"/>
      <c r="IW13" s="441">
        <v>14</v>
      </c>
    </row>
    <row r="14" spans="1:257" s="1711" customFormat="1" ht="1.1499999999999999" customHeight="1">
      <c r="A14" s="1077"/>
      <c r="B14" s="1082"/>
      <c r="C14" s="1077"/>
      <c r="D14" s="385"/>
      <c r="E14" s="1077"/>
      <c r="F14" s="1077"/>
      <c r="G14" s="1077"/>
      <c r="H14" s="1077"/>
      <c r="I14" s="1077"/>
      <c r="J14" s="1077"/>
      <c r="K14" s="1077"/>
      <c r="L14" s="1077"/>
      <c r="M14" s="434"/>
      <c r="N14" s="434"/>
      <c r="O14" s="434"/>
      <c r="P14" s="434"/>
      <c r="Q14" s="161"/>
      <c r="R14" s="434"/>
      <c r="S14" s="160"/>
      <c r="T14" s="160"/>
      <c r="U14" s="160"/>
      <c r="V14" s="160"/>
      <c r="IW14" s="441">
        <v>1</v>
      </c>
    </row>
    <row r="15" spans="1:257" ht="22.5" hidden="1" customHeight="1">
      <c r="A15" s="1077" t="s">
        <v>70</v>
      </c>
      <c r="B15" s="1082">
        <v>0</v>
      </c>
      <c r="C15" s="1077">
        <v>0</v>
      </c>
      <c r="D15" s="385">
        <v>3</v>
      </c>
      <c r="E15" s="1077">
        <v>6</v>
      </c>
      <c r="F15" s="1077">
        <v>27</v>
      </c>
      <c r="G15" s="1077">
        <v>16</v>
      </c>
      <c r="H15" s="1077">
        <v>12</v>
      </c>
      <c r="I15" s="1077">
        <v>32</v>
      </c>
      <c r="J15" s="1077">
        <v>41</v>
      </c>
      <c r="K15" s="1077">
        <v>41</v>
      </c>
      <c r="L15" s="1077">
        <v>89</v>
      </c>
      <c r="M15" s="434">
        <v>3</v>
      </c>
      <c r="N15" s="434">
        <v>8</v>
      </c>
      <c r="O15" s="434">
        <v>8</v>
      </c>
      <c r="P15" s="434">
        <v>8</v>
      </c>
      <c r="Q15" s="161">
        <v>25</v>
      </c>
      <c r="R15" s="434">
        <v>14</v>
      </c>
      <c r="S15" s="160">
        <v>8</v>
      </c>
      <c r="T15" s="160">
        <v>8</v>
      </c>
      <c r="U15" s="160">
        <v>8</v>
      </c>
      <c r="V15" s="160">
        <v>8</v>
      </c>
      <c r="W15" s="1077">
        <v>8</v>
      </c>
      <c r="X15" s="1077">
        <v>8</v>
      </c>
      <c r="Y15" s="1077">
        <v>8</v>
      </c>
      <c r="Z15" s="1077">
        <v>8</v>
      </c>
      <c r="AA15" s="1077">
        <v>8</v>
      </c>
      <c r="AB15" s="1077">
        <v>8</v>
      </c>
      <c r="AC15" s="1077">
        <v>8</v>
      </c>
      <c r="AD15" s="1077">
        <v>8</v>
      </c>
      <c r="AE15" s="1077">
        <v>8</v>
      </c>
      <c r="AF15" s="1077">
        <v>8</v>
      </c>
      <c r="AG15" s="1077">
        <v>8</v>
      </c>
      <c r="AH15" s="1077">
        <v>8</v>
      </c>
      <c r="AI15" s="1077">
        <v>8</v>
      </c>
      <c r="AJ15" s="1077">
        <v>8</v>
      </c>
      <c r="AK15" s="1077">
        <v>8</v>
      </c>
      <c r="AL15" s="1077">
        <v>8</v>
      </c>
      <c r="AM15" s="1077">
        <v>8</v>
      </c>
      <c r="AN15" s="1077">
        <v>8</v>
      </c>
      <c r="AO15" s="1077">
        <v>8</v>
      </c>
      <c r="AP15" s="1077">
        <v>8</v>
      </c>
      <c r="AQ15" s="1077">
        <v>8</v>
      </c>
      <c r="AR15" s="1077">
        <v>8</v>
      </c>
      <c r="AS15" s="1077">
        <v>8</v>
      </c>
      <c r="AT15" s="1077">
        <v>8</v>
      </c>
      <c r="AU15" s="1077">
        <v>8</v>
      </c>
      <c r="AV15" s="1077">
        <v>8</v>
      </c>
      <c r="AW15" s="1077">
        <v>8</v>
      </c>
      <c r="AX15" s="1077">
        <v>8</v>
      </c>
      <c r="AY15" s="1077">
        <v>8</v>
      </c>
      <c r="AZ15" s="1077">
        <v>8</v>
      </c>
      <c r="BA15" s="1077">
        <v>8</v>
      </c>
      <c r="BB15" s="1077">
        <v>8</v>
      </c>
      <c r="BC15" s="1077">
        <v>8</v>
      </c>
      <c r="BD15" s="1077">
        <v>8</v>
      </c>
      <c r="BE15" s="1077">
        <v>8</v>
      </c>
      <c r="BF15" s="1077">
        <v>8</v>
      </c>
      <c r="BG15" s="1077">
        <v>8</v>
      </c>
      <c r="BH15" s="1077">
        <v>8</v>
      </c>
      <c r="BI15" s="1077">
        <v>8</v>
      </c>
      <c r="BJ15" s="1077">
        <v>8</v>
      </c>
      <c r="BK15" s="1077">
        <v>8</v>
      </c>
      <c r="BL15" s="1077">
        <v>8</v>
      </c>
      <c r="BM15" s="1077">
        <v>8</v>
      </c>
      <c r="BN15" s="1077">
        <v>8</v>
      </c>
      <c r="BO15" s="1077">
        <v>8</v>
      </c>
      <c r="BP15" s="1077">
        <v>8</v>
      </c>
      <c r="BQ15" s="1077">
        <v>8</v>
      </c>
      <c r="BR15" s="1077">
        <v>8</v>
      </c>
      <c r="BS15" s="1077">
        <v>8</v>
      </c>
      <c r="BT15" s="1077">
        <v>8</v>
      </c>
      <c r="BU15" s="1077">
        <v>8</v>
      </c>
      <c r="BV15" s="1077">
        <v>8</v>
      </c>
      <c r="BW15" s="1077">
        <v>8</v>
      </c>
      <c r="BX15" s="1077">
        <v>8</v>
      </c>
      <c r="BY15" s="1077">
        <v>8</v>
      </c>
      <c r="BZ15" s="1077">
        <v>8</v>
      </c>
      <c r="CA15" s="1077">
        <v>8</v>
      </c>
      <c r="CB15" s="1077">
        <v>8</v>
      </c>
      <c r="CC15" s="1077">
        <v>8</v>
      </c>
      <c r="CD15" s="1077">
        <v>8</v>
      </c>
      <c r="CE15" s="1077">
        <v>8</v>
      </c>
      <c r="CF15" s="1077">
        <v>8</v>
      </c>
      <c r="CG15" s="1077">
        <v>8</v>
      </c>
      <c r="CH15" s="1077">
        <v>8</v>
      </c>
      <c r="CI15" s="1077">
        <v>8</v>
      </c>
      <c r="CJ15" s="1077">
        <v>8</v>
      </c>
      <c r="CK15" s="1077">
        <v>8</v>
      </c>
      <c r="CL15" s="1077">
        <v>8</v>
      </c>
      <c r="CM15" s="1077">
        <v>8</v>
      </c>
      <c r="CN15" s="1077">
        <v>8</v>
      </c>
      <c r="CO15" s="1077">
        <v>8</v>
      </c>
      <c r="CP15" s="1077">
        <v>8</v>
      </c>
      <c r="CQ15" s="1077">
        <v>8</v>
      </c>
      <c r="CR15" s="1077">
        <v>8</v>
      </c>
      <c r="CS15" s="1077">
        <v>8</v>
      </c>
      <c r="CT15" s="1077">
        <v>8</v>
      </c>
      <c r="CU15" s="1077">
        <v>8</v>
      </c>
      <c r="CV15" s="1077">
        <v>8</v>
      </c>
      <c r="CW15" s="1077">
        <v>8</v>
      </c>
      <c r="CX15" s="1077">
        <v>8</v>
      </c>
      <c r="CY15" s="1077">
        <v>8</v>
      </c>
      <c r="CZ15" s="1077">
        <v>8</v>
      </c>
      <c r="DA15" s="1077">
        <v>8</v>
      </c>
      <c r="DB15" s="1077">
        <v>8</v>
      </c>
      <c r="DC15" s="1077">
        <v>8</v>
      </c>
      <c r="DD15" s="1077">
        <v>8</v>
      </c>
      <c r="DE15" s="1077">
        <v>8</v>
      </c>
      <c r="DF15" s="1077">
        <v>8</v>
      </c>
      <c r="DG15" s="1077">
        <v>8</v>
      </c>
      <c r="DH15" s="1077">
        <v>8</v>
      </c>
      <c r="DI15" s="1077">
        <v>8</v>
      </c>
      <c r="DJ15" s="1077">
        <v>8</v>
      </c>
      <c r="DK15" s="1077">
        <v>8</v>
      </c>
      <c r="DL15" s="1077">
        <v>8</v>
      </c>
      <c r="DM15" s="1077">
        <v>8</v>
      </c>
      <c r="DN15" s="1077">
        <v>8</v>
      </c>
      <c r="DO15" s="1077">
        <v>8</v>
      </c>
      <c r="DP15" s="1077">
        <v>8</v>
      </c>
      <c r="DQ15" s="1077">
        <v>8</v>
      </c>
      <c r="DR15" s="1077">
        <v>8</v>
      </c>
      <c r="DS15" s="1077">
        <v>8</v>
      </c>
      <c r="DT15" s="1077">
        <v>8</v>
      </c>
      <c r="DU15" s="1077">
        <v>8</v>
      </c>
      <c r="DV15" s="1077">
        <v>8</v>
      </c>
      <c r="DW15" s="1077">
        <v>8</v>
      </c>
      <c r="DX15" s="1077">
        <v>8</v>
      </c>
      <c r="DY15" s="1077">
        <v>8</v>
      </c>
      <c r="DZ15" s="1077">
        <v>8</v>
      </c>
      <c r="EA15" s="1077">
        <v>8</v>
      </c>
      <c r="EB15" s="1077">
        <v>8</v>
      </c>
      <c r="EC15" s="1077">
        <v>8</v>
      </c>
      <c r="ED15" s="1077">
        <v>8</v>
      </c>
      <c r="EE15" s="1077">
        <v>8</v>
      </c>
      <c r="EF15" s="1077">
        <v>8</v>
      </c>
      <c r="EG15" s="1077">
        <v>8</v>
      </c>
      <c r="EH15" s="1077">
        <v>8</v>
      </c>
      <c r="EI15" s="1077">
        <v>8</v>
      </c>
      <c r="EJ15" s="1077">
        <v>8</v>
      </c>
      <c r="EK15" s="1077">
        <v>8</v>
      </c>
      <c r="EL15" s="1077">
        <v>8</v>
      </c>
      <c r="EM15" s="1077">
        <v>8</v>
      </c>
      <c r="EN15" s="1077">
        <v>8</v>
      </c>
      <c r="EO15" s="1077">
        <v>8</v>
      </c>
      <c r="EP15" s="1077">
        <v>8</v>
      </c>
      <c r="EQ15" s="1077">
        <v>8</v>
      </c>
      <c r="ER15" s="1077">
        <v>8</v>
      </c>
      <c r="ES15" s="1077">
        <v>8</v>
      </c>
      <c r="ET15" s="1077">
        <v>8</v>
      </c>
      <c r="EU15" s="1077">
        <v>8</v>
      </c>
      <c r="EV15" s="1077">
        <v>8</v>
      </c>
      <c r="EW15" s="1077">
        <v>8</v>
      </c>
      <c r="EX15" s="1077">
        <v>8</v>
      </c>
      <c r="EY15" s="1077">
        <v>8</v>
      </c>
      <c r="EZ15" s="1077">
        <v>8</v>
      </c>
      <c r="FA15" s="1077">
        <v>8</v>
      </c>
      <c r="FB15" s="1077">
        <v>8</v>
      </c>
      <c r="FC15" s="1077">
        <v>8</v>
      </c>
      <c r="FD15" s="1077">
        <v>8</v>
      </c>
      <c r="FE15" s="1077">
        <v>8</v>
      </c>
      <c r="FF15" s="1077">
        <v>8</v>
      </c>
      <c r="FG15" s="1077">
        <v>8</v>
      </c>
      <c r="FH15" s="1077">
        <v>8</v>
      </c>
      <c r="FI15" s="1077">
        <v>8</v>
      </c>
      <c r="FJ15" s="1077">
        <v>8</v>
      </c>
      <c r="FK15" s="1077">
        <v>8</v>
      </c>
      <c r="FL15" s="1077">
        <v>8</v>
      </c>
      <c r="FM15" s="1077">
        <v>8</v>
      </c>
      <c r="FN15" s="1077">
        <v>8</v>
      </c>
      <c r="FO15" s="1077">
        <v>8</v>
      </c>
      <c r="FP15" s="1077">
        <v>8</v>
      </c>
      <c r="FQ15" s="1077">
        <v>8</v>
      </c>
      <c r="FR15" s="1077">
        <v>8</v>
      </c>
      <c r="FS15" s="1077">
        <v>8</v>
      </c>
      <c r="FT15" s="1077">
        <v>8</v>
      </c>
      <c r="FU15" s="1077">
        <v>8</v>
      </c>
      <c r="FV15" s="1077">
        <v>8</v>
      </c>
      <c r="FW15" s="1077">
        <v>8</v>
      </c>
      <c r="FX15" s="1077">
        <v>8</v>
      </c>
      <c r="FY15" s="1077">
        <v>8</v>
      </c>
      <c r="FZ15" s="1077">
        <v>8</v>
      </c>
      <c r="GA15" s="1077">
        <v>8</v>
      </c>
      <c r="GB15" s="1077">
        <v>8</v>
      </c>
      <c r="GC15" s="1077">
        <v>8</v>
      </c>
      <c r="GD15" s="1077">
        <v>8</v>
      </c>
      <c r="GE15" s="1077">
        <v>8</v>
      </c>
      <c r="GF15" s="1077">
        <v>8</v>
      </c>
      <c r="GG15" s="1077">
        <v>8</v>
      </c>
      <c r="GH15" s="1077">
        <v>8</v>
      </c>
      <c r="GI15" s="1077">
        <v>8</v>
      </c>
      <c r="GJ15" s="1077">
        <v>8</v>
      </c>
      <c r="GK15" s="1077">
        <v>8</v>
      </c>
      <c r="GL15" s="1077">
        <v>8</v>
      </c>
      <c r="GM15" s="1077">
        <v>8</v>
      </c>
      <c r="GN15" s="1077">
        <v>8</v>
      </c>
      <c r="GO15" s="1077">
        <v>8</v>
      </c>
      <c r="GP15" s="1077">
        <v>8</v>
      </c>
      <c r="GQ15" s="1077">
        <v>8</v>
      </c>
      <c r="GR15" s="1077">
        <v>8</v>
      </c>
      <c r="GS15" s="1077">
        <v>8</v>
      </c>
      <c r="GT15" s="1077">
        <v>8</v>
      </c>
      <c r="GU15" s="1077">
        <v>8</v>
      </c>
      <c r="GV15" s="1077">
        <v>8</v>
      </c>
      <c r="GW15" s="1077">
        <v>8</v>
      </c>
      <c r="GX15" s="1077">
        <v>8</v>
      </c>
      <c r="GY15" s="1077">
        <v>8</v>
      </c>
      <c r="GZ15" s="1077">
        <v>8</v>
      </c>
      <c r="HA15" s="1077">
        <v>8</v>
      </c>
      <c r="HB15" s="1077">
        <v>8</v>
      </c>
      <c r="HC15" s="1077">
        <v>8</v>
      </c>
      <c r="HD15" s="1077">
        <v>8</v>
      </c>
      <c r="HE15" s="1077">
        <v>8</v>
      </c>
      <c r="HF15" s="1077">
        <v>8</v>
      </c>
      <c r="HG15" s="1077">
        <v>8</v>
      </c>
      <c r="HH15" s="1077">
        <v>8</v>
      </c>
      <c r="HI15" s="1077">
        <v>8</v>
      </c>
      <c r="HJ15" s="1077">
        <v>8</v>
      </c>
      <c r="HK15" s="1077">
        <v>8</v>
      </c>
      <c r="HL15" s="1077">
        <v>8</v>
      </c>
      <c r="HM15" s="1077">
        <v>8</v>
      </c>
      <c r="HN15" s="1077">
        <v>8</v>
      </c>
      <c r="HO15" s="1077">
        <v>8</v>
      </c>
      <c r="HP15" s="1077">
        <v>8</v>
      </c>
      <c r="HQ15" s="1077">
        <v>8</v>
      </c>
      <c r="HR15" s="1077">
        <v>8</v>
      </c>
      <c r="HS15" s="1077">
        <v>8</v>
      </c>
      <c r="HT15" s="1077">
        <v>8</v>
      </c>
      <c r="HU15" s="1077">
        <v>8</v>
      </c>
      <c r="HV15" s="1077">
        <v>8</v>
      </c>
      <c r="HW15" s="1077">
        <v>8</v>
      </c>
      <c r="HX15" s="1077">
        <v>8</v>
      </c>
      <c r="HY15" s="1077">
        <v>8</v>
      </c>
      <c r="HZ15" s="1077">
        <v>8</v>
      </c>
      <c r="IA15" s="1077">
        <v>8</v>
      </c>
      <c r="IB15" s="1077">
        <v>8</v>
      </c>
      <c r="IC15" s="1077">
        <v>8</v>
      </c>
      <c r="ID15" s="1077">
        <v>8</v>
      </c>
      <c r="IE15" s="1077">
        <v>8</v>
      </c>
      <c r="IF15" s="1077">
        <v>8</v>
      </c>
      <c r="IG15" s="1077">
        <v>8</v>
      </c>
      <c r="IH15" s="1077">
        <v>8</v>
      </c>
      <c r="II15" s="1077">
        <v>8</v>
      </c>
      <c r="IJ15" s="1077">
        <v>8</v>
      </c>
      <c r="IK15" s="1077">
        <v>8</v>
      </c>
      <c r="IL15" s="1077">
        <v>8</v>
      </c>
      <c r="IM15" s="1077">
        <v>8</v>
      </c>
      <c r="IN15" s="1077">
        <v>8</v>
      </c>
      <c r="IO15" s="1077">
        <v>8</v>
      </c>
      <c r="IP15" s="1077">
        <v>8</v>
      </c>
      <c r="IQ15" s="1077">
        <v>8</v>
      </c>
      <c r="IR15" s="1077">
        <v>8</v>
      </c>
      <c r="IS15" s="1077">
        <v>8</v>
      </c>
      <c r="IT15" s="1077">
        <v>8</v>
      </c>
      <c r="IU15" s="1077">
        <v>8</v>
      </c>
      <c r="IV15" s="1077">
        <v>8</v>
      </c>
      <c r="IW15" s="1077">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31" customWidth="1"/>
    <col min="5" max="5" width="6" style="1557" customWidth="1"/>
    <col min="6" max="6" width="27" style="1557" customWidth="1"/>
    <col min="7" max="7" width="16" style="1557" customWidth="1"/>
    <col min="8" max="8" width="12" style="1557" customWidth="1"/>
    <col min="9" max="9" width="32" style="1557" customWidth="1"/>
    <col min="10" max="11" width="41" style="1557" customWidth="1"/>
    <col min="12" max="12" width="89" style="1557" customWidth="1"/>
    <col min="13" max="13" width="3" style="1546" customWidth="1"/>
    <col min="14" max="16" width="8" style="1546" customWidth="1"/>
    <col min="17" max="17" width="25" style="1546" customWidth="1"/>
    <col min="18" max="18" width="14" style="1546" customWidth="1"/>
    <col min="19" max="22" width="8" style="160" customWidth="1"/>
    <col min="23" max="256" width="8" style="1557" customWidth="1"/>
    <col min="257" max="257" width="9.140625" style="1557" hidden="1"/>
  </cols>
  <sheetData>
    <row r="1" spans="1:257" ht="22.5" hidden="1" customHeight="1">
      <c r="IW1" s="1553" t="s">
        <v>1</v>
      </c>
    </row>
    <row r="2" spans="1:257" s="1739" customFormat="1" ht="22.5" hidden="1" customHeight="1">
      <c r="A2" s="759"/>
      <c r="B2" s="1288">
        <v>1</v>
      </c>
      <c r="C2" s="1288"/>
      <c r="D2" s="1814" t="s">
        <v>90</v>
      </c>
      <c r="E2" s="1793"/>
      <c r="F2" s="1795" t="str">
        <f>IF(ROIV_INFO_NAME="","",ROIV_INFO_NAME)</f>
        <v>ООО "Смоленскрегионтеплоэнерго"</v>
      </c>
      <c r="G2" s="1625" t="s">
        <v>9</v>
      </c>
      <c r="H2" s="1805"/>
      <c r="I2" s="1460"/>
      <c r="J2" s="746"/>
      <c r="K2" s="746"/>
      <c r="L2" s="163"/>
      <c r="M2" s="1457" t="e">
        <f ca="1">MERGEVALUE(F2)</f>
        <v>#NAME?</v>
      </c>
      <c r="N2" s="1558"/>
      <c r="O2" s="1558"/>
      <c r="P2" s="1546" t="str">
        <f t="array" ref="P2">IF(ISERROR(MATCH(MID(Q2,1,250),MID(note_ter,1,250),0)),"n","y")</f>
        <v>n</v>
      </c>
      <c r="Q2" s="1558"/>
      <c r="R2" s="1546" t="str">
        <f>G2&amp;"("&amp;L2&amp;")"</f>
        <v>()</v>
      </c>
      <c r="S2" s="1288"/>
      <c r="T2" s="1288"/>
      <c r="U2" s="354"/>
      <c r="V2" s="1288"/>
      <c r="W2" s="1288"/>
      <c r="X2" s="1288"/>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1564" customFormat="1" ht="5.25" hidden="1" customHeight="1">
      <c r="A3" s="1563"/>
      <c r="D3" s="1782"/>
      <c r="F3" s="183" t="s">
        <v>71</v>
      </c>
      <c r="G3" s="1628" t="s">
        <v>72</v>
      </c>
      <c r="H3" s="1782"/>
      <c r="I3" s="1782"/>
      <c r="J3" s="1782"/>
      <c r="K3" s="1782"/>
      <c r="L3" s="162" t="s">
        <v>73</v>
      </c>
      <c r="M3" s="183" t="s">
        <v>71</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8">
        <v>0</v>
      </c>
    </row>
    <row r="4" spans="1:257" s="1711" customFormat="1" ht="14.65" customHeight="1">
      <c r="A4" s="1553"/>
      <c r="B4" s="1288"/>
      <c r="C4" s="1553"/>
      <c r="D4" s="1437"/>
      <c r="E4" s="1557"/>
      <c r="F4" s="1557"/>
      <c r="G4" s="1557"/>
      <c r="H4" s="1557"/>
      <c r="I4" s="1557"/>
      <c r="J4" s="1557"/>
      <c r="K4" s="1557"/>
      <c r="L4" s="1784"/>
      <c r="M4" s="183"/>
      <c r="N4" s="1546"/>
      <c r="O4" s="1546"/>
      <c r="P4" s="1546"/>
      <c r="Q4" s="1546"/>
      <c r="R4" s="1546"/>
      <c r="S4" s="160"/>
      <c r="T4" s="160"/>
      <c r="U4" s="160"/>
      <c r="V4" s="160"/>
      <c r="IW4" s="1531">
        <v>14</v>
      </c>
    </row>
    <row r="5" spans="1:257" s="1711" customFormat="1" ht="27.4" customHeight="1">
      <c r="A5" s="1553"/>
      <c r="B5" s="1288"/>
      <c r="C5" s="1553"/>
      <c r="D5" s="1437"/>
      <c r="E5" s="35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594"/>
      <c r="G5" s="3594"/>
      <c r="H5" s="3594"/>
      <c r="I5" s="3594"/>
      <c r="J5" s="3594"/>
      <c r="K5" s="3594"/>
      <c r="L5" s="1557"/>
      <c r="M5" s="183"/>
      <c r="N5" s="1546"/>
      <c r="O5" s="1546"/>
      <c r="P5" s="1546"/>
      <c r="Q5" s="1546"/>
      <c r="R5" s="1546"/>
      <c r="S5" s="160"/>
      <c r="T5" s="160"/>
      <c r="U5" s="160"/>
      <c r="V5" s="160"/>
      <c r="IW5" s="1531">
        <v>26</v>
      </c>
    </row>
    <row r="6" spans="1:257" s="1711" customFormat="1" ht="14.65" customHeight="1">
      <c r="A6" s="1553"/>
      <c r="B6" s="1288"/>
      <c r="C6" s="1553"/>
      <c r="D6" s="1437"/>
      <c r="E6" s="1557"/>
      <c r="F6" s="550"/>
      <c r="G6" s="550"/>
      <c r="H6" s="550"/>
      <c r="I6" s="550"/>
      <c r="J6" s="550"/>
      <c r="K6" s="550"/>
      <c r="L6" s="1174"/>
      <c r="M6" s="1546"/>
      <c r="N6" s="1546"/>
      <c r="O6" s="1546"/>
      <c r="P6" s="1546"/>
      <c r="Q6" s="1546"/>
      <c r="R6" s="1546"/>
      <c r="S6" s="160"/>
      <c r="T6" s="160"/>
      <c r="U6" s="160"/>
      <c r="V6" s="160"/>
      <c r="IW6" s="1531">
        <v>14</v>
      </c>
    </row>
    <row r="7" spans="1:257" s="1711" customFormat="1" ht="14.65" customHeight="1">
      <c r="A7" s="1553"/>
      <c r="B7" s="1288"/>
      <c r="C7" s="1553"/>
      <c r="D7" s="1437"/>
      <c r="E7" s="3589" t="s">
        <v>345</v>
      </c>
      <c r="F7" s="3595"/>
      <c r="G7" s="3595"/>
      <c r="H7" s="3595"/>
      <c r="I7" s="3595"/>
      <c r="J7" s="3595"/>
      <c r="K7" s="3595"/>
      <c r="L7" s="3952" t="s">
        <v>346</v>
      </c>
      <c r="M7" s="1546"/>
      <c r="N7" s="1546"/>
      <c r="O7" s="1546"/>
      <c r="P7" s="1546"/>
      <c r="Q7" s="1546"/>
      <c r="R7" s="1546"/>
      <c r="S7" s="160"/>
      <c r="T7" s="160"/>
      <c r="U7" s="160"/>
      <c r="V7" s="160"/>
      <c r="IW7" s="1531">
        <v>14</v>
      </c>
    </row>
    <row r="8" spans="1:257" s="1711" customFormat="1" ht="67.150000000000006" customHeight="1">
      <c r="A8" s="1553"/>
      <c r="B8" s="1288"/>
      <c r="C8" s="1553"/>
      <c r="D8" s="1437"/>
      <c r="E8" s="3956" t="s">
        <v>76</v>
      </c>
      <c r="F8" s="3956" t="s">
        <v>2376</v>
      </c>
      <c r="G8" s="3958" t="s">
        <v>2377</v>
      </c>
      <c r="H8" s="3959"/>
      <c r="I8" s="3960"/>
      <c r="J8" s="3956" t="s">
        <v>2378</v>
      </c>
      <c r="K8" s="39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954"/>
      <c r="M8" s="1546"/>
      <c r="N8" s="1546"/>
      <c r="O8" s="1546"/>
      <c r="P8" s="1546"/>
      <c r="Q8" s="1546"/>
      <c r="R8" s="1546"/>
      <c r="S8" s="160"/>
      <c r="T8" s="160"/>
      <c r="U8" s="160"/>
      <c r="V8" s="160"/>
      <c r="IW8" s="1531">
        <v>64</v>
      </c>
    </row>
    <row r="9" spans="1:257" s="1711" customFormat="1" ht="29.25" customHeight="1">
      <c r="A9" s="1553"/>
      <c r="B9" s="1288"/>
      <c r="C9" s="1553"/>
      <c r="D9" s="1437"/>
      <c r="E9" s="3957"/>
      <c r="F9" s="3957"/>
      <c r="G9" s="1783" t="s">
        <v>2372</v>
      </c>
      <c r="H9" s="1783" t="s">
        <v>2373</v>
      </c>
      <c r="I9" s="1783" t="s">
        <v>2374</v>
      </c>
      <c r="J9" s="3957"/>
      <c r="K9" s="3957"/>
      <c r="L9" s="3953"/>
      <c r="M9" s="1546"/>
      <c r="N9" s="1546"/>
      <c r="O9" s="1546"/>
      <c r="P9" s="1546"/>
      <c r="Q9" s="1546"/>
      <c r="R9" s="1546"/>
      <c r="S9" s="160"/>
      <c r="T9" s="160"/>
      <c r="U9" s="160"/>
      <c r="V9" s="160"/>
      <c r="IW9" s="1531">
        <v>28</v>
      </c>
    </row>
    <row r="10" spans="1:257" s="1739" customFormat="1" ht="1.1499999999999999" customHeight="1">
      <c r="A10" s="3592"/>
      <c r="B10" s="1288">
        <v>1</v>
      </c>
      <c r="C10" s="1288"/>
      <c r="D10" s="728"/>
      <c r="E10" s="723">
        <v>0</v>
      </c>
      <c r="F10" s="1780" t="str">
        <f>IF(ROIV_INFO_NAME="","",ROIV_INFO_NAME)</f>
        <v>ООО "Смоленскрегионтеплоэнерго"</v>
      </c>
      <c r="G10" s="1626" t="s">
        <v>9</v>
      </c>
      <c r="H10" s="1792"/>
      <c r="I10" s="1792"/>
      <c r="J10" s="453"/>
      <c r="K10" s="453"/>
      <c r="L10" s="39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7" t="e">
        <f ca="1">MERGEVALUE(F10)</f>
        <v>#NAME?</v>
      </c>
      <c r="N10" s="1558"/>
      <c r="O10" s="1558"/>
      <c r="P10" s="1546" t="str">
        <f t="array" ref="P10">IF(ISERROR(MATCH(MID(Q10,1,250),MID(note_ter,1,250),0)),"n","y")</f>
        <v>n</v>
      </c>
      <c r="Q10" s="1558"/>
      <c r="R10" s="154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8"/>
      <c r="T10" s="1288"/>
      <c r="U10" s="354"/>
      <c r="V10" s="1288"/>
      <c r="W10" s="1288"/>
      <c r="X10" s="1288"/>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1739" customFormat="1" ht="15.75" customHeight="1">
      <c r="A11" s="3592"/>
      <c r="B11" s="1288"/>
      <c r="C11" s="346"/>
      <c r="D11" s="729"/>
      <c r="E11" s="355"/>
      <c r="F11" s="585" t="s">
        <v>2375</v>
      </c>
      <c r="G11" s="122"/>
      <c r="H11" s="122"/>
      <c r="I11" s="122"/>
      <c r="J11" s="122"/>
      <c r="K11" s="358"/>
      <c r="L11" s="3955"/>
      <c r="M11" s="1458"/>
      <c r="N11" s="1558"/>
      <c r="O11" s="1558"/>
      <c r="P11" s="1558"/>
      <c r="Q11" s="1546"/>
      <c r="R11" s="1558"/>
      <c r="S11" s="1288"/>
      <c r="T11" s="1288"/>
      <c r="U11" s="354"/>
      <c r="V11" s="1288"/>
      <c r="W11" s="1288"/>
      <c r="X11" s="1288"/>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1711" customFormat="1" ht="21.95" customHeight="1">
      <c r="A12" s="1553"/>
      <c r="B12" s="1288"/>
      <c r="C12" s="1553"/>
      <c r="D12" s="1555"/>
      <c r="E12" s="115"/>
      <c r="F12" s="115"/>
      <c r="G12" s="115"/>
      <c r="H12" s="115"/>
      <c r="I12" s="115"/>
      <c r="J12" s="115"/>
      <c r="K12" s="115"/>
      <c r="L12" s="115"/>
      <c r="M12" s="1546"/>
      <c r="N12" s="1546"/>
      <c r="O12" s="1546"/>
      <c r="P12" s="1546"/>
      <c r="Q12" s="1546"/>
      <c r="R12" s="1546"/>
      <c r="S12" s="160"/>
      <c r="T12" s="160"/>
      <c r="U12" s="160"/>
      <c r="V12" s="160"/>
      <c r="IW12" s="1531">
        <v>21</v>
      </c>
    </row>
    <row r="13" spans="1:257" s="1711" customFormat="1" ht="14.65" customHeight="1">
      <c r="A13" s="1553"/>
      <c r="B13" s="1288"/>
      <c r="C13" s="1553"/>
      <c r="D13" s="1555"/>
      <c r="E13" s="1553"/>
      <c r="F13" s="1553"/>
      <c r="G13" s="1553"/>
      <c r="H13" s="1553"/>
      <c r="I13" s="1553"/>
      <c r="J13" s="1553"/>
      <c r="K13" s="1553"/>
      <c r="L13" s="1553"/>
      <c r="M13" s="1546"/>
      <c r="N13" s="1546"/>
      <c r="O13" s="1546"/>
      <c r="P13" s="1546"/>
      <c r="Q13" s="1546"/>
      <c r="R13" s="1546"/>
      <c r="S13" s="160"/>
      <c r="T13" s="160"/>
      <c r="U13" s="160"/>
      <c r="V13" s="160"/>
      <c r="IW13" s="1531">
        <v>14</v>
      </c>
    </row>
    <row r="14" spans="1:257" s="1711" customFormat="1" ht="1.1499999999999999" customHeight="1">
      <c r="A14" s="1553"/>
      <c r="B14" s="1288"/>
      <c r="C14" s="1553"/>
      <c r="D14" s="1555"/>
      <c r="E14" s="1553"/>
      <c r="F14" s="1553"/>
      <c r="G14" s="1553"/>
      <c r="H14" s="1553"/>
      <c r="I14" s="1553"/>
      <c r="J14" s="1553"/>
      <c r="K14" s="1553"/>
      <c r="L14" s="1553"/>
      <c r="M14" s="1546"/>
      <c r="N14" s="1546"/>
      <c r="O14" s="1546"/>
      <c r="P14" s="1546"/>
      <c r="Q14" s="1546"/>
      <c r="R14" s="1546"/>
      <c r="S14" s="160"/>
      <c r="T14" s="160"/>
      <c r="U14" s="160"/>
      <c r="V14" s="160"/>
      <c r="IW14" s="1531">
        <v>1</v>
      </c>
    </row>
    <row r="15" spans="1:257" ht="22.5" hidden="1" customHeight="1">
      <c r="A15" s="1553" t="s">
        <v>70</v>
      </c>
      <c r="B15" s="1288">
        <v>0</v>
      </c>
      <c r="C15" s="1553">
        <v>0</v>
      </c>
      <c r="D15" s="1555">
        <v>3</v>
      </c>
      <c r="E15" s="1553">
        <v>6</v>
      </c>
      <c r="F15" s="1553">
        <v>27</v>
      </c>
      <c r="G15" s="1553">
        <v>16</v>
      </c>
      <c r="H15" s="1553">
        <v>12</v>
      </c>
      <c r="I15" s="1553">
        <v>32</v>
      </c>
      <c r="J15" s="1553">
        <v>41</v>
      </c>
      <c r="K15" s="1553">
        <v>41</v>
      </c>
      <c r="L15" s="1553">
        <v>89</v>
      </c>
      <c r="M15" s="1546">
        <v>3</v>
      </c>
      <c r="N15" s="1546">
        <v>8</v>
      </c>
      <c r="O15" s="1546">
        <v>8</v>
      </c>
      <c r="P15" s="1546">
        <v>8</v>
      </c>
      <c r="Q15" s="1546">
        <v>25</v>
      </c>
      <c r="R15" s="1546">
        <v>14</v>
      </c>
      <c r="S15" s="160">
        <v>8</v>
      </c>
      <c r="T15" s="160">
        <v>8</v>
      </c>
      <c r="U15" s="160">
        <v>8</v>
      </c>
      <c r="V15" s="160">
        <v>8</v>
      </c>
      <c r="W15" s="1553">
        <v>8</v>
      </c>
      <c r="X15" s="1553">
        <v>8</v>
      </c>
      <c r="Y15" s="1553">
        <v>8</v>
      </c>
      <c r="Z15" s="1553">
        <v>8</v>
      </c>
      <c r="AA15" s="1553">
        <v>8</v>
      </c>
      <c r="AB15" s="1553">
        <v>8</v>
      </c>
      <c r="AC15" s="1553">
        <v>8</v>
      </c>
      <c r="AD15" s="1553">
        <v>8</v>
      </c>
      <c r="AE15" s="1553">
        <v>8</v>
      </c>
      <c r="AF15" s="1553">
        <v>8</v>
      </c>
      <c r="AG15" s="1553">
        <v>8</v>
      </c>
      <c r="AH15" s="1553">
        <v>8</v>
      </c>
      <c r="AI15" s="1553">
        <v>8</v>
      </c>
      <c r="AJ15" s="1553">
        <v>8</v>
      </c>
      <c r="AK15" s="1553">
        <v>8</v>
      </c>
      <c r="AL15" s="1553">
        <v>8</v>
      </c>
      <c r="AM15" s="1553">
        <v>8</v>
      </c>
      <c r="AN15" s="1553">
        <v>8</v>
      </c>
      <c r="AO15" s="1553">
        <v>8</v>
      </c>
      <c r="AP15" s="1553">
        <v>8</v>
      </c>
      <c r="AQ15" s="1553">
        <v>8</v>
      </c>
      <c r="AR15" s="1553">
        <v>8</v>
      </c>
      <c r="AS15" s="1553">
        <v>8</v>
      </c>
      <c r="AT15" s="1553">
        <v>8</v>
      </c>
      <c r="AU15" s="1553">
        <v>8</v>
      </c>
      <c r="AV15" s="1553">
        <v>8</v>
      </c>
      <c r="AW15" s="1553">
        <v>8</v>
      </c>
      <c r="AX15" s="1553">
        <v>8</v>
      </c>
      <c r="AY15" s="1553">
        <v>8</v>
      </c>
      <c r="AZ15" s="1553">
        <v>8</v>
      </c>
      <c r="BA15" s="1553">
        <v>8</v>
      </c>
      <c r="BB15" s="1553">
        <v>8</v>
      </c>
      <c r="BC15" s="1553">
        <v>8</v>
      </c>
      <c r="BD15" s="1553">
        <v>8</v>
      </c>
      <c r="BE15" s="1553">
        <v>8</v>
      </c>
      <c r="BF15" s="1553">
        <v>8</v>
      </c>
      <c r="BG15" s="1553">
        <v>8</v>
      </c>
      <c r="BH15" s="1553">
        <v>8</v>
      </c>
      <c r="BI15" s="1553">
        <v>8</v>
      </c>
      <c r="BJ15" s="1553">
        <v>8</v>
      </c>
      <c r="BK15" s="1553">
        <v>8</v>
      </c>
      <c r="BL15" s="1553">
        <v>8</v>
      </c>
      <c r="BM15" s="1553">
        <v>8</v>
      </c>
      <c r="BN15" s="1553">
        <v>8</v>
      </c>
      <c r="BO15" s="1553">
        <v>8</v>
      </c>
      <c r="BP15" s="1553">
        <v>8</v>
      </c>
      <c r="BQ15" s="1553">
        <v>8</v>
      </c>
      <c r="BR15" s="1553">
        <v>8</v>
      </c>
      <c r="BS15" s="1553">
        <v>8</v>
      </c>
      <c r="BT15" s="1553">
        <v>8</v>
      </c>
      <c r="BU15" s="1553">
        <v>8</v>
      </c>
      <c r="BV15" s="1553">
        <v>8</v>
      </c>
      <c r="BW15" s="1553">
        <v>8</v>
      </c>
      <c r="BX15" s="1553">
        <v>8</v>
      </c>
      <c r="BY15" s="1553">
        <v>8</v>
      </c>
      <c r="BZ15" s="1553">
        <v>8</v>
      </c>
      <c r="CA15" s="1553">
        <v>8</v>
      </c>
      <c r="CB15" s="1553">
        <v>8</v>
      </c>
      <c r="CC15" s="1553">
        <v>8</v>
      </c>
      <c r="CD15" s="1553">
        <v>8</v>
      </c>
      <c r="CE15" s="1553">
        <v>8</v>
      </c>
      <c r="CF15" s="1553">
        <v>8</v>
      </c>
      <c r="CG15" s="1553">
        <v>8</v>
      </c>
      <c r="CH15" s="1553">
        <v>8</v>
      </c>
      <c r="CI15" s="1553">
        <v>8</v>
      </c>
      <c r="CJ15" s="1553">
        <v>8</v>
      </c>
      <c r="CK15" s="1553">
        <v>8</v>
      </c>
      <c r="CL15" s="1553">
        <v>8</v>
      </c>
      <c r="CM15" s="1553">
        <v>8</v>
      </c>
      <c r="CN15" s="1553">
        <v>8</v>
      </c>
      <c r="CO15" s="1553">
        <v>8</v>
      </c>
      <c r="CP15" s="1553">
        <v>8</v>
      </c>
      <c r="CQ15" s="1553">
        <v>8</v>
      </c>
      <c r="CR15" s="1553">
        <v>8</v>
      </c>
      <c r="CS15" s="1553">
        <v>8</v>
      </c>
      <c r="CT15" s="1553">
        <v>8</v>
      </c>
      <c r="CU15" s="1553">
        <v>8</v>
      </c>
      <c r="CV15" s="1553">
        <v>8</v>
      </c>
      <c r="CW15" s="1553">
        <v>8</v>
      </c>
      <c r="CX15" s="1553">
        <v>8</v>
      </c>
      <c r="CY15" s="1553">
        <v>8</v>
      </c>
      <c r="CZ15" s="1553">
        <v>8</v>
      </c>
      <c r="DA15" s="1553">
        <v>8</v>
      </c>
      <c r="DB15" s="1553">
        <v>8</v>
      </c>
      <c r="DC15" s="1553">
        <v>8</v>
      </c>
      <c r="DD15" s="1553">
        <v>8</v>
      </c>
      <c r="DE15" s="1553">
        <v>8</v>
      </c>
      <c r="DF15" s="1553">
        <v>8</v>
      </c>
      <c r="DG15" s="1553">
        <v>8</v>
      </c>
      <c r="DH15" s="1553">
        <v>8</v>
      </c>
      <c r="DI15" s="1553">
        <v>8</v>
      </c>
      <c r="DJ15" s="1553">
        <v>8</v>
      </c>
      <c r="DK15" s="1553">
        <v>8</v>
      </c>
      <c r="DL15" s="1553">
        <v>8</v>
      </c>
      <c r="DM15" s="1553">
        <v>8</v>
      </c>
      <c r="DN15" s="1553">
        <v>8</v>
      </c>
      <c r="DO15" s="1553">
        <v>8</v>
      </c>
      <c r="DP15" s="1553">
        <v>8</v>
      </c>
      <c r="DQ15" s="1553">
        <v>8</v>
      </c>
      <c r="DR15" s="1553">
        <v>8</v>
      </c>
      <c r="DS15" s="1553">
        <v>8</v>
      </c>
      <c r="DT15" s="1553">
        <v>8</v>
      </c>
      <c r="DU15" s="1553">
        <v>8</v>
      </c>
      <c r="DV15" s="1553">
        <v>8</v>
      </c>
      <c r="DW15" s="1553">
        <v>8</v>
      </c>
      <c r="DX15" s="1553">
        <v>8</v>
      </c>
      <c r="DY15" s="1553">
        <v>8</v>
      </c>
      <c r="DZ15" s="1553">
        <v>8</v>
      </c>
      <c r="EA15" s="1553">
        <v>8</v>
      </c>
      <c r="EB15" s="1553">
        <v>8</v>
      </c>
      <c r="EC15" s="1553">
        <v>8</v>
      </c>
      <c r="ED15" s="1553">
        <v>8</v>
      </c>
      <c r="EE15" s="1553">
        <v>8</v>
      </c>
      <c r="EF15" s="1553">
        <v>8</v>
      </c>
      <c r="EG15" s="1553">
        <v>8</v>
      </c>
      <c r="EH15" s="1553">
        <v>8</v>
      </c>
      <c r="EI15" s="1553">
        <v>8</v>
      </c>
      <c r="EJ15" s="1553">
        <v>8</v>
      </c>
      <c r="EK15" s="1553">
        <v>8</v>
      </c>
      <c r="EL15" s="1553">
        <v>8</v>
      </c>
      <c r="EM15" s="1553">
        <v>8</v>
      </c>
      <c r="EN15" s="1553">
        <v>8</v>
      </c>
      <c r="EO15" s="1553">
        <v>8</v>
      </c>
      <c r="EP15" s="1553">
        <v>8</v>
      </c>
      <c r="EQ15" s="1553">
        <v>8</v>
      </c>
      <c r="ER15" s="1553">
        <v>8</v>
      </c>
      <c r="ES15" s="1553">
        <v>8</v>
      </c>
      <c r="ET15" s="1553">
        <v>8</v>
      </c>
      <c r="EU15" s="1553">
        <v>8</v>
      </c>
      <c r="EV15" s="1553">
        <v>8</v>
      </c>
      <c r="EW15" s="1553">
        <v>8</v>
      </c>
      <c r="EX15" s="1553">
        <v>8</v>
      </c>
      <c r="EY15" s="1553">
        <v>8</v>
      </c>
      <c r="EZ15" s="1553">
        <v>8</v>
      </c>
      <c r="FA15" s="1553">
        <v>8</v>
      </c>
      <c r="FB15" s="1553">
        <v>8</v>
      </c>
      <c r="FC15" s="1553">
        <v>8</v>
      </c>
      <c r="FD15" s="1553">
        <v>8</v>
      </c>
      <c r="FE15" s="1553">
        <v>8</v>
      </c>
      <c r="FF15" s="1553">
        <v>8</v>
      </c>
      <c r="FG15" s="1553">
        <v>8</v>
      </c>
      <c r="FH15" s="1553">
        <v>8</v>
      </c>
      <c r="FI15" s="1553">
        <v>8</v>
      </c>
      <c r="FJ15" s="1553">
        <v>8</v>
      </c>
      <c r="FK15" s="1553">
        <v>8</v>
      </c>
      <c r="FL15" s="1553">
        <v>8</v>
      </c>
      <c r="FM15" s="1553">
        <v>8</v>
      </c>
      <c r="FN15" s="1553">
        <v>8</v>
      </c>
      <c r="FO15" s="1553">
        <v>8</v>
      </c>
      <c r="FP15" s="1553">
        <v>8</v>
      </c>
      <c r="FQ15" s="1553">
        <v>8</v>
      </c>
      <c r="FR15" s="1553">
        <v>8</v>
      </c>
      <c r="FS15" s="1553">
        <v>8</v>
      </c>
      <c r="FT15" s="1553">
        <v>8</v>
      </c>
      <c r="FU15" s="1553">
        <v>8</v>
      </c>
      <c r="FV15" s="1553">
        <v>8</v>
      </c>
      <c r="FW15" s="1553">
        <v>8</v>
      </c>
      <c r="FX15" s="1553">
        <v>8</v>
      </c>
      <c r="FY15" s="1553">
        <v>8</v>
      </c>
      <c r="FZ15" s="1553">
        <v>8</v>
      </c>
      <c r="GA15" s="1553">
        <v>8</v>
      </c>
      <c r="GB15" s="1553">
        <v>8</v>
      </c>
      <c r="GC15" s="1553">
        <v>8</v>
      </c>
      <c r="GD15" s="1553">
        <v>8</v>
      </c>
      <c r="GE15" s="1553">
        <v>8</v>
      </c>
      <c r="GF15" s="1553">
        <v>8</v>
      </c>
      <c r="GG15" s="1553">
        <v>8</v>
      </c>
      <c r="GH15" s="1553">
        <v>8</v>
      </c>
      <c r="GI15" s="1553">
        <v>8</v>
      </c>
      <c r="GJ15" s="1553">
        <v>8</v>
      </c>
      <c r="GK15" s="1553">
        <v>8</v>
      </c>
      <c r="GL15" s="1553">
        <v>8</v>
      </c>
      <c r="GM15" s="1553">
        <v>8</v>
      </c>
      <c r="GN15" s="1553">
        <v>8</v>
      </c>
      <c r="GO15" s="1553">
        <v>8</v>
      </c>
      <c r="GP15" s="1553">
        <v>8</v>
      </c>
      <c r="GQ15" s="1553">
        <v>8</v>
      </c>
      <c r="GR15" s="1553">
        <v>8</v>
      </c>
      <c r="GS15" s="1553">
        <v>8</v>
      </c>
      <c r="GT15" s="1553">
        <v>8</v>
      </c>
      <c r="GU15" s="1553">
        <v>8</v>
      </c>
      <c r="GV15" s="1553">
        <v>8</v>
      </c>
      <c r="GW15" s="1553">
        <v>8</v>
      </c>
      <c r="GX15" s="1553">
        <v>8</v>
      </c>
      <c r="GY15" s="1553">
        <v>8</v>
      </c>
      <c r="GZ15" s="1553">
        <v>8</v>
      </c>
      <c r="HA15" s="1553">
        <v>8</v>
      </c>
      <c r="HB15" s="1553">
        <v>8</v>
      </c>
      <c r="HC15" s="1553">
        <v>8</v>
      </c>
      <c r="HD15" s="1553">
        <v>8</v>
      </c>
      <c r="HE15" s="1553">
        <v>8</v>
      </c>
      <c r="HF15" s="1553">
        <v>8</v>
      </c>
      <c r="HG15" s="1553">
        <v>8</v>
      </c>
      <c r="HH15" s="1553">
        <v>8</v>
      </c>
      <c r="HI15" s="1553">
        <v>8</v>
      </c>
      <c r="HJ15" s="1553">
        <v>8</v>
      </c>
      <c r="HK15" s="1553">
        <v>8</v>
      </c>
      <c r="HL15" s="1553">
        <v>8</v>
      </c>
      <c r="HM15" s="1553">
        <v>8</v>
      </c>
      <c r="HN15" s="1553">
        <v>8</v>
      </c>
      <c r="HO15" s="1553">
        <v>8</v>
      </c>
      <c r="HP15" s="1553">
        <v>8</v>
      </c>
      <c r="HQ15" s="1553">
        <v>8</v>
      </c>
      <c r="HR15" s="1553">
        <v>8</v>
      </c>
      <c r="HS15" s="1553">
        <v>8</v>
      </c>
      <c r="HT15" s="1553">
        <v>8</v>
      </c>
      <c r="HU15" s="1553">
        <v>8</v>
      </c>
      <c r="HV15" s="1553">
        <v>8</v>
      </c>
      <c r="HW15" s="1553">
        <v>8</v>
      </c>
      <c r="HX15" s="1553">
        <v>8</v>
      </c>
      <c r="HY15" s="1553">
        <v>8</v>
      </c>
      <c r="HZ15" s="1553">
        <v>8</v>
      </c>
      <c r="IA15" s="1553">
        <v>8</v>
      </c>
      <c r="IB15" s="1553">
        <v>8</v>
      </c>
      <c r="IC15" s="1553">
        <v>8</v>
      </c>
      <c r="ID15" s="1553">
        <v>8</v>
      </c>
      <c r="IE15" s="1553">
        <v>8</v>
      </c>
      <c r="IF15" s="1553">
        <v>8</v>
      </c>
      <c r="IG15" s="1553">
        <v>8</v>
      </c>
      <c r="IH15" s="1553">
        <v>8</v>
      </c>
      <c r="II15" s="1553">
        <v>8</v>
      </c>
      <c r="IJ15" s="1553">
        <v>8</v>
      </c>
      <c r="IK15" s="1553">
        <v>8</v>
      </c>
      <c r="IL15" s="1553">
        <v>8</v>
      </c>
      <c r="IM15" s="1553">
        <v>8</v>
      </c>
      <c r="IN15" s="1553">
        <v>8</v>
      </c>
      <c r="IO15" s="1553">
        <v>8</v>
      </c>
      <c r="IP15" s="1553">
        <v>8</v>
      </c>
      <c r="IQ15" s="1553">
        <v>8</v>
      </c>
      <c r="IR15" s="1553">
        <v>8</v>
      </c>
      <c r="IS15" s="1553">
        <v>8</v>
      </c>
      <c r="IT15" s="1553">
        <v>8</v>
      </c>
      <c r="IU15" s="1553">
        <v>8</v>
      </c>
      <c r="IV15" s="1553">
        <v>8</v>
      </c>
      <c r="IW15" s="1553">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31" customWidth="1"/>
    <col min="5" max="5" width="6" style="1557" customWidth="1"/>
    <col min="6" max="6" width="27" style="1557" customWidth="1"/>
    <col min="7" max="7" width="29" style="1557" customWidth="1"/>
    <col min="8" max="8" width="25" style="1557" customWidth="1"/>
    <col min="9" max="9" width="5" style="1557" customWidth="1"/>
    <col min="10" max="10" width="6" style="1557" customWidth="1"/>
    <col min="11" max="11" width="41" style="1557" customWidth="1"/>
    <col min="12" max="12" width="42" style="1557" customWidth="1"/>
    <col min="13" max="13" width="41" style="1557" customWidth="1"/>
    <col min="14" max="14" width="89" style="1557" customWidth="1"/>
    <col min="15" max="15" width="3" style="1546" customWidth="1"/>
    <col min="16" max="16" width="8" style="1546" customWidth="1"/>
    <col min="17" max="17" width="9.140625" style="1557" hidden="1"/>
  </cols>
  <sheetData>
    <row r="1" spans="1:17" ht="22.5" hidden="1" customHeight="1">
      <c r="Q1" s="1077" t="s">
        <v>1</v>
      </c>
    </row>
    <row r="2" spans="1:17" s="1739" customFormat="1" ht="22.5" hidden="1" customHeight="1">
      <c r="A2" s="430"/>
      <c r="B2" s="1082">
        <v>1</v>
      </c>
      <c r="C2" s="1082"/>
      <c r="D2" s="1814" t="s">
        <v>90</v>
      </c>
      <c r="E2" s="3618">
        <v>1</v>
      </c>
      <c r="F2" s="3772" t="str">
        <f>IF(region_name="","",region_name)</f>
        <v>Смоленская область</v>
      </c>
      <c r="G2" s="3961"/>
      <c r="H2" s="3962"/>
      <c r="I2" s="408"/>
      <c r="J2" s="1799">
        <v>1</v>
      </c>
      <c r="K2" s="1801"/>
      <c r="L2" s="1801"/>
      <c r="M2" s="1801"/>
      <c r="N2" s="426"/>
      <c r="O2" s="1457"/>
      <c r="P2" s="445"/>
      <c r="Q2" s="357">
        <v>0</v>
      </c>
    </row>
    <row r="3" spans="1:17" s="1739" customFormat="1" ht="22.5" hidden="1" customHeight="1">
      <c r="A3" s="759"/>
      <c r="B3" s="1082"/>
      <c r="C3" s="1082"/>
      <c r="D3" s="729"/>
      <c r="E3" s="3618"/>
      <c r="F3" s="3772"/>
      <c r="G3" s="3961"/>
      <c r="H3" s="3883"/>
      <c r="I3" s="355"/>
      <c r="J3" s="1422"/>
      <c r="K3" s="1422" t="s">
        <v>2379</v>
      </c>
      <c r="L3" s="1465"/>
      <c r="M3" s="1809"/>
      <c r="N3" s="1802"/>
      <c r="O3" s="1457"/>
      <c r="P3" s="445"/>
      <c r="Q3" s="357">
        <v>0</v>
      </c>
    </row>
    <row r="4" spans="1:17" s="1564" customFormat="1" ht="5.25" hidden="1" customHeight="1">
      <c r="A4" s="430"/>
      <c r="D4" s="428"/>
      <c r="F4" s="182" t="s">
        <v>71</v>
      </c>
      <c r="G4" s="428" t="s">
        <v>72</v>
      </c>
      <c r="H4" s="428"/>
      <c r="I4" s="1812"/>
      <c r="J4" s="1466"/>
      <c r="K4" s="1800"/>
      <c r="L4" s="1800"/>
      <c r="M4" s="1800"/>
      <c r="N4" s="1796"/>
      <c r="O4" s="182" t="s">
        <v>71</v>
      </c>
      <c r="P4" s="182"/>
      <c r="Q4" s="445">
        <v>0</v>
      </c>
    </row>
    <row r="5" spans="1:17" s="1739" customFormat="1" ht="22.5" hidden="1" customHeight="1">
      <c r="A5" s="1563"/>
      <c r="B5" s="1288">
        <v>1</v>
      </c>
      <c r="C5" s="1288"/>
      <c r="D5" s="729"/>
      <c r="E5" s="1802"/>
      <c r="F5" s="1802"/>
      <c r="G5" s="1802"/>
      <c r="H5" s="1813"/>
      <c r="I5" s="1815" t="s">
        <v>90</v>
      </c>
      <c r="J5" s="1811">
        <v>1</v>
      </c>
      <c r="K5" s="1801"/>
      <c r="L5" s="1801"/>
      <c r="M5" s="1801"/>
      <c r="N5" s="426"/>
      <c r="O5" s="1457"/>
      <c r="P5" s="1558"/>
      <c r="Q5" s="558">
        <v>0</v>
      </c>
    </row>
    <row r="6" spans="1:17" s="1711" customFormat="1" ht="14.65" customHeight="1">
      <c r="A6" s="1077"/>
      <c r="B6" s="1082"/>
      <c r="C6" s="1077"/>
      <c r="D6" s="1417"/>
      <c r="E6" s="443"/>
      <c r="F6" s="443"/>
      <c r="G6" s="443"/>
      <c r="H6" s="443"/>
      <c r="I6" s="443"/>
      <c r="J6" s="443"/>
      <c r="K6" s="443"/>
      <c r="L6" s="443"/>
      <c r="M6" s="443"/>
      <c r="N6" s="1557"/>
      <c r="O6" s="182"/>
      <c r="P6" s="434"/>
      <c r="Q6" s="441">
        <v>14</v>
      </c>
    </row>
    <row r="7" spans="1:17" s="1711" customFormat="1" ht="27.4" customHeight="1">
      <c r="A7" s="1077"/>
      <c r="B7" s="1082"/>
      <c r="C7" s="1077"/>
      <c r="D7" s="1417"/>
      <c r="E7" s="396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967"/>
      <c r="G7" s="3967"/>
      <c r="H7" s="3967"/>
      <c r="I7" s="3967"/>
      <c r="J7" s="3967"/>
      <c r="K7" s="3967"/>
      <c r="L7" s="3967"/>
      <c r="M7" s="3967"/>
      <c r="N7" s="1174"/>
      <c r="O7" s="182"/>
      <c r="P7" s="434"/>
      <c r="Q7" s="441">
        <v>26</v>
      </c>
    </row>
    <row r="8" spans="1:17" s="1711" customFormat="1" ht="14.65" customHeight="1">
      <c r="A8" s="1077"/>
      <c r="B8" s="1082"/>
      <c r="C8" s="1077"/>
      <c r="D8" s="1417"/>
      <c r="E8" s="443"/>
      <c r="F8" s="102"/>
      <c r="G8" s="102"/>
      <c r="H8" s="102"/>
      <c r="I8" s="102"/>
      <c r="J8" s="102"/>
      <c r="K8" s="102"/>
      <c r="L8" s="102"/>
      <c r="M8" s="102"/>
      <c r="N8" s="550"/>
      <c r="O8" s="434"/>
      <c r="P8" s="434"/>
      <c r="Q8" s="441">
        <v>14</v>
      </c>
    </row>
    <row r="9" spans="1:17" s="1468" customFormat="1" ht="14.25" hidden="1" customHeight="1">
      <c r="A9" s="1390"/>
      <c r="B9" s="1400"/>
      <c r="C9" s="1390"/>
      <c r="D9" s="1417"/>
      <c r="E9" s="1803"/>
      <c r="F9" s="1803"/>
      <c r="G9" s="1803"/>
      <c r="H9" s="1803"/>
      <c r="I9" s="3970"/>
      <c r="J9" s="3970"/>
      <c r="K9" s="3970"/>
      <c r="L9" s="1803"/>
      <c r="M9" s="1804"/>
      <c r="O9" s="1467"/>
      <c r="P9" s="1467"/>
      <c r="Q9" s="1468">
        <v>0</v>
      </c>
    </row>
    <row r="10" spans="1:17" s="1711" customFormat="1" ht="14.65" customHeight="1">
      <c r="A10" s="1077"/>
      <c r="B10" s="1082"/>
      <c r="C10" s="1077"/>
      <c r="D10" s="1417"/>
      <c r="E10" s="3618" t="s">
        <v>345</v>
      </c>
      <c r="F10" s="3618"/>
      <c r="G10" s="3618"/>
      <c r="H10" s="3618"/>
      <c r="I10" s="3618"/>
      <c r="J10" s="3618"/>
      <c r="K10" s="3618"/>
      <c r="L10" s="3618"/>
      <c r="M10" s="3589"/>
      <c r="N10" s="3956" t="s">
        <v>346</v>
      </c>
      <c r="O10" s="434"/>
      <c r="P10" s="434"/>
      <c r="Q10" s="441">
        <v>14</v>
      </c>
    </row>
    <row r="11" spans="1:17" s="1711" customFormat="1" ht="44.25" customHeight="1">
      <c r="A11" s="1553"/>
      <c r="B11" s="1288"/>
      <c r="C11" s="1553"/>
      <c r="D11" s="1437"/>
      <c r="E11" s="3969" t="s">
        <v>76</v>
      </c>
      <c r="F11" s="3969" t="s">
        <v>349</v>
      </c>
      <c r="G11" s="3969" t="s">
        <v>2380</v>
      </c>
      <c r="H11" s="3969"/>
      <c r="I11" s="3969" t="s">
        <v>2381</v>
      </c>
      <c r="J11" s="3969"/>
      <c r="K11" s="3969"/>
      <c r="L11" s="3969" t="s">
        <v>2382</v>
      </c>
      <c r="M11" s="3958" t="s">
        <v>2383</v>
      </c>
      <c r="N11" s="3968"/>
      <c r="O11" s="1546"/>
      <c r="P11" s="1546"/>
      <c r="Q11" s="1531">
        <v>42</v>
      </c>
    </row>
    <row r="12" spans="1:17" s="1711" customFormat="1" ht="29.25" customHeight="1">
      <c r="A12" s="1077"/>
      <c r="B12" s="1082"/>
      <c r="C12" s="1077"/>
      <c r="D12" s="1417"/>
      <c r="E12" s="3956"/>
      <c r="F12" s="3969"/>
      <c r="G12" s="1798" t="s">
        <v>2384</v>
      </c>
      <c r="H12" s="1798" t="s">
        <v>353</v>
      </c>
      <c r="I12" s="3969"/>
      <c r="J12" s="3969"/>
      <c r="K12" s="3969"/>
      <c r="L12" s="3969"/>
      <c r="M12" s="3958"/>
      <c r="N12" s="3957"/>
      <c r="O12" s="434"/>
      <c r="P12" s="434"/>
      <c r="Q12" s="441">
        <v>28</v>
      </c>
    </row>
    <row r="13" spans="1:17" s="1739" customFormat="1" ht="23.25" customHeight="1">
      <c r="A13" s="3592">
        <v>26379339</v>
      </c>
      <c r="B13" s="1082">
        <v>1</v>
      </c>
      <c r="C13" s="1082"/>
      <c r="D13" s="729"/>
      <c r="E13" s="3618">
        <v>1</v>
      </c>
      <c r="F13" s="3963" t="str">
        <f>IF(region_name="","",region_name)</f>
        <v>Смоленская область</v>
      </c>
      <c r="G13" s="3964"/>
      <c r="H13" s="3971"/>
      <c r="I13" s="408"/>
      <c r="J13" s="1794">
        <v>1</v>
      </c>
      <c r="K13" s="1807"/>
      <c r="L13" s="1808"/>
      <c r="M13" s="1808"/>
      <c r="N13" s="3965" t="s">
        <v>2385</v>
      </c>
      <c r="O13" s="1457"/>
      <c r="P13" s="445"/>
      <c r="Q13" s="357">
        <v>22</v>
      </c>
    </row>
    <row r="14" spans="1:17" s="1739" customFormat="1" ht="23.25" customHeight="1">
      <c r="A14" s="3592"/>
      <c r="B14" s="1082"/>
      <c r="C14" s="1082"/>
      <c r="D14" s="729"/>
      <c r="E14" s="3618"/>
      <c r="F14" s="3963"/>
      <c r="G14" s="3964"/>
      <c r="H14" s="3972"/>
      <c r="I14" s="355"/>
      <c r="J14" s="1422"/>
      <c r="K14" s="1422" t="s">
        <v>2379</v>
      </c>
      <c r="L14" s="1465"/>
      <c r="M14" s="1465"/>
      <c r="N14" s="3966"/>
      <c r="O14" s="1457"/>
      <c r="P14" s="445"/>
      <c r="Q14" s="357">
        <v>22</v>
      </c>
    </row>
    <row r="15" spans="1:17" s="1739" customFormat="1" ht="23.25" customHeight="1">
      <c r="A15" s="3592"/>
      <c r="B15" s="1082"/>
      <c r="C15" s="346"/>
      <c r="D15" s="729"/>
      <c r="E15" s="355"/>
      <c r="F15" s="1422" t="s">
        <v>2371</v>
      </c>
      <c r="G15" s="1464"/>
      <c r="H15" s="1464"/>
      <c r="I15" s="122"/>
      <c r="J15" s="122"/>
      <c r="K15" s="122"/>
      <c r="L15" s="122"/>
      <c r="M15" s="122"/>
      <c r="N15" s="3966"/>
      <c r="O15" s="1458"/>
      <c r="P15" s="445"/>
      <c r="Q15" s="357">
        <v>22</v>
      </c>
    </row>
    <row r="16" spans="1:17" s="1711" customFormat="1" ht="21.95" customHeight="1">
      <c r="A16" s="1077"/>
      <c r="B16" s="1082"/>
      <c r="C16" s="1077"/>
      <c r="D16" s="385"/>
      <c r="E16" s="115"/>
      <c r="F16" s="115"/>
      <c r="G16" s="115"/>
      <c r="H16" s="115"/>
      <c r="I16" s="115"/>
      <c r="J16" s="115"/>
      <c r="K16" s="115"/>
      <c r="L16" s="115"/>
      <c r="M16" s="443"/>
      <c r="N16" s="1557"/>
      <c r="O16" s="434"/>
      <c r="P16" s="434"/>
      <c r="Q16" s="441">
        <v>21</v>
      </c>
    </row>
    <row r="17" spans="1:17" s="1711" customFormat="1" ht="14.65" customHeight="1">
      <c r="A17" s="1077"/>
      <c r="B17" s="1082"/>
      <c r="C17" s="1077"/>
      <c r="D17" s="385"/>
      <c r="E17" s="1077"/>
      <c r="F17" s="1077"/>
      <c r="G17" s="1077"/>
      <c r="H17" s="1077"/>
      <c r="I17" s="1077"/>
      <c r="J17" s="1077"/>
      <c r="K17" s="1077"/>
      <c r="L17" s="1077"/>
      <c r="M17" s="1077"/>
      <c r="N17" s="1553"/>
      <c r="O17" s="434"/>
      <c r="P17" s="434"/>
      <c r="Q17" s="441">
        <v>14</v>
      </c>
    </row>
    <row r="18" spans="1:17" s="1711" customFormat="1" ht="1.1499999999999999" customHeight="1">
      <c r="A18" s="1077"/>
      <c r="B18" s="1082"/>
      <c r="C18" s="1077"/>
      <c r="D18" s="385"/>
      <c r="E18" s="1077"/>
      <c r="F18" s="1077"/>
      <c r="G18" s="1077"/>
      <c r="H18" s="1077"/>
      <c r="I18" s="1077"/>
      <c r="J18" s="1077"/>
      <c r="K18" s="1077"/>
      <c r="L18" s="1077"/>
      <c r="M18" s="1077"/>
      <c r="N18" s="1553"/>
      <c r="O18" s="434"/>
      <c r="P18" s="434"/>
      <c r="Q18" s="441">
        <v>1</v>
      </c>
    </row>
    <row r="19" spans="1:17" ht="22.5" hidden="1" customHeight="1">
      <c r="A19" s="1077" t="s">
        <v>70</v>
      </c>
      <c r="B19" s="1082">
        <v>0</v>
      </c>
      <c r="C19" s="1077">
        <v>0</v>
      </c>
      <c r="D19" s="385">
        <v>3</v>
      </c>
      <c r="E19" s="1077">
        <v>6</v>
      </c>
      <c r="F19" s="1077">
        <v>27</v>
      </c>
      <c r="G19" s="1077">
        <v>29</v>
      </c>
      <c r="H19" s="1077">
        <v>25</v>
      </c>
      <c r="I19" s="1077">
        <v>5</v>
      </c>
      <c r="J19" s="1077">
        <v>6</v>
      </c>
      <c r="K19" s="1077">
        <v>41</v>
      </c>
      <c r="L19" s="1077">
        <v>42</v>
      </c>
      <c r="M19" s="1077">
        <v>41</v>
      </c>
      <c r="N19" s="1553">
        <v>89</v>
      </c>
      <c r="O19" s="434">
        <v>3</v>
      </c>
      <c r="P19" s="434">
        <v>8</v>
      </c>
      <c r="Q19" s="1077">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2" hidden="1"/>
    <col min="2" max="2" width="9.140625" style="1714" hidden="1"/>
    <col min="3" max="3" width="3" style="58" customWidth="1"/>
    <col min="4" max="4" width="6" style="1714" customWidth="1"/>
    <col min="5" max="5" width="22" style="1714" customWidth="1"/>
    <col min="6" max="6" width="15" style="1714" customWidth="1"/>
    <col min="7" max="7" width="14" style="1714" customWidth="1"/>
    <col min="8" max="8" width="47" style="1714" customWidth="1"/>
    <col min="9" max="9" width="115" style="1714" customWidth="1"/>
    <col min="10" max="10" width="3" style="1714" customWidth="1"/>
    <col min="11" max="12" width="8" style="1714" customWidth="1"/>
    <col min="13" max="13" width="9.140625" style="1714" hidden="1"/>
  </cols>
  <sheetData>
    <row r="1" spans="1:13" ht="14.25" hidden="1" customHeight="1">
      <c r="M1" s="59" t="s">
        <v>1</v>
      </c>
    </row>
    <row r="2" spans="1:13" ht="14.25" hidden="1" customHeight="1">
      <c r="M2" s="59">
        <v>0</v>
      </c>
    </row>
    <row r="3" spans="1:13" ht="14.25" hidden="1" customHeight="1">
      <c r="M3" s="59">
        <v>0</v>
      </c>
    </row>
    <row r="4" spans="1:13" ht="3" customHeight="1">
      <c r="M4" s="59">
        <v>3</v>
      </c>
    </row>
    <row r="5" spans="1:13" s="1557" customFormat="1" ht="31.5" customHeight="1">
      <c r="A5" s="53"/>
      <c r="C5" s="29"/>
      <c r="D5" s="3594" t="s">
        <v>2386</v>
      </c>
      <c r="E5" s="3594"/>
      <c r="F5" s="3594"/>
      <c r="G5" s="3594"/>
      <c r="H5" s="3594"/>
      <c r="I5" s="200"/>
      <c r="M5" s="22">
        <v>30</v>
      </c>
    </row>
    <row r="6" spans="1:13" ht="3" hidden="1" customHeight="1">
      <c r="D6" s="60"/>
      <c r="E6" s="60"/>
      <c r="F6" s="60"/>
      <c r="G6" s="60"/>
      <c r="H6" s="60"/>
      <c r="I6" s="60"/>
      <c r="M6" s="59">
        <v>0</v>
      </c>
    </row>
    <row r="7" spans="1:13" s="292" customFormat="1" ht="14.65" customHeight="1">
      <c r="B7" s="57"/>
      <c r="C7" s="58"/>
      <c r="D7" s="61"/>
      <c r="E7" s="61"/>
      <c r="F7" s="61"/>
      <c r="G7" s="61"/>
      <c r="H7" s="686"/>
      <c r="I7" s="61"/>
      <c r="J7" s="62"/>
      <c r="M7" s="56">
        <v>14</v>
      </c>
    </row>
    <row r="8" spans="1:13" ht="14.65" customHeight="1">
      <c r="D8" s="3697" t="s">
        <v>345</v>
      </c>
      <c r="E8" s="3697"/>
      <c r="F8" s="3697"/>
      <c r="G8" s="3697"/>
      <c r="H8" s="3697"/>
      <c r="I8" s="3697" t="s">
        <v>346</v>
      </c>
      <c r="M8" s="59">
        <v>14</v>
      </c>
    </row>
    <row r="9" spans="1:13" ht="29.25" customHeight="1">
      <c r="D9" s="3697" t="s">
        <v>76</v>
      </c>
      <c r="E9" s="3697" t="s">
        <v>2387</v>
      </c>
      <c r="F9" s="3697"/>
      <c r="G9" s="3697"/>
      <c r="H9" s="3697"/>
      <c r="I9" s="3697"/>
      <c r="M9" s="59">
        <v>28</v>
      </c>
    </row>
    <row r="10" spans="1:13" ht="24" customHeight="1">
      <c r="D10" s="3697"/>
      <c r="E10" s="65" t="s">
        <v>2388</v>
      </c>
      <c r="F10" s="65" t="s">
        <v>2389</v>
      </c>
      <c r="G10" s="65" t="s">
        <v>2390</v>
      </c>
      <c r="H10" s="65" t="s">
        <v>435</v>
      </c>
      <c r="I10" s="3697"/>
      <c r="M10" s="59">
        <v>23</v>
      </c>
    </row>
    <row r="11" spans="1:13" ht="12" hidden="1" customHeight="1">
      <c r="D11" s="26" t="s">
        <v>164</v>
      </c>
      <c r="E11" s="26" t="s">
        <v>79</v>
      </c>
      <c r="F11" s="26" t="s">
        <v>100</v>
      </c>
      <c r="G11" s="26" t="s">
        <v>80</v>
      </c>
      <c r="H11" s="26" t="s">
        <v>81</v>
      </c>
      <c r="I11" s="26" t="s">
        <v>110</v>
      </c>
      <c r="M11" s="59">
        <v>0</v>
      </c>
    </row>
    <row r="12" spans="1:13" s="1714" customFormat="1" ht="26.25" customHeight="1">
      <c r="A12" s="81" t="s">
        <v>78</v>
      </c>
      <c r="B12" s="63" t="s">
        <v>9</v>
      </c>
      <c r="C12" s="64"/>
      <c r="D12" s="66" t="s">
        <v>164</v>
      </c>
      <c r="E12" s="315"/>
      <c r="F12" s="315"/>
      <c r="G12" s="1627" t="s">
        <v>9</v>
      </c>
      <c r="H12" s="316"/>
      <c r="I12" s="3660" t="s">
        <v>2391</v>
      </c>
      <c r="K12" s="207"/>
      <c r="L12" s="208"/>
      <c r="M12" s="55">
        <v>25</v>
      </c>
    </row>
    <row r="13" spans="1:13" ht="15.75" customHeight="1">
      <c r="A13" s="59"/>
      <c r="B13" s="59"/>
      <c r="C13" s="59"/>
      <c r="D13" s="47"/>
      <c r="E13" s="68" t="s">
        <v>509</v>
      </c>
      <c r="F13" s="67"/>
      <c r="G13" s="67"/>
      <c r="H13" s="149"/>
      <c r="I13" s="3662"/>
      <c r="M13" s="59">
        <v>15</v>
      </c>
    </row>
    <row r="14" spans="1:13" ht="3" customHeight="1">
      <c r="A14" s="59"/>
      <c r="B14" s="59"/>
      <c r="C14" s="59"/>
      <c r="M14" s="59">
        <v>3</v>
      </c>
    </row>
    <row r="15" spans="1:13" ht="29.25" customHeight="1">
      <c r="E15" s="3973" t="s">
        <v>2392</v>
      </c>
      <c r="F15" s="3973"/>
      <c r="G15" s="3973"/>
      <c r="H15" s="3973"/>
      <c r="M15" s="59">
        <v>28</v>
      </c>
    </row>
    <row r="16" spans="1:13" ht="14.25" hidden="1" customHeight="1">
      <c r="A16" s="56" t="s">
        <v>70</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9" hidden="1"/>
    <col min="3" max="3" width="3" style="30" customWidth="1"/>
    <col min="4" max="4" width="6" style="199" customWidth="1"/>
    <col min="5" max="5" width="94" style="199" customWidth="1"/>
    <col min="6" max="9" width="8" style="199" customWidth="1"/>
    <col min="10" max="10" width="9.140625" style="199"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974" t="s">
        <v>2393</v>
      </c>
      <c r="E7" s="3975"/>
      <c r="F7" s="202"/>
      <c r="J7" s="8">
        <v>22</v>
      </c>
    </row>
    <row r="8" spans="1:10" ht="3" customHeight="1">
      <c r="C8" s="31"/>
      <c r="D8" s="9"/>
      <c r="E8" s="9"/>
      <c r="J8" s="8">
        <v>3</v>
      </c>
    </row>
    <row r="9" spans="1:10" ht="16.899999999999999" customHeight="1">
      <c r="C9" s="31"/>
      <c r="D9" s="44" t="s">
        <v>76</v>
      </c>
      <c r="E9" s="195" t="s">
        <v>2394</v>
      </c>
      <c r="J9" s="8">
        <v>16</v>
      </c>
    </row>
    <row r="10" spans="1:10" ht="1.1499999999999999" customHeight="1">
      <c r="C10" s="31"/>
      <c r="D10" s="26"/>
      <c r="E10" s="26"/>
      <c r="J10" s="8">
        <v>1</v>
      </c>
    </row>
    <row r="11" spans="1:10" ht="11.25" hidden="1" customHeight="1">
      <c r="C11" s="31"/>
      <c r="D11" s="85">
        <v>0</v>
      </c>
      <c r="E11" s="196"/>
      <c r="J11" s="8">
        <v>0</v>
      </c>
    </row>
    <row r="12" spans="1:10" ht="15.75" customHeight="1">
      <c r="C12" s="73"/>
      <c r="D12" s="51">
        <v>1</v>
      </c>
      <c r="E12" s="311"/>
      <c r="J12" s="8">
        <v>15</v>
      </c>
    </row>
    <row r="13" spans="1:10" ht="12.75" customHeight="1">
      <c r="C13" s="31"/>
      <c r="D13" s="197"/>
      <c r="E13" s="198" t="s">
        <v>2395</v>
      </c>
      <c r="J13" s="8">
        <v>12</v>
      </c>
    </row>
    <row r="14" spans="1:10" ht="3" customHeight="1">
      <c r="J14" s="8">
        <v>3</v>
      </c>
    </row>
    <row r="15" spans="1:10" ht="23.25" customHeight="1">
      <c r="C15" s="74"/>
      <c r="D15" s="3973" t="s">
        <v>2396</v>
      </c>
      <c r="E15" s="3973"/>
      <c r="F15" s="75"/>
      <c r="G15" s="75"/>
      <c r="H15" s="75"/>
      <c r="I15" s="75"/>
      <c r="J15" s="8">
        <v>22</v>
      </c>
    </row>
    <row r="16" spans="1:10" ht="14.25" hidden="1" customHeight="1">
      <c r="A16" s="8" t="s">
        <v>70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39" customWidth="1"/>
    <col min="2" max="2" width="34.5703125" style="1739" customWidth="1"/>
    <col min="3" max="3" width="85" style="1739" customWidth="1"/>
    <col min="4" max="4" width="17" style="1739" customWidth="1"/>
    <col min="5" max="5" width="8" style="1739" customWidth="1"/>
    <col min="6" max="6" width="9.140625" style="1739" hidden="1"/>
  </cols>
  <sheetData>
    <row r="1" spans="1:6" ht="3" customHeight="1">
      <c r="F1" s="28" t="s">
        <v>1</v>
      </c>
    </row>
    <row r="2" spans="1:6" ht="22.5" customHeight="1">
      <c r="B2" s="3976" t="s">
        <v>2397</v>
      </c>
      <c r="C2" s="3976"/>
      <c r="D2" s="3976"/>
      <c r="E2" s="203"/>
      <c r="F2" s="28">
        <v>22</v>
      </c>
    </row>
    <row r="3" spans="1:6" ht="3" customHeight="1">
      <c r="F3" s="28">
        <v>3</v>
      </c>
    </row>
    <row r="4" spans="1:6" ht="23.25" customHeight="1">
      <c r="B4" s="2002" t="s">
        <v>2398</v>
      </c>
      <c r="C4" s="317" t="s">
        <v>2399</v>
      </c>
      <c r="D4" s="317" t="s">
        <v>2400</v>
      </c>
      <c r="F4" s="28">
        <v>22</v>
      </c>
    </row>
    <row r="5" spans="1:6" ht="11.25" hidden="1" customHeight="1">
      <c r="A5" s="28" t="s">
        <v>70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39" customWidth="1"/>
    <col min="2" max="2" width="10" style="1739" customWidth="1"/>
    <col min="3" max="3" width="9.140625" style="1739"/>
    <col min="4" max="4" width="11.140625" style="1739" customWidth="1"/>
    <col min="5" max="5" width="16.5703125" style="1739" customWidth="1"/>
    <col min="6" max="6" width="16.28515625" style="1739" customWidth="1"/>
    <col min="7" max="7" width="19.140625" style="1739" customWidth="1"/>
    <col min="8" max="11" width="10" style="1739" customWidth="1"/>
    <col min="12" max="12" width="12.7109375" style="1739" customWidth="1"/>
    <col min="13" max="13" width="61.28515625" style="1739" customWidth="1"/>
    <col min="14" max="14" width="10" style="1739" customWidth="1"/>
    <col min="15" max="17" width="23.7109375" style="1739" customWidth="1"/>
    <col min="18" max="18" width="11.7109375" style="1739" customWidth="1"/>
    <col min="19" max="19" width="8.5703125" style="1739" customWidth="1"/>
    <col min="20" max="20" width="11.7109375" style="1739" customWidth="1"/>
    <col min="21" max="21" width="8.5703125" style="1739" customWidth="1"/>
    <col min="22" max="22" width="4.7109375" style="1739" customWidth="1"/>
    <col min="23" max="23" width="115.7109375" style="1739" customWidth="1"/>
    <col min="24" max="24" width="115.28515625" style="1739" customWidth="1"/>
    <col min="25" max="27" width="9.140625" style="1739"/>
    <col min="28" max="28" width="115.7109375" style="1739" customWidth="1"/>
    <col min="29" max="29" width="9.140625" style="1739"/>
    <col min="30" max="90" width="115.7109375" style="1739" customWidth="1"/>
    <col min="91" max="184" width="9.140625" style="1739"/>
  </cols>
  <sheetData>
    <row r="2" spans="1:80" s="1707" customFormat="1" ht="17.25" customHeight="1">
      <c r="A2" s="1707" t="s">
        <v>2401</v>
      </c>
    </row>
    <row r="4" spans="1:80" s="199" customFormat="1" ht="15" customHeight="1">
      <c r="C4" s="1708"/>
      <c r="D4" s="51"/>
      <c r="E4" s="311"/>
    </row>
    <row r="6" spans="1:80" s="1707" customFormat="1" ht="17.25" customHeight="1">
      <c r="A6" s="1707" t="s">
        <v>2402</v>
      </c>
    </row>
    <row r="8" spans="1:80" s="199" customFormat="1" ht="17.25" customHeight="1">
      <c r="C8" s="1709"/>
      <c r="D8" s="51"/>
      <c r="E8" s="52"/>
    </row>
    <row r="11" spans="1:80" s="1707" customFormat="1" ht="17.25" customHeight="1">
      <c r="A11" s="1707" t="s">
        <v>2403</v>
      </c>
    </row>
    <row r="13" spans="1:80" s="1711" customFormat="1" ht="15" customHeight="1">
      <c r="A13" s="3593">
        <v>1</v>
      </c>
      <c r="B13" s="1082"/>
      <c r="C13" s="729" t="s">
        <v>90</v>
      </c>
      <c r="D13" s="1710"/>
      <c r="E13" s="1697">
        <f>A13</f>
        <v>1</v>
      </c>
      <c r="F13" s="732"/>
      <c r="G13" s="474" t="str">
        <f>"Территория "&amp;E13</f>
        <v>Территория 1</v>
      </c>
      <c r="H13" s="720"/>
      <c r="I13" s="720"/>
      <c r="J13" s="717"/>
      <c r="K13" s="1546"/>
      <c r="L13" s="1546"/>
      <c r="M13" s="1546"/>
      <c r="N13" s="161"/>
      <c r="O13" s="1546"/>
      <c r="P13" s="160"/>
      <c r="Q13" s="160"/>
      <c r="R13" s="160"/>
      <c r="S13" s="160"/>
    </row>
    <row r="14" spans="1:80" s="1739" customFormat="1" ht="15" customHeight="1">
      <c r="A14" s="3593"/>
      <c r="B14" s="1082">
        <v>1</v>
      </c>
      <c r="C14" s="1082"/>
      <c r="D14" s="728"/>
      <c r="E14" s="1705" t="str">
        <f>A13&amp;"."&amp;B14</f>
        <v>1.1</v>
      </c>
      <c r="F14" s="731">
        <f>$F$20</f>
        <v>0</v>
      </c>
      <c r="G14" s="721"/>
      <c r="H14" s="721"/>
      <c r="I14" s="719"/>
      <c r="J14" s="1546"/>
      <c r="K14" s="1558"/>
      <c r="L14" s="1558"/>
      <c r="M14" s="1546" t="str">
        <f t="array" ref="M14">IF(ISERROR(MATCH(MID(N14,1,250),MID(note_ter,1,250),0)),"n","y")</f>
        <v>n</v>
      </c>
      <c r="N14" s="1558"/>
      <c r="O14" s="1546" t="str">
        <f>H14&amp;"("&amp;I14&amp;")"</f>
        <v>()</v>
      </c>
      <c r="P14" s="1082"/>
      <c r="Q14" s="1082"/>
      <c r="R14" s="354"/>
      <c r="S14" s="1082"/>
      <c r="T14" s="1082"/>
      <c r="U14" s="1082"/>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739" customFormat="1" ht="15" customHeight="1">
      <c r="A15" s="3593"/>
      <c r="B15" s="1082"/>
      <c r="C15" s="346"/>
      <c r="D15" s="729"/>
      <c r="E15" s="355"/>
      <c r="F15" s="112"/>
      <c r="G15" s="349" t="s">
        <v>157</v>
      </c>
      <c r="H15" s="122"/>
      <c r="I15" s="358"/>
      <c r="J15" s="1558"/>
      <c r="K15" s="1558"/>
      <c r="L15" s="1558"/>
      <c r="M15" s="1558"/>
      <c r="N15" s="1546"/>
      <c r="O15" s="1558"/>
      <c r="P15" s="1082"/>
      <c r="Q15" s="1082"/>
      <c r="R15" s="354"/>
      <c r="S15" s="1082"/>
      <c r="T15" s="1082"/>
      <c r="U15" s="1082"/>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1707" customFormat="1" ht="17.25" customHeight="1">
      <c r="A17" s="1707" t="s">
        <v>2404</v>
      </c>
    </row>
    <row r="19" spans="1:80" s="1739" customFormat="1" ht="15" customHeight="1">
      <c r="A19" s="1771"/>
      <c r="B19" s="1288">
        <v>1</v>
      </c>
      <c r="C19" s="1288"/>
      <c r="D19" s="728" t="s">
        <v>90</v>
      </c>
      <c r="E19" s="1767"/>
      <c r="F19" s="1772">
        <f>$F$20</f>
        <v>0</v>
      </c>
      <c r="G19" s="1776"/>
      <c r="H19" s="1776"/>
      <c r="I19" s="1774"/>
      <c r="J19" s="1546"/>
      <c r="K19" s="1558"/>
      <c r="L19" s="1558"/>
      <c r="M19" s="1546" t="str">
        <f t="array" ref="M19">IF(ISERROR(MATCH(MID(N19,1,250),MID(note_ter,1,250),0)),"n","y")</f>
        <v>n</v>
      </c>
      <c r="N19" s="1558"/>
      <c r="O19" s="1546" t="str">
        <f>H19&amp;"("&amp;I19&amp;")"</f>
        <v>()</v>
      </c>
      <c r="P19" s="1288"/>
      <c r="Q19" s="1288"/>
      <c r="R19" s="354"/>
      <c r="S19" s="1288"/>
      <c r="T19" s="1288"/>
      <c r="U19" s="1288"/>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1739" customFormat="1" ht="15" customHeight="1">
      <c r="A21" s="1707" t="s">
        <v>2405</v>
      </c>
      <c r="B21" s="1707"/>
      <c r="C21" s="1707"/>
      <c r="D21" s="1707"/>
      <c r="E21" s="1707"/>
      <c r="F21" s="1707"/>
      <c r="G21" s="1707"/>
      <c r="H21" s="1707"/>
      <c r="I21" s="1707"/>
      <c r="J21" s="1707"/>
      <c r="K21" s="1707"/>
      <c r="L21" s="1707"/>
      <c r="M21" s="1707"/>
      <c r="N21" s="1707"/>
      <c r="O21" s="1707"/>
      <c r="P21" s="1707"/>
      <c r="Q21" s="1707"/>
      <c r="R21" s="1707"/>
      <c r="S21" s="1707"/>
      <c r="T21" s="1707"/>
      <c r="U21" s="119"/>
      <c r="V21" s="1707"/>
      <c r="W21" s="1707"/>
    </row>
    <row r="22" spans="1:80" s="1739" customFormat="1" ht="15" customHeight="1">
      <c r="U22" s="120"/>
    </row>
    <row r="23" spans="1:80" s="1742" customFormat="1" ht="15" customHeight="1">
      <c r="A23" s="357"/>
      <c r="B23" s="357"/>
      <c r="C23" s="1621" t="s">
        <v>90</v>
      </c>
      <c r="D23" s="3600" t="s">
        <v>164</v>
      </c>
      <c r="E23" s="3601"/>
      <c r="F23" s="3599" t="s">
        <v>6</v>
      </c>
      <c r="G23" s="3996"/>
      <c r="H23" s="3618">
        <v>1</v>
      </c>
      <c r="I23" s="3998" t="str">
        <f>IF(U23="","",INDEX(TERRITORY_MR_LIST,MATCH(U23,TERRITORY_LIST_ID,0)))</f>
        <v/>
      </c>
      <c r="J23" s="3599" t="s">
        <v>6</v>
      </c>
      <c r="K23" s="760"/>
      <c r="L23" s="1674" t="s">
        <v>164</v>
      </c>
      <c r="M23" s="537"/>
      <c r="N23" s="538"/>
      <c r="O23" s="538"/>
      <c r="P23" s="538"/>
      <c r="Q23" s="538"/>
      <c r="R23" s="538"/>
      <c r="S23" s="538"/>
      <c r="T23" s="538"/>
      <c r="U23" s="539"/>
      <c r="V23" s="538"/>
      <c r="W23" s="538"/>
      <c r="X23" s="529"/>
      <c r="Y23" s="529" t="s">
        <v>171</v>
      </c>
      <c r="Z23" s="529">
        <v>1705000</v>
      </c>
      <c r="AA23" s="529"/>
      <c r="AB23" s="529"/>
      <c r="AC23" s="529"/>
      <c r="AD23" s="529"/>
      <c r="AE23" s="529"/>
      <c r="AF23" s="529"/>
      <c r="AG23" s="529"/>
      <c r="AH23" s="529"/>
      <c r="AI23" s="529"/>
      <c r="AJ23" s="529"/>
      <c r="AK23" s="529"/>
      <c r="AL23" s="529"/>
    </row>
    <row r="24" spans="1:80" s="1742" customFormat="1" ht="15" customHeight="1">
      <c r="A24" s="357"/>
      <c r="B24" s="357"/>
      <c r="C24" s="111"/>
      <c r="D24" s="3600"/>
      <c r="E24" s="3602"/>
      <c r="F24" s="3599"/>
      <c r="G24" s="3997"/>
      <c r="H24" s="3618"/>
      <c r="I24" s="3999"/>
      <c r="J24" s="3599"/>
      <c r="K24" s="355"/>
      <c r="L24" s="112"/>
      <c r="M24" s="541" t="s">
        <v>172</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1742" customFormat="1" ht="15" customHeight="1">
      <c r="A25" s="357"/>
      <c r="B25" s="357"/>
      <c r="C25" s="111"/>
      <c r="D25" s="3600"/>
      <c r="E25" s="3603"/>
      <c r="F25" s="3599"/>
      <c r="G25" s="355"/>
      <c r="H25" s="112"/>
      <c r="I25" s="514" t="s">
        <v>173</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1739" customFormat="1" ht="15" customHeight="1">
      <c r="U26" s="120"/>
    </row>
    <row r="27" spans="1:80" s="1739" customFormat="1" ht="15" customHeight="1">
      <c r="A27" s="1707" t="s">
        <v>2406</v>
      </c>
      <c r="B27" s="1707"/>
      <c r="C27" s="1707"/>
      <c r="D27" s="1707"/>
      <c r="E27" s="1707"/>
      <c r="F27" s="1707"/>
      <c r="G27" s="1707"/>
      <c r="H27" s="1707"/>
      <c r="I27" s="1707"/>
      <c r="J27" s="1707"/>
      <c r="K27" s="1707"/>
      <c r="L27" s="1707"/>
      <c r="M27" s="1707"/>
      <c r="N27" s="1707"/>
      <c r="O27" s="1707"/>
      <c r="P27" s="1707"/>
      <c r="Q27" s="1707"/>
      <c r="R27" s="1707"/>
      <c r="S27" s="1707"/>
      <c r="T27" s="1707"/>
      <c r="U27" s="119"/>
      <c r="V27" s="1707"/>
      <c r="W27" s="1707"/>
    </row>
    <row r="28" spans="1:80" s="1739" customFormat="1" ht="15" customHeight="1">
      <c r="U28" s="120"/>
    </row>
    <row r="29" spans="1:80" s="1742" customFormat="1" ht="15" customHeight="1">
      <c r="A29" s="357"/>
      <c r="B29" s="357"/>
      <c r="C29" s="111"/>
      <c r="D29" s="1712"/>
      <c r="E29" s="1712"/>
      <c r="F29" s="1712"/>
      <c r="G29" s="4000" t="s">
        <v>90</v>
      </c>
      <c r="H29" s="3588">
        <v>1</v>
      </c>
      <c r="I29" s="4001" t="str">
        <f>IF(U29="","",INDEX(TERRITORY_MR_LIST,MATCH(U29,TERRITORY_LIST_ID,0)))</f>
        <v/>
      </c>
      <c r="J29" s="3599" t="s">
        <v>6</v>
      </c>
      <c r="K29" s="760"/>
      <c r="L29" s="1674" t="s">
        <v>164</v>
      </c>
      <c r="M29" s="537"/>
      <c r="N29" s="538"/>
      <c r="O29" s="538"/>
      <c r="P29" s="538"/>
      <c r="Q29" s="538"/>
      <c r="R29" s="538"/>
      <c r="S29" s="538"/>
      <c r="T29" s="538"/>
      <c r="U29" s="539"/>
      <c r="V29" s="538"/>
      <c r="W29" s="538"/>
      <c r="X29" s="529"/>
      <c r="Y29" s="529" t="s">
        <v>171</v>
      </c>
      <c r="Z29" s="529">
        <v>1705000</v>
      </c>
      <c r="AA29" s="529"/>
      <c r="AB29" s="529"/>
      <c r="AC29" s="529"/>
      <c r="AD29" s="529"/>
      <c r="AE29" s="529"/>
      <c r="AF29" s="529"/>
      <c r="AG29" s="529"/>
      <c r="AH29" s="529"/>
      <c r="AI29" s="529"/>
      <c r="AJ29" s="529"/>
      <c r="AK29" s="529"/>
      <c r="AL29" s="529"/>
    </row>
    <row r="30" spans="1:80" s="1742" customFormat="1" ht="15" customHeight="1">
      <c r="A30" s="357"/>
      <c r="B30" s="357"/>
      <c r="C30" s="111"/>
      <c r="D30" s="1712"/>
      <c r="E30" s="1712"/>
      <c r="F30" s="1712"/>
      <c r="G30" s="4000"/>
      <c r="H30" s="3588"/>
      <c r="I30" s="4001"/>
      <c r="J30" s="3599"/>
      <c r="K30" s="355"/>
      <c r="L30" s="112"/>
      <c r="M30" s="541" t="s">
        <v>172</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1739" customFormat="1" ht="15" customHeight="1">
      <c r="U31" s="120"/>
    </row>
    <row r="32" spans="1:80" s="1739" customFormat="1" ht="15" customHeight="1">
      <c r="A32" s="1707" t="s">
        <v>2407</v>
      </c>
      <c r="B32" s="1707"/>
      <c r="C32" s="1707"/>
      <c r="D32" s="1707"/>
      <c r="E32" s="1707"/>
      <c r="F32" s="1707"/>
      <c r="G32" s="1707"/>
      <c r="H32" s="1707"/>
      <c r="I32" s="1707"/>
      <c r="J32" s="1707"/>
      <c r="K32" s="1707"/>
      <c r="L32" s="1707"/>
      <c r="M32" s="1707"/>
      <c r="N32" s="1707"/>
      <c r="O32" s="1707"/>
      <c r="P32" s="1707"/>
      <c r="Q32" s="1707"/>
      <c r="R32" s="1707"/>
      <c r="S32" s="1707"/>
      <c r="T32" s="1707"/>
      <c r="U32" s="119"/>
      <c r="V32" s="1707"/>
      <c r="W32" s="1707"/>
    </row>
    <row r="33" spans="1:38" s="1739" customFormat="1" ht="15" customHeight="1">
      <c r="U33" s="120"/>
    </row>
    <row r="34" spans="1:38" s="1742" customFormat="1" ht="15" customHeight="1">
      <c r="A34" s="357"/>
      <c r="B34" s="357"/>
      <c r="C34" s="111"/>
      <c r="D34" s="1712"/>
      <c r="E34" s="1712"/>
      <c r="F34" s="1712"/>
      <c r="G34" s="1712"/>
      <c r="H34" s="1712"/>
      <c r="I34" s="1712"/>
      <c r="J34" s="1712"/>
      <c r="K34" s="1691" t="s">
        <v>90</v>
      </c>
      <c r="L34" s="1622" t="s">
        <v>164</v>
      </c>
      <c r="M34" s="739"/>
      <c r="N34" s="740"/>
      <c r="O34" s="538"/>
      <c r="P34" s="538"/>
      <c r="Q34" s="538"/>
      <c r="R34" s="538"/>
      <c r="S34" s="538"/>
      <c r="T34" s="538"/>
      <c r="U34" s="539"/>
      <c r="V34" s="538"/>
      <c r="W34" s="538"/>
      <c r="X34" s="529"/>
      <c r="Y34" s="529" t="s">
        <v>171</v>
      </c>
      <c r="Z34" s="529">
        <v>1705000</v>
      </c>
      <c r="AA34" s="529"/>
      <c r="AB34" s="529"/>
      <c r="AC34" s="529"/>
      <c r="AD34" s="529"/>
      <c r="AE34" s="529"/>
      <c r="AF34" s="529"/>
      <c r="AG34" s="529"/>
      <c r="AH34" s="529"/>
      <c r="AI34" s="529"/>
      <c r="AJ34" s="529"/>
      <c r="AK34" s="529"/>
      <c r="AL34" s="529"/>
    </row>
    <row r="35" spans="1:38" s="1739" customFormat="1" ht="15" customHeight="1">
      <c r="U35" s="120"/>
    </row>
    <row r="36" spans="1:38" s="1739" customFormat="1" ht="15" customHeight="1">
      <c r="U36" s="120"/>
    </row>
    <row r="37" spans="1:38" s="1707" customFormat="1" ht="11.25" customHeight="1">
      <c r="A37" s="1707" t="s">
        <v>2408</v>
      </c>
    </row>
    <row r="38" spans="1:38" ht="11.25" customHeight="1"/>
    <row r="39" spans="1:38" s="389" customFormat="1" ht="22.5" customHeight="1">
      <c r="A39" s="1683"/>
      <c r="B39" s="391"/>
      <c r="C39" s="787"/>
      <c r="D39" s="374"/>
      <c r="E39" s="788"/>
      <c r="F39" s="1704"/>
      <c r="G39" s="1713"/>
      <c r="H39" s="409"/>
    </row>
    <row r="40" spans="1:38" ht="11.25" customHeight="1"/>
    <row r="41" spans="1:38" s="1707" customFormat="1" ht="11.25" customHeight="1">
      <c r="A41" s="1707" t="s">
        <v>2409</v>
      </c>
    </row>
    <row r="42" spans="1:38" ht="11.25" customHeight="1"/>
    <row r="43" spans="1:38" s="389" customFormat="1" ht="22.5" customHeight="1">
      <c r="A43" s="391"/>
      <c r="B43" s="391"/>
      <c r="C43" s="391"/>
      <c r="D43" s="374"/>
      <c r="E43" s="788"/>
      <c r="F43" s="789"/>
      <c r="G43" s="1713"/>
      <c r="H43" s="409"/>
    </row>
    <row r="44" spans="1:38" ht="11.25" customHeight="1"/>
    <row r="45" spans="1:38" s="1707" customFormat="1" ht="11.25" customHeight="1">
      <c r="A45" s="1707" t="s">
        <v>2410</v>
      </c>
    </row>
    <row r="46" spans="1:38" ht="11.25" customHeight="1"/>
    <row r="47" spans="1:38" s="389" customFormat="1" ht="24" customHeight="1">
      <c r="A47" s="3690" t="s">
        <v>358</v>
      </c>
      <c r="B47" s="436"/>
      <c r="C47" s="3701"/>
      <c r="D47" s="379" t="str">
        <f>A47</f>
        <v>5.1</v>
      </c>
      <c r="E47" s="376" t="s">
        <v>359</v>
      </c>
      <c r="F47" s="1862" t="s">
        <v>351</v>
      </c>
      <c r="G47" s="378" t="s">
        <v>360</v>
      </c>
      <c r="H47" s="409"/>
      <c r="I47" s="780"/>
    </row>
    <row r="48" spans="1:38" s="389" customFormat="1" ht="22.5" customHeight="1">
      <c r="A48" s="3690"/>
      <c r="B48" s="436"/>
      <c r="C48" s="3701"/>
      <c r="D48" s="374" t="str">
        <f>D47&amp;".1"</f>
        <v>5.1.1</v>
      </c>
      <c r="E48" s="373" t="s">
        <v>361</v>
      </c>
      <c r="F48" s="1863" t="s">
        <v>9</v>
      </c>
      <c r="G48" s="408"/>
      <c r="H48" s="409"/>
      <c r="I48" s="780"/>
    </row>
    <row r="49" spans="1:45" s="389" customFormat="1" ht="22.5" customHeight="1">
      <c r="A49" s="3690"/>
      <c r="B49" s="436"/>
      <c r="C49" s="3701"/>
      <c r="D49" s="374" t="str">
        <f>D47&amp;".2"</f>
        <v>5.1.2</v>
      </c>
      <c r="E49" s="373" t="s">
        <v>362</v>
      </c>
      <c r="F49" s="1625" t="s">
        <v>9</v>
      </c>
      <c r="G49" s="378" t="s">
        <v>363</v>
      </c>
      <c r="H49" s="409"/>
      <c r="I49" s="780"/>
    </row>
    <row r="50" spans="1:45" s="389" customFormat="1" ht="22.5" customHeight="1">
      <c r="A50" s="3690"/>
      <c r="B50" s="436"/>
      <c r="C50" s="3701"/>
      <c r="D50" s="374" t="str">
        <f>D47&amp;".3"</f>
        <v>5.1.3</v>
      </c>
      <c r="E50" s="373" t="s">
        <v>364</v>
      </c>
      <c r="F50" s="1863" t="s">
        <v>9</v>
      </c>
      <c r="G50" s="408"/>
      <c r="H50" s="409"/>
      <c r="I50" s="780"/>
    </row>
    <row r="51" spans="1:45" s="389" customFormat="1" ht="22.5" customHeight="1">
      <c r="A51" s="3690"/>
      <c r="B51" s="436"/>
      <c r="C51" s="3701"/>
      <c r="D51" s="374" t="str">
        <f>D47&amp;".4"</f>
        <v>5.1.4</v>
      </c>
      <c r="E51" s="373" t="s">
        <v>365</v>
      </c>
      <c r="F51" s="1863" t="s">
        <v>9</v>
      </c>
      <c r="G51" s="378" t="s">
        <v>366</v>
      </c>
      <c r="H51" s="409"/>
      <c r="I51" s="780"/>
    </row>
    <row r="54" spans="1:45" s="1707" customFormat="1" ht="17.25" customHeight="1">
      <c r="A54" s="1707" t="s">
        <v>2411</v>
      </c>
    </row>
    <row r="56" spans="1:45" s="1534" customFormat="1" ht="18.75" customHeight="1">
      <c r="A56" s="28"/>
      <c r="B56" s="1714"/>
      <c r="C56" s="1714"/>
      <c r="D56" s="1715"/>
      <c r="E56" s="1701"/>
      <c r="F56" s="796">
        <v>13</v>
      </c>
      <c r="G56" s="795"/>
      <c r="H56" s="721"/>
      <c r="I56" s="719"/>
      <c r="J56" s="454" t="s">
        <v>50</v>
      </c>
      <c r="K56" s="1716" t="s">
        <v>9</v>
      </c>
      <c r="L56" s="28"/>
      <c r="M56" s="1558"/>
      <c r="N56" s="1558"/>
      <c r="O56" s="1558"/>
      <c r="P56" s="450" t="s">
        <v>437</v>
      </c>
      <c r="Q56" s="450" t="s">
        <v>438</v>
      </c>
      <c r="R56" s="451" t="s">
        <v>439</v>
      </c>
      <c r="S56" s="1558" t="s">
        <v>440</v>
      </c>
      <c r="T56" s="1558"/>
      <c r="U56" s="1558"/>
      <c r="V56" s="1558"/>
    </row>
    <row r="58" spans="1:45" s="1707" customFormat="1" ht="11.25" customHeight="1">
      <c r="A58" s="1707" t="s">
        <v>2412</v>
      </c>
    </row>
    <row r="60" spans="1:45" s="1557" customFormat="1" ht="14.25" customHeight="1">
      <c r="C60" s="1609"/>
      <c r="D60" s="1758"/>
      <c r="E60" s="1669" t="s">
        <v>9</v>
      </c>
      <c r="F60" s="1757"/>
      <c r="G60" s="784"/>
      <c r="H60" s="1670"/>
      <c r="I60" s="1670"/>
      <c r="J60" s="367"/>
      <c r="K60" s="1752"/>
      <c r="L60" s="366"/>
      <c r="M60" s="1752"/>
      <c r="N60" s="367"/>
      <c r="O60" s="1752"/>
      <c r="P60" s="367"/>
      <c r="Q60" s="1752"/>
      <c r="R60" s="367"/>
      <c r="S60" s="782"/>
      <c r="T60" s="1670"/>
      <c r="U60" s="367"/>
      <c r="V60" s="367"/>
      <c r="W60" s="1756"/>
      <c r="X60" s="1670"/>
      <c r="Y60" s="367"/>
      <c r="Z60" s="367"/>
      <c r="AA60" s="1756"/>
      <c r="AB60" s="1670"/>
      <c r="AC60" s="367"/>
      <c r="AD60" s="1756"/>
      <c r="AE60" s="28"/>
      <c r="AF60" s="28"/>
      <c r="AG60" s="28"/>
      <c r="AH60" s="28"/>
      <c r="AJ60" s="1558"/>
      <c r="AK60" s="1558"/>
      <c r="AL60" s="1558"/>
      <c r="AM60" s="1558"/>
      <c r="AN60" s="1558"/>
      <c r="AO60" s="1558"/>
      <c r="AP60" s="1546" t="s">
        <v>426</v>
      </c>
      <c r="AQ60" s="1546" t="s">
        <v>426</v>
      </c>
      <c r="AR60" s="1558"/>
      <c r="AS60" s="1558"/>
    </row>
    <row r="62" spans="1:45" s="1707" customFormat="1" ht="11.25" customHeight="1">
      <c r="A62" s="1707" t="s">
        <v>2413</v>
      </c>
    </row>
    <row r="64" spans="1:45" s="1714" customFormat="1" ht="15" customHeight="1">
      <c r="A64" s="81" t="s">
        <v>78</v>
      </c>
      <c r="B64" s="63" t="s">
        <v>9</v>
      </c>
      <c r="C64" s="1717"/>
      <c r="D64" s="66"/>
      <c r="E64" s="315"/>
      <c r="F64" s="315"/>
      <c r="G64" s="1695"/>
      <c r="H64" s="1716"/>
      <c r="I64" s="1696"/>
      <c r="K64" s="207"/>
      <c r="L64" s="208"/>
    </row>
    <row r="66" spans="1:30" s="1707" customFormat="1" ht="11.25" customHeight="1">
      <c r="A66" s="1707" t="s">
        <v>2414</v>
      </c>
    </row>
    <row r="68" spans="1:30" s="1557" customFormat="1" ht="14.25" customHeight="1">
      <c r="A68" s="278"/>
      <c r="B68" s="1082"/>
      <c r="C68" s="310"/>
      <c r="D68" s="1702"/>
      <c r="E68" s="813"/>
      <c r="F68" s="1716"/>
      <c r="G68" s="28"/>
      <c r="I68" s="1546"/>
      <c r="J68" s="1546"/>
    </row>
    <row r="70" spans="1:30" s="1707" customFormat="1" ht="11.25" customHeight="1">
      <c r="A70" s="1707" t="s">
        <v>2415</v>
      </c>
    </row>
    <row r="72" spans="1:30" s="1557" customFormat="1" ht="27" customHeight="1">
      <c r="A72" s="1088"/>
      <c r="B72" s="1088"/>
      <c r="C72" s="1088"/>
      <c r="D72" s="1082"/>
      <c r="E72" s="1718"/>
      <c r="F72" s="3863"/>
      <c r="G72" s="3864"/>
      <c r="H72" s="3865" t="s">
        <v>50</v>
      </c>
      <c r="I72" s="3867"/>
      <c r="J72" s="3858"/>
      <c r="K72" s="3869"/>
      <c r="L72" s="3860"/>
      <c r="M72" s="3860"/>
      <c r="N72" s="3861"/>
      <c r="O72" s="3861"/>
      <c r="P72" s="3862" t="e">
        <f>DATEDIF(DATEVALUE(N72),DATEVALUE(O72),"y")&amp;"г. "&amp;DATEDIF(DATEVALUE(N72),DATEVALUE(O72),"ym")&amp;"мес. "&amp;DATEVALUE(O72)-DATE(YEAR(DATEVALUE(O72)),MONTH(DATEVALUE(O72)),1)&amp;"дн. "</f>
        <v>#VALUE!</v>
      </c>
      <c r="Q72" s="3857"/>
      <c r="R72" s="3857"/>
      <c r="S72" s="3857"/>
      <c r="T72" s="3858"/>
      <c r="U72" s="3857"/>
      <c r="V72" s="3857"/>
      <c r="W72" s="3857"/>
      <c r="X72" s="3858"/>
      <c r="Y72" s="3855" t="s">
        <v>50</v>
      </c>
      <c r="Z72" s="1700"/>
      <c r="AA72" s="1684">
        <v>1</v>
      </c>
      <c r="AB72" s="1164"/>
      <c r="AD72" s="1558" t="s">
        <v>2416</v>
      </c>
    </row>
    <row r="73" spans="1:30" s="1557" customFormat="1" ht="10.5" customHeight="1">
      <c r="A73" s="1088"/>
      <c r="B73" s="1088"/>
      <c r="C73" s="1088"/>
      <c r="D73" s="1082"/>
      <c r="E73" s="874"/>
      <c r="F73" s="3863"/>
      <c r="G73" s="3864"/>
      <c r="H73" s="3866"/>
      <c r="I73" s="3868"/>
      <c r="J73" s="3859"/>
      <c r="K73" s="3869"/>
      <c r="L73" s="3860"/>
      <c r="M73" s="3860"/>
      <c r="N73" s="3861"/>
      <c r="O73" s="3861"/>
      <c r="P73" s="3862"/>
      <c r="Q73" s="3857"/>
      <c r="R73" s="3857"/>
      <c r="S73" s="3857"/>
      <c r="T73" s="3859"/>
      <c r="U73" s="3857"/>
      <c r="V73" s="3857"/>
      <c r="W73" s="3857"/>
      <c r="X73" s="3859"/>
      <c r="Y73" s="3856"/>
      <c r="Z73" s="282"/>
      <c r="AA73" s="506"/>
      <c r="AB73" s="586" t="s">
        <v>1335</v>
      </c>
    </row>
    <row r="75" spans="1:30" s="1707" customFormat="1" ht="11.25" customHeight="1">
      <c r="A75" s="1707" t="s">
        <v>2417</v>
      </c>
    </row>
    <row r="77" spans="1:30" s="1557" customFormat="1" ht="27" customHeight="1">
      <c r="A77" s="1088"/>
      <c r="B77" s="1088"/>
      <c r="C77" s="1088"/>
      <c r="D77" s="1082"/>
      <c r="E77" s="1718"/>
      <c r="F77" s="1689"/>
      <c r="G77" s="1640"/>
      <c r="H77" s="1641"/>
      <c r="I77" s="1642"/>
      <c r="J77" s="1643"/>
      <c r="K77" s="1644"/>
      <c r="L77" s="1645"/>
      <c r="M77" s="1645"/>
      <c r="N77" s="1646"/>
      <c r="O77" s="1646"/>
      <c r="P77" s="1647"/>
      <c r="Q77" s="1648"/>
      <c r="R77" s="1648"/>
      <c r="S77" s="1648"/>
      <c r="T77" s="1643"/>
      <c r="U77" s="1648"/>
      <c r="V77" s="1648"/>
      <c r="W77" s="1648"/>
      <c r="X77" s="1643"/>
      <c r="Y77" s="1641"/>
      <c r="Z77" s="1700"/>
      <c r="AA77" s="1684">
        <v>1</v>
      </c>
      <c r="AB77" s="1164"/>
      <c r="AD77" s="1558" t="s">
        <v>2416</v>
      </c>
    </row>
    <row r="79" spans="1:30" s="1707" customFormat="1" ht="11.25" customHeight="1">
      <c r="A79" s="1707" t="s">
        <v>2418</v>
      </c>
    </row>
    <row r="80" spans="1:30" ht="17.25" customHeight="1"/>
    <row r="81" spans="1:58" s="1557" customFormat="1" ht="21" customHeight="1">
      <c r="A81" s="1089"/>
      <c r="B81" s="1088"/>
      <c r="C81" s="1088"/>
      <c r="D81" s="1082"/>
      <c r="E81" s="1092"/>
      <c r="F81" s="1045" t="e">
        <f>INDEX(IP_MAIN_LIST_NAME_IP,MATCH(A81,IP_MAIN_LIST_IP_ID,0))&amp;" ("&amp;INDEX(IP_MAIN_START_DATE,MATCH(A81,IP_MAIN_LIST_IP_ID,0))&amp;"-"&amp;INDEX(IP_MAIN_END_DATE,MATCH(A81,IP_MAIN_LIST_IP_ID,0))&amp;")"</f>
        <v>#N/A</v>
      </c>
      <c r="G81" s="1046"/>
      <c r="H81" s="1046"/>
      <c r="I81" s="1107"/>
      <c r="J81" s="1107"/>
      <c r="K81" s="1108"/>
      <c r="L81" s="1108"/>
      <c r="M81" s="1108"/>
      <c r="N81" s="1109"/>
      <c r="O81" s="1109"/>
      <c r="P81" s="1109"/>
      <c r="Q81" s="1109"/>
      <c r="R81" s="1109"/>
      <c r="S81" s="1109"/>
      <c r="T81" s="1109"/>
      <c r="U81" s="1109"/>
      <c r="V81" s="1109"/>
      <c r="W81" s="1109"/>
      <c r="X81" s="1109"/>
      <c r="Y81" s="1109"/>
      <c r="Z81" s="1109"/>
      <c r="AA81" s="1109"/>
      <c r="AB81" s="1109"/>
      <c r="AC81" s="1109"/>
      <c r="AD81" s="1109"/>
      <c r="AE81" s="1110"/>
      <c r="AF81" s="1108"/>
      <c r="AG81" s="1108"/>
      <c r="AH81" s="1108"/>
      <c r="AI81" s="1108"/>
      <c r="AJ81" s="1108"/>
      <c r="AK81" s="1108"/>
      <c r="AL81" s="1874"/>
      <c r="AM81" s="1714"/>
      <c r="AN81" s="1714"/>
      <c r="AO81" s="1714"/>
      <c r="AP81" s="1714"/>
      <c r="AQ81" s="1714"/>
      <c r="AR81" s="1714"/>
      <c r="AS81" s="1714"/>
      <c r="AT81" s="1714"/>
      <c r="AU81" s="1714"/>
      <c r="AV81" s="1714"/>
      <c r="AW81" s="1714"/>
      <c r="AX81" s="1714"/>
      <c r="AY81" s="1714"/>
      <c r="AZ81" s="1714"/>
      <c r="BA81" s="1714"/>
      <c r="BB81" s="1714"/>
      <c r="BC81" s="1714"/>
      <c r="BD81" s="1714"/>
      <c r="BE81" s="1714"/>
      <c r="BF81" s="1714"/>
    </row>
    <row r="82" spans="1:58" s="1557" customFormat="1" ht="0.75" customHeight="1">
      <c r="A82" s="1088"/>
      <c r="B82" s="1088"/>
      <c r="C82" s="1088"/>
      <c r="D82" s="1082"/>
      <c r="E82" s="1092"/>
      <c r="F82" s="3894"/>
      <c r="G82" s="3885"/>
      <c r="H82" s="3898" t="s">
        <v>421</v>
      </c>
      <c r="I82" s="3899"/>
      <c r="J82" s="3891"/>
      <c r="K82" s="3891"/>
      <c r="L82" s="3892"/>
      <c r="M82" s="3743"/>
      <c r="N82" s="1922"/>
      <c r="O82" s="1921"/>
      <c r="P82" s="1922"/>
      <c r="Q82" s="1922"/>
      <c r="R82" s="1922"/>
      <c r="S82" s="1922"/>
      <c r="T82" s="1922"/>
      <c r="U82" s="1922"/>
      <c r="V82" s="1922"/>
      <c r="W82" s="1922"/>
      <c r="X82" s="1922"/>
      <c r="Y82" s="1922"/>
      <c r="Z82" s="1922"/>
      <c r="AA82" s="1922"/>
      <c r="AB82" s="1922"/>
      <c r="AC82" s="1922"/>
      <c r="AD82" s="1922"/>
      <c r="AE82" s="1922"/>
      <c r="AF82" s="3897"/>
      <c r="AG82" s="3892"/>
      <c r="AH82" s="3892"/>
      <c r="AI82" s="3897"/>
      <c r="AJ82" s="3892"/>
      <c r="AK82" s="3892"/>
      <c r="AL82" s="1874"/>
      <c r="AM82" s="1714"/>
      <c r="AN82" s="1714"/>
      <c r="AO82" s="1714"/>
      <c r="AP82" s="1714"/>
      <c r="AQ82" s="1714"/>
      <c r="AR82" s="1714"/>
      <c r="AS82" s="1714"/>
      <c r="AT82" s="1714"/>
      <c r="AU82" s="1714"/>
      <c r="AV82" s="1714"/>
      <c r="AW82" s="1714"/>
      <c r="AX82" s="1714"/>
      <c r="AY82" s="1714"/>
      <c r="AZ82" s="1714"/>
      <c r="BA82" s="1714"/>
      <c r="BB82" s="1714"/>
      <c r="BC82" s="1714"/>
      <c r="BD82" s="1714"/>
      <c r="BE82" s="1714"/>
      <c r="BF82" s="1714"/>
    </row>
    <row r="83" spans="1:58" s="1557" customFormat="1" ht="0.75" customHeight="1">
      <c r="A83" s="1088"/>
      <c r="B83" s="1088"/>
      <c r="C83" s="1088"/>
      <c r="D83" s="1082"/>
      <c r="E83" s="1092"/>
      <c r="F83" s="3894"/>
      <c r="G83" s="3885"/>
      <c r="H83" s="3898"/>
      <c r="I83" s="3899"/>
      <c r="J83" s="3891"/>
      <c r="K83" s="3891"/>
      <c r="L83" s="3892"/>
      <c r="M83" s="3743"/>
      <c r="N83" s="3900"/>
      <c r="O83" s="3901"/>
      <c r="P83" s="3888"/>
      <c r="Q83" s="3891"/>
      <c r="R83" s="3891"/>
      <c r="S83" s="3891"/>
      <c r="T83" s="3891"/>
      <c r="U83" s="3891"/>
      <c r="V83" s="3891"/>
      <c r="W83" s="3891"/>
      <c r="X83" s="3891"/>
      <c r="Y83" s="3891"/>
      <c r="Z83" s="1923"/>
      <c r="AA83" s="1924"/>
      <c r="AB83" s="1924"/>
      <c r="AC83" s="1925"/>
      <c r="AD83" s="1925"/>
      <c r="AE83" s="1926"/>
      <c r="AF83" s="3897"/>
      <c r="AG83" s="3892"/>
      <c r="AH83" s="3892"/>
      <c r="AI83" s="3897"/>
      <c r="AJ83" s="3892"/>
      <c r="AK83" s="3892"/>
      <c r="AL83" s="1874"/>
      <c r="AM83" s="1714"/>
      <c r="AN83" s="1714"/>
      <c r="AO83" s="1714"/>
      <c r="AP83" s="1714"/>
      <c r="AQ83" s="1714"/>
      <c r="AR83" s="1714"/>
      <c r="AS83" s="1714"/>
      <c r="AT83" s="1714"/>
      <c r="AU83" s="1714"/>
      <c r="AV83" s="1714"/>
      <c r="AW83" s="1714"/>
      <c r="AX83" s="1714"/>
      <c r="AY83" s="1714"/>
      <c r="AZ83" s="1714"/>
      <c r="BA83" s="1714"/>
      <c r="BB83" s="1714"/>
      <c r="BC83" s="1714"/>
      <c r="BD83" s="1714"/>
      <c r="BE83" s="1714"/>
      <c r="BF83" s="1714"/>
    </row>
    <row r="84" spans="1:58" s="1557" customFormat="1" ht="0.75" customHeight="1">
      <c r="A84" s="1088"/>
      <c r="B84" s="1088"/>
      <c r="C84" s="1088"/>
      <c r="D84" s="1082"/>
      <c r="E84" s="1092"/>
      <c r="F84" s="3894"/>
      <c r="G84" s="3885"/>
      <c r="H84" s="3898"/>
      <c r="I84" s="3899"/>
      <c r="J84" s="3891"/>
      <c r="K84" s="3891"/>
      <c r="L84" s="3892"/>
      <c r="M84" s="3743"/>
      <c r="N84" s="3900"/>
      <c r="O84" s="3901"/>
      <c r="P84" s="3889"/>
      <c r="Q84" s="3891"/>
      <c r="R84" s="3891"/>
      <c r="S84" s="3891"/>
      <c r="T84" s="3891"/>
      <c r="U84" s="3891"/>
      <c r="V84" s="3891"/>
      <c r="W84" s="3891"/>
      <c r="X84" s="3891"/>
      <c r="Y84" s="3891"/>
      <c r="Z84" s="1927"/>
      <c r="AA84" s="1928"/>
      <c r="AB84" s="1929"/>
      <c r="AC84" s="1930"/>
      <c r="AD84" s="1929"/>
      <c r="AE84" s="1930"/>
      <c r="AF84" s="3897"/>
      <c r="AG84" s="3892"/>
      <c r="AH84" s="3892"/>
      <c r="AI84" s="3897"/>
      <c r="AJ84" s="3892"/>
      <c r="AK84" s="3892"/>
      <c r="AL84" s="1874"/>
      <c r="AM84" s="1714"/>
      <c r="AN84" s="1714"/>
      <c r="AO84" s="1714"/>
      <c r="AP84" s="1714"/>
      <c r="AQ84" s="1714"/>
      <c r="AR84" s="1714"/>
      <c r="AS84" s="1714"/>
      <c r="AT84" s="1714"/>
      <c r="AU84" s="1714"/>
      <c r="AV84" s="1714"/>
      <c r="AW84" s="1714"/>
      <c r="AX84" s="1714"/>
      <c r="AY84" s="1714"/>
      <c r="AZ84" s="1714"/>
      <c r="BA84" s="1714"/>
      <c r="BB84" s="1714"/>
      <c r="BC84" s="1714"/>
      <c r="BD84" s="1714"/>
      <c r="BE84" s="1714"/>
      <c r="BF84" s="1714"/>
    </row>
    <row r="85" spans="1:58" s="1557" customFormat="1" ht="0.75" customHeight="1">
      <c r="A85" s="1088"/>
      <c r="B85" s="1088"/>
      <c r="C85" s="1088"/>
      <c r="D85" s="1082"/>
      <c r="E85" s="1092"/>
      <c r="F85" s="3894"/>
      <c r="G85" s="3885"/>
      <c r="H85" s="3898"/>
      <c r="I85" s="3899"/>
      <c r="J85" s="3891"/>
      <c r="K85" s="3891"/>
      <c r="L85" s="3892"/>
      <c r="M85" s="3743"/>
      <c r="N85" s="3900"/>
      <c r="O85" s="3901"/>
      <c r="P85" s="3890"/>
      <c r="Q85" s="3891"/>
      <c r="R85" s="3891"/>
      <c r="S85" s="3891"/>
      <c r="T85" s="3891"/>
      <c r="U85" s="3891"/>
      <c r="V85" s="3891"/>
      <c r="W85" s="3891"/>
      <c r="X85" s="3891"/>
      <c r="Y85" s="3891"/>
      <c r="Z85" s="1923"/>
      <c r="AA85" s="1924"/>
      <c r="AB85" s="1931"/>
      <c r="AC85" s="1925"/>
      <c r="AD85" s="1925"/>
      <c r="AE85" s="1932"/>
      <c r="AF85" s="3897"/>
      <c r="AG85" s="3892"/>
      <c r="AH85" s="3892"/>
      <c r="AI85" s="3897"/>
      <c r="AJ85" s="3892"/>
      <c r="AK85" s="3892"/>
      <c r="AL85" s="1874"/>
      <c r="AM85" s="1714"/>
      <c r="AN85" s="1714"/>
      <c r="AO85" s="1714"/>
      <c r="AP85" s="1714"/>
      <c r="AQ85" s="1714"/>
      <c r="AR85" s="1714"/>
      <c r="AS85" s="1714"/>
      <c r="AT85" s="1714"/>
      <c r="AU85" s="1714"/>
      <c r="AV85" s="1714"/>
      <c r="AW85" s="1714"/>
      <c r="AX85" s="1714"/>
      <c r="AY85" s="1714"/>
      <c r="AZ85" s="1714"/>
      <c r="BA85" s="1714"/>
      <c r="BB85" s="1714"/>
      <c r="BC85" s="1714"/>
      <c r="BD85" s="1714"/>
      <c r="BE85" s="1714"/>
      <c r="BF85" s="1714"/>
    </row>
    <row r="86" spans="1:58" s="1557" customFormat="1" ht="0.75" customHeight="1">
      <c r="A86" s="1088"/>
      <c r="B86" s="1088"/>
      <c r="C86" s="1088"/>
      <c r="D86" s="1082"/>
      <c r="E86" s="1092"/>
      <c r="F86" s="3894"/>
      <c r="G86" s="3885"/>
      <c r="H86" s="3898"/>
      <c r="I86" s="3899"/>
      <c r="J86" s="3891"/>
      <c r="K86" s="3891"/>
      <c r="L86" s="3892"/>
      <c r="M86" s="3743"/>
      <c r="N86" s="1924"/>
      <c r="O86" s="1924"/>
      <c r="P86" s="1931"/>
      <c r="Q86" s="1924"/>
      <c r="R86" s="1924"/>
      <c r="S86" s="1924"/>
      <c r="T86" s="1924"/>
      <c r="U86" s="1924"/>
      <c r="V86" s="1924"/>
      <c r="W86" s="1924"/>
      <c r="X86" s="1924"/>
      <c r="Y86" s="1924"/>
      <c r="Z86" s="1924"/>
      <c r="AA86" s="1924"/>
      <c r="AB86" s="1924"/>
      <c r="AC86" s="1924"/>
      <c r="AD86" s="1924"/>
      <c r="AE86" s="1933"/>
      <c r="AF86" s="3897"/>
      <c r="AG86" s="3892"/>
      <c r="AH86" s="3892"/>
      <c r="AI86" s="3897"/>
      <c r="AJ86" s="3892"/>
      <c r="AK86" s="3892"/>
      <c r="AL86" s="1874"/>
      <c r="AM86" s="1714"/>
      <c r="AN86" s="1714"/>
      <c r="AO86" s="1714"/>
      <c r="AP86" s="1714"/>
      <c r="AQ86" s="1714"/>
      <c r="AR86" s="1714"/>
      <c r="AS86" s="1714"/>
      <c r="AT86" s="1714"/>
      <c r="AU86" s="1714"/>
      <c r="AV86" s="1714"/>
      <c r="AW86" s="1714"/>
      <c r="AX86" s="1714"/>
      <c r="AY86" s="1714"/>
      <c r="AZ86" s="1714"/>
      <c r="BA86" s="1714"/>
      <c r="BB86" s="1714"/>
      <c r="BC86" s="1714"/>
      <c r="BD86" s="1714"/>
      <c r="BE86" s="1714"/>
      <c r="BF86" s="1714"/>
    </row>
    <row r="87" spans="1:58" s="1557" customFormat="1" ht="12" customHeight="1">
      <c r="A87" s="1088"/>
      <c r="B87" s="1088"/>
      <c r="C87" s="1088"/>
      <c r="D87" s="1082"/>
      <c r="E87" s="1092"/>
      <c r="F87" s="3896"/>
      <c r="G87" s="1112"/>
      <c r="H87" s="1112"/>
      <c r="I87" s="3893" t="s">
        <v>1451</v>
      </c>
      <c r="J87" s="3893"/>
      <c r="K87" s="3893"/>
      <c r="L87" s="1095"/>
      <c r="M87" s="1095"/>
      <c r="N87" s="1096"/>
      <c r="O87" s="1096"/>
      <c r="P87" s="1096"/>
      <c r="Q87" s="1096"/>
      <c r="R87" s="1096"/>
      <c r="S87" s="1096"/>
      <c r="T87" s="1096"/>
      <c r="U87" s="1096"/>
      <c r="V87" s="1096"/>
      <c r="W87" s="1096"/>
      <c r="X87" s="1096"/>
      <c r="Y87" s="1096"/>
      <c r="Z87" s="1096"/>
      <c r="AA87" s="1096"/>
      <c r="AB87" s="1096"/>
      <c r="AC87" s="1096"/>
      <c r="AD87" s="1096"/>
      <c r="AE87" s="1096"/>
      <c r="AF87" s="1096"/>
      <c r="AG87" s="1095"/>
      <c r="AH87" s="1095"/>
      <c r="AI87" s="1096"/>
      <c r="AJ87" s="1095"/>
      <c r="AK87" s="1096"/>
      <c r="AL87" s="1874"/>
      <c r="AM87" s="1714"/>
      <c r="AN87" s="1714"/>
      <c r="AO87" s="1714"/>
      <c r="AP87" s="1714"/>
      <c r="AQ87" s="1714"/>
      <c r="AR87" s="1714"/>
      <c r="AS87" s="1714"/>
      <c r="AT87" s="1714"/>
      <c r="AU87" s="1714"/>
      <c r="AV87" s="1714"/>
      <c r="AW87" s="1714"/>
      <c r="AX87" s="1714"/>
      <c r="AY87" s="1714"/>
      <c r="AZ87" s="1714"/>
      <c r="BA87" s="1714"/>
      <c r="BB87" s="1714"/>
      <c r="BC87" s="1714"/>
      <c r="BD87" s="1714"/>
      <c r="BE87" s="1714"/>
      <c r="BF87" s="1714"/>
    </row>
    <row r="89" spans="1:58" s="1707" customFormat="1" ht="11.25" customHeight="1">
      <c r="A89" s="1707" t="s">
        <v>2419</v>
      </c>
    </row>
    <row r="91" spans="1:58" s="1557" customFormat="1" ht="11.25" customHeight="1">
      <c r="A91" s="1088"/>
      <c r="B91" s="1088"/>
      <c r="C91" s="1088"/>
      <c r="D91" s="1082"/>
      <c r="E91" s="1092"/>
      <c r="F91" s="1720"/>
      <c r="G91" s="1721"/>
      <c r="H91" s="1721"/>
      <c r="I91" s="1657"/>
      <c r="J91" s="1657"/>
      <c r="K91" s="1722"/>
      <c r="L91" s="1657"/>
      <c r="M91" s="1721"/>
      <c r="N91" s="3878"/>
      <c r="O91" s="4012">
        <v>1</v>
      </c>
      <c r="P91" s="3880" t="s">
        <v>6</v>
      </c>
      <c r="Q91" s="3874" t="s">
        <v>9</v>
      </c>
      <c r="R91" s="3874" t="s">
        <v>9</v>
      </c>
      <c r="S91" s="3874" t="s">
        <v>9</v>
      </c>
      <c r="T91" s="3874" t="s">
        <v>9</v>
      </c>
      <c r="U91" s="3874" t="s">
        <v>9</v>
      </c>
      <c r="V91" s="3874" t="s">
        <v>9</v>
      </c>
      <c r="W91" s="3874" t="s">
        <v>9</v>
      </c>
      <c r="X91" s="3874" t="s">
        <v>9</v>
      </c>
      <c r="Y91" s="3874"/>
      <c r="Z91" s="1097"/>
      <c r="AA91" s="1098"/>
      <c r="AB91" s="1098"/>
      <c r="AC91" s="1102"/>
      <c r="AD91" s="1102"/>
      <c r="AE91" s="1102"/>
      <c r="AF91" s="1976"/>
      <c r="AG91" s="1652"/>
      <c r="AH91" s="1652"/>
      <c r="AI91" s="1976"/>
      <c r="AJ91" s="1652"/>
      <c r="AK91" s="1873"/>
      <c r="AL91" s="1874"/>
      <c r="AM91" s="1714"/>
      <c r="AN91" s="1714"/>
      <c r="AO91" s="1714"/>
      <c r="AP91" s="1714"/>
      <c r="AQ91" s="1714"/>
      <c r="AR91" s="1714"/>
      <c r="AS91" s="1714"/>
      <c r="AT91" s="1714"/>
      <c r="AU91" s="1714"/>
      <c r="AV91" s="1714"/>
      <c r="AW91" s="1714"/>
      <c r="AX91" s="1714"/>
      <c r="AY91" s="1714"/>
      <c r="AZ91" s="1714"/>
      <c r="BA91" s="1714"/>
      <c r="BB91" s="1714"/>
      <c r="BC91" s="1714"/>
      <c r="BD91" s="1714"/>
      <c r="BE91" s="1714"/>
      <c r="BF91" s="1714"/>
    </row>
    <row r="92" spans="1:58" s="1557" customFormat="1" ht="11.25" customHeight="1">
      <c r="A92" s="1088"/>
      <c r="B92" s="1088"/>
      <c r="C92" s="1088"/>
      <c r="D92" s="1082"/>
      <c r="E92" s="1092"/>
      <c r="F92" s="1720"/>
      <c r="G92" s="1721"/>
      <c r="H92" s="1721"/>
      <c r="I92" s="1658"/>
      <c r="J92" s="1658"/>
      <c r="K92" s="1722"/>
      <c r="L92" s="1658"/>
      <c r="M92" s="1721"/>
      <c r="N92" s="3878"/>
      <c r="O92" s="4012"/>
      <c r="P92" s="3881"/>
      <c r="Q92" s="3874"/>
      <c r="R92" s="3874"/>
      <c r="S92" s="3884"/>
      <c r="T92" s="3874"/>
      <c r="U92" s="3874"/>
      <c r="V92" s="3874"/>
      <c r="W92" s="3874"/>
      <c r="X92" s="3874"/>
      <c r="Y92" s="3874"/>
      <c r="Z92" s="1719"/>
      <c r="AA92" s="1686">
        <v>1</v>
      </c>
      <c r="AB92" s="1101"/>
      <c r="AC92" s="1091"/>
      <c r="AD92" s="1101">
        <f>AB92</f>
        <v>0</v>
      </c>
      <c r="AE92" s="658"/>
      <c r="AF92" s="1977"/>
      <c r="AG92" s="1652"/>
      <c r="AH92" s="1652"/>
      <c r="AI92" s="1977"/>
      <c r="AJ92" s="1652"/>
      <c r="AK92" s="1873"/>
      <c r="AL92" s="1874"/>
      <c r="AM92" s="1714"/>
      <c r="AN92" s="1714"/>
      <c r="AO92" s="1714"/>
      <c r="AP92" s="1714"/>
      <c r="AQ92" s="1714"/>
      <c r="AR92" s="1714"/>
      <c r="AS92" s="1714"/>
      <c r="AT92" s="1714"/>
      <c r="AU92" s="1714"/>
      <c r="AV92" s="1714"/>
      <c r="AW92" s="1714"/>
      <c r="AX92" s="1714"/>
      <c r="AY92" s="1714"/>
      <c r="AZ92" s="1714"/>
      <c r="BA92" s="1714"/>
      <c r="BB92" s="1714"/>
      <c r="BC92" s="1714"/>
      <c r="BD92" s="1714"/>
      <c r="BE92" s="1714"/>
      <c r="BF92" s="1714"/>
    </row>
    <row r="93" spans="1:58" s="1557" customFormat="1" ht="11.25" customHeight="1">
      <c r="A93" s="1088"/>
      <c r="B93" s="1088"/>
      <c r="C93" s="1088"/>
      <c r="D93" s="1082"/>
      <c r="E93" s="1092"/>
      <c r="F93" s="1720"/>
      <c r="G93" s="1721"/>
      <c r="H93" s="1721"/>
      <c r="I93" s="1659"/>
      <c r="J93" s="1659"/>
      <c r="K93" s="1722"/>
      <c r="L93" s="1659"/>
      <c r="M93" s="1721"/>
      <c r="N93" s="3878"/>
      <c r="O93" s="4012"/>
      <c r="P93" s="3882"/>
      <c r="Q93" s="3874"/>
      <c r="R93" s="3874"/>
      <c r="S93" s="3884"/>
      <c r="T93" s="3874"/>
      <c r="U93" s="3874"/>
      <c r="V93" s="3874"/>
      <c r="W93" s="3874"/>
      <c r="X93" s="3874"/>
      <c r="Y93" s="3874"/>
      <c r="Z93" s="1097"/>
      <c r="AA93" s="1098"/>
      <c r="AB93" s="1163" t="s">
        <v>1444</v>
      </c>
      <c r="AC93" s="1102"/>
      <c r="AD93" s="1102"/>
      <c r="AE93" s="1102"/>
      <c r="AF93" s="1978"/>
      <c r="AG93" s="1652"/>
      <c r="AH93" s="1652"/>
      <c r="AI93" s="1978"/>
      <c r="AJ93" s="1652"/>
      <c r="AK93" s="1873"/>
      <c r="AL93" s="1874"/>
      <c r="AM93" s="1714"/>
      <c r="AN93" s="1714"/>
      <c r="AO93" s="1714"/>
      <c r="AP93" s="1714"/>
      <c r="AQ93" s="1714"/>
      <c r="AR93" s="1714"/>
      <c r="AS93" s="1714"/>
      <c r="AT93" s="1714"/>
      <c r="AU93" s="1714"/>
      <c r="AV93" s="1714"/>
      <c r="AW93" s="1714"/>
      <c r="AX93" s="1714"/>
      <c r="AY93" s="1714"/>
      <c r="AZ93" s="1714"/>
      <c r="BA93" s="1714"/>
      <c r="BB93" s="1714"/>
      <c r="BC93" s="1714"/>
      <c r="BD93" s="1714"/>
      <c r="BE93" s="1714"/>
      <c r="BF93" s="1714"/>
    </row>
    <row r="95" spans="1:58" s="1707" customFormat="1" ht="11.25" customHeight="1">
      <c r="A95" s="1707" t="s">
        <v>2420</v>
      </c>
    </row>
    <row r="97" spans="1:184" s="1557" customFormat="1" ht="11.25" customHeight="1">
      <c r="A97" s="1088"/>
      <c r="B97" s="1088"/>
      <c r="C97" s="1088"/>
      <c r="D97" s="1082"/>
      <c r="E97" s="1092"/>
      <c r="F97" s="1721"/>
      <c r="G97" s="1721"/>
      <c r="H97" s="1721"/>
      <c r="I97" s="1721"/>
      <c r="J97" s="1721"/>
      <c r="K97" s="1721"/>
      <c r="L97" s="1721"/>
      <c r="M97" s="1721"/>
      <c r="N97" s="1721"/>
      <c r="O97" s="1721"/>
      <c r="P97" s="1721"/>
      <c r="Q97" s="1721"/>
      <c r="R97" s="1721"/>
      <c r="S97" s="1721"/>
      <c r="T97" s="1721"/>
      <c r="U97" s="1721"/>
      <c r="V97" s="1721"/>
      <c r="W97" s="1721"/>
      <c r="X97" s="1721"/>
      <c r="Y97" s="1721"/>
      <c r="Z97" s="1723"/>
      <c r="AA97" s="1706">
        <v>1</v>
      </c>
      <c r="AB97" s="1101"/>
      <c r="AC97" s="1091"/>
      <c r="AD97" s="1101">
        <f>AB97</f>
        <v>0</v>
      </c>
      <c r="AE97" s="1091"/>
      <c r="AF97" s="1975"/>
      <c r="AG97" s="1652"/>
      <c r="AH97" s="1652"/>
      <c r="AI97" s="1975"/>
      <c r="AJ97" s="1652"/>
      <c r="AK97" s="1873"/>
      <c r="AL97" s="1874"/>
      <c r="AM97" s="1714"/>
      <c r="AN97" s="1714"/>
      <c r="AO97" s="1714"/>
      <c r="AP97" s="1714"/>
      <c r="AQ97" s="1714"/>
      <c r="AR97" s="1714"/>
      <c r="AS97" s="1714"/>
      <c r="AT97" s="1714"/>
      <c r="AU97" s="1714"/>
      <c r="AV97" s="1714"/>
      <c r="AW97" s="1714"/>
      <c r="AX97" s="1714"/>
      <c r="AY97" s="1714"/>
      <c r="AZ97" s="1714"/>
      <c r="BA97" s="1714"/>
      <c r="BB97" s="1714"/>
      <c r="BC97" s="1714"/>
      <c r="BD97" s="1714"/>
      <c r="BE97" s="1714"/>
      <c r="BF97" s="1714"/>
    </row>
    <row r="99" spans="1:184" s="1707" customFormat="1" ht="11.25" customHeight="1">
      <c r="A99" s="1707" t="s">
        <v>2421</v>
      </c>
    </row>
    <row r="101" spans="1:184" s="1557" customFormat="1" ht="11.25" customHeight="1">
      <c r="A101" s="1088"/>
      <c r="B101" s="1088"/>
      <c r="C101" s="1088"/>
      <c r="D101" s="1082"/>
      <c r="E101" s="1092"/>
      <c r="F101" s="1720"/>
      <c r="G101" s="1721"/>
      <c r="H101" s="3885" t="s">
        <v>164</v>
      </c>
      <c r="I101" s="3886"/>
      <c r="J101" s="3883"/>
      <c r="K101" s="3887"/>
      <c r="L101" s="3599" t="s">
        <v>6</v>
      </c>
      <c r="M101" s="3600"/>
      <c r="N101" s="1872"/>
      <c r="O101" s="1099" t="s">
        <v>421</v>
      </c>
      <c r="P101" s="1100"/>
      <c r="Q101" s="1100"/>
      <c r="R101" s="1100"/>
      <c r="S101" s="1100"/>
      <c r="T101" s="1100"/>
      <c r="U101" s="1100"/>
      <c r="V101" s="1100"/>
      <c r="W101" s="1100"/>
      <c r="X101" s="1100"/>
      <c r="Y101" s="1100"/>
      <c r="Z101" s="1100"/>
      <c r="AA101" s="1100"/>
      <c r="AB101" s="1100"/>
      <c r="AC101" s="1100"/>
      <c r="AD101" s="1100"/>
      <c r="AE101" s="1100"/>
      <c r="AF101" s="3876"/>
      <c r="AG101" s="3877"/>
      <c r="AH101" s="3877"/>
      <c r="AI101" s="3876"/>
      <c r="AJ101" s="3877"/>
      <c r="AK101" s="3877"/>
      <c r="AL101" s="1874"/>
      <c r="AM101" s="1714"/>
      <c r="AN101" s="1714"/>
      <c r="AO101" s="1714"/>
      <c r="AP101" s="1714"/>
      <c r="AQ101" s="1714"/>
      <c r="AR101" s="1714"/>
      <c r="AS101" s="1714"/>
      <c r="AT101" s="1714"/>
      <c r="AU101" s="1714"/>
      <c r="AV101" s="1714"/>
      <c r="AW101" s="1714"/>
      <c r="AX101" s="1714"/>
      <c r="AY101" s="1714"/>
      <c r="AZ101" s="1714"/>
      <c r="BA101" s="1714"/>
      <c r="BB101" s="1714"/>
      <c r="BC101" s="1714"/>
      <c r="BD101" s="1714"/>
      <c r="BE101" s="1714"/>
      <c r="BF101" s="1714"/>
    </row>
    <row r="102" spans="1:184" s="1557" customFormat="1" ht="11.25" customHeight="1">
      <c r="A102" s="1088"/>
      <c r="B102" s="1088"/>
      <c r="C102" s="1088"/>
      <c r="D102" s="1082"/>
      <c r="E102" s="1092"/>
      <c r="F102" s="1720"/>
      <c r="G102" s="1721"/>
      <c r="H102" s="3885"/>
      <c r="I102" s="3886"/>
      <c r="J102" s="3883"/>
      <c r="K102" s="3887"/>
      <c r="L102" s="3599"/>
      <c r="M102" s="3600"/>
      <c r="N102" s="3878"/>
      <c r="O102" s="3879">
        <v>1</v>
      </c>
      <c r="P102" s="3880" t="s">
        <v>6</v>
      </c>
      <c r="Q102" s="3874" t="s">
        <v>9</v>
      </c>
      <c r="R102" s="3874" t="s">
        <v>9</v>
      </c>
      <c r="S102" s="3874" t="s">
        <v>9</v>
      </c>
      <c r="T102" s="3874" t="s">
        <v>9</v>
      </c>
      <c r="U102" s="3874" t="s">
        <v>9</v>
      </c>
      <c r="V102" s="3874" t="s">
        <v>9</v>
      </c>
      <c r="W102" s="3874" t="s">
        <v>9</v>
      </c>
      <c r="X102" s="3874" t="s">
        <v>9</v>
      </c>
      <c r="Y102" s="3874"/>
      <c r="Z102" s="1097"/>
      <c r="AA102" s="1098"/>
      <c r="AB102" s="1098"/>
      <c r="AC102" s="1102"/>
      <c r="AD102" s="1102"/>
      <c r="AE102" s="1103"/>
      <c r="AF102" s="3876"/>
      <c r="AG102" s="3877"/>
      <c r="AH102" s="3877"/>
      <c r="AI102" s="3876"/>
      <c r="AJ102" s="3877"/>
      <c r="AK102" s="3877"/>
      <c r="AL102" s="1874"/>
      <c r="AM102" s="1714"/>
      <c r="AN102" s="1714"/>
      <c r="AO102" s="1714"/>
      <c r="AP102" s="1714"/>
      <c r="AQ102" s="1714"/>
      <c r="AR102" s="1714"/>
      <c r="AS102" s="1714"/>
      <c r="AT102" s="1714"/>
      <c r="AU102" s="1714"/>
      <c r="AV102" s="1714"/>
      <c r="AW102" s="1714"/>
      <c r="AX102" s="1714"/>
      <c r="AY102" s="1714"/>
      <c r="AZ102" s="1714"/>
      <c r="BA102" s="1714"/>
      <c r="BB102" s="1714"/>
      <c r="BC102" s="1714"/>
      <c r="BD102" s="1714"/>
      <c r="BE102" s="1714"/>
      <c r="BF102" s="1714"/>
    </row>
    <row r="103" spans="1:184" s="1557" customFormat="1" ht="11.25" customHeight="1">
      <c r="A103" s="1088"/>
      <c r="B103" s="1088"/>
      <c r="C103" s="1088"/>
      <c r="D103" s="1082"/>
      <c r="E103" s="1092"/>
      <c r="F103" s="1720"/>
      <c r="G103" s="1721"/>
      <c r="H103" s="3885"/>
      <c r="I103" s="3886"/>
      <c r="J103" s="3883"/>
      <c r="K103" s="3887"/>
      <c r="L103" s="3599"/>
      <c r="M103" s="3600"/>
      <c r="N103" s="3878"/>
      <c r="O103" s="3879"/>
      <c r="P103" s="3881"/>
      <c r="Q103" s="3874"/>
      <c r="R103" s="3874"/>
      <c r="S103" s="3884"/>
      <c r="T103" s="3874"/>
      <c r="U103" s="3874"/>
      <c r="V103" s="3874"/>
      <c r="W103" s="3874"/>
      <c r="X103" s="3874"/>
      <c r="Y103" s="3874"/>
      <c r="Z103" s="1719"/>
      <c r="AA103" s="1686">
        <v>1</v>
      </c>
      <c r="AB103" s="1101"/>
      <c r="AC103" s="1091"/>
      <c r="AD103" s="1101">
        <f>AB103</f>
        <v>0</v>
      </c>
      <c r="AE103" s="1091"/>
      <c r="AF103" s="3876"/>
      <c r="AG103" s="3877"/>
      <c r="AH103" s="3877"/>
      <c r="AI103" s="3876"/>
      <c r="AJ103" s="3877"/>
      <c r="AK103" s="3877"/>
      <c r="AL103" s="1874"/>
      <c r="AM103" s="1714"/>
      <c r="AN103" s="1714"/>
      <c r="AO103" s="1714"/>
      <c r="AP103" s="1714"/>
      <c r="AQ103" s="1714"/>
      <c r="AR103" s="1714"/>
      <c r="AS103" s="1714"/>
      <c r="AT103" s="1714"/>
      <c r="AU103" s="1714"/>
      <c r="AV103" s="1714"/>
      <c r="AW103" s="1714"/>
      <c r="AX103" s="1714"/>
      <c r="AY103" s="1714"/>
      <c r="AZ103" s="1714"/>
      <c r="BA103" s="1714"/>
      <c r="BB103" s="1714"/>
      <c r="BC103" s="1714"/>
      <c r="BD103" s="1714"/>
      <c r="BE103" s="1714"/>
      <c r="BF103" s="1714"/>
    </row>
    <row r="104" spans="1:184" s="1557" customFormat="1" ht="11.25" customHeight="1">
      <c r="A104" s="1088"/>
      <c r="B104" s="1088"/>
      <c r="C104" s="1088"/>
      <c r="D104" s="1082"/>
      <c r="E104" s="1092"/>
      <c r="F104" s="1720"/>
      <c r="G104" s="1721"/>
      <c r="H104" s="3885"/>
      <c r="I104" s="3886"/>
      <c r="J104" s="3883"/>
      <c r="K104" s="3887"/>
      <c r="L104" s="3599"/>
      <c r="M104" s="3600"/>
      <c r="N104" s="3878"/>
      <c r="O104" s="3879"/>
      <c r="P104" s="3882"/>
      <c r="Q104" s="3874"/>
      <c r="R104" s="3874"/>
      <c r="S104" s="3884"/>
      <c r="T104" s="3874"/>
      <c r="U104" s="3874"/>
      <c r="V104" s="3874"/>
      <c r="W104" s="3874"/>
      <c r="X104" s="3874"/>
      <c r="Y104" s="3874"/>
      <c r="Z104" s="1097"/>
      <c r="AA104" s="1098"/>
      <c r="AB104" s="1163" t="s">
        <v>1444</v>
      </c>
      <c r="AC104" s="1102"/>
      <c r="AD104" s="1102"/>
      <c r="AE104" s="1104"/>
      <c r="AF104" s="3876"/>
      <c r="AG104" s="3877"/>
      <c r="AH104" s="3877"/>
      <c r="AI104" s="3876"/>
      <c r="AJ104" s="3877"/>
      <c r="AK104" s="3877"/>
      <c r="AL104" s="1874"/>
      <c r="AM104" s="1714"/>
      <c r="AN104" s="1714"/>
      <c r="AO104" s="1714"/>
      <c r="AP104" s="1714"/>
      <c r="AQ104" s="1714"/>
      <c r="AR104" s="1714"/>
      <c r="AS104" s="1714"/>
      <c r="AT104" s="1714"/>
      <c r="AU104" s="1714"/>
      <c r="AV104" s="1714"/>
      <c r="AW104" s="1714"/>
      <c r="AX104" s="1714"/>
      <c r="AY104" s="1714"/>
      <c r="AZ104" s="1714"/>
      <c r="BA104" s="1714"/>
      <c r="BB104" s="1714"/>
      <c r="BC104" s="1714"/>
      <c r="BD104" s="1714"/>
      <c r="BE104" s="1714"/>
      <c r="BF104" s="1714"/>
    </row>
    <row r="105" spans="1:184" s="1557" customFormat="1" ht="11.25" customHeight="1">
      <c r="A105" s="1088"/>
      <c r="B105" s="1088"/>
      <c r="C105" s="1088"/>
      <c r="D105" s="1082"/>
      <c r="E105" s="1092"/>
      <c r="F105" s="1720"/>
      <c r="G105" s="1721"/>
      <c r="H105" s="3885"/>
      <c r="I105" s="3886"/>
      <c r="J105" s="3883"/>
      <c r="K105" s="3887"/>
      <c r="L105" s="3599"/>
      <c r="M105" s="3600"/>
      <c r="N105" s="1097"/>
      <c r="O105" s="1098"/>
      <c r="P105" s="1090" t="s">
        <v>1445</v>
      </c>
      <c r="Q105" s="1098"/>
      <c r="R105" s="1098"/>
      <c r="S105" s="1098"/>
      <c r="T105" s="1098"/>
      <c r="U105" s="1098"/>
      <c r="V105" s="1098"/>
      <c r="W105" s="1098"/>
      <c r="X105" s="1098"/>
      <c r="Y105" s="1098"/>
      <c r="Z105" s="1098"/>
      <c r="AA105" s="1098"/>
      <c r="AB105" s="1098"/>
      <c r="AC105" s="1098"/>
      <c r="AD105" s="1098"/>
      <c r="AE105" s="1105"/>
      <c r="AF105" s="3876"/>
      <c r="AG105" s="3877"/>
      <c r="AH105" s="3877"/>
      <c r="AI105" s="3876"/>
      <c r="AJ105" s="3877"/>
      <c r="AK105" s="3877"/>
      <c r="AL105" s="1874"/>
      <c r="AM105" s="1714"/>
      <c r="AN105" s="1714"/>
      <c r="AO105" s="1714"/>
      <c r="AP105" s="1714"/>
      <c r="AQ105" s="1714"/>
      <c r="AR105" s="1714"/>
      <c r="AS105" s="1714"/>
      <c r="AT105" s="1714"/>
      <c r="AU105" s="1714"/>
      <c r="AV105" s="1714"/>
      <c r="AW105" s="1714"/>
      <c r="AX105" s="1714"/>
      <c r="AY105" s="1714"/>
      <c r="AZ105" s="1714"/>
      <c r="BA105" s="1714"/>
      <c r="BB105" s="1714"/>
      <c r="BC105" s="1714"/>
      <c r="BD105" s="1714"/>
      <c r="BE105" s="1714"/>
      <c r="BF105" s="1714"/>
    </row>
    <row r="107" spans="1:184" s="1707" customFormat="1" ht="11.25" customHeight="1">
      <c r="A107" s="1707" t="s">
        <v>2422</v>
      </c>
    </row>
    <row r="108" spans="1:184" ht="17.25" customHeight="1"/>
    <row r="109" spans="1:184" s="852" customFormat="1" ht="21" customHeight="1">
      <c r="A109" s="1089"/>
      <c r="B109" s="867"/>
      <c r="D109" s="851"/>
      <c r="E109" s="866" t="s">
        <v>9</v>
      </c>
      <c r="F109" s="1044" t="e">
        <f>INDEX(IP_MAIN_LIST_NAME_IP,MATCH(A109,IP_MAIN_LIST_IP_ID,0))&amp;" ("&amp;INDEX(IP_MAIN_START_DATE,MATCH(A109,IP_MAIN_LIST_IP_ID,0))&amp;"-"&amp;INDEX(IP_MAIN_END_DATE,MATCH(A109,IP_MAIN_LIST_IP_ID,0))&amp;")"</f>
        <v>#N/A</v>
      </c>
      <c r="G109" s="1125"/>
      <c r="H109" s="1126"/>
      <c r="I109" s="1126"/>
      <c r="J109" s="1126"/>
      <c r="K109" s="1126"/>
      <c r="L109" s="1126"/>
      <c r="M109" s="1126"/>
      <c r="N109" s="1126"/>
      <c r="O109" s="1125"/>
      <c r="P109" s="1125"/>
      <c r="Q109" s="1125"/>
      <c r="R109" s="1125"/>
      <c r="S109" s="1125"/>
      <c r="T109" s="1125"/>
      <c r="U109" s="1127"/>
      <c r="V109" s="1127"/>
      <c r="W109" s="1127"/>
      <c r="X109" s="1127"/>
      <c r="Y109" s="1127"/>
      <c r="Z109" s="1127"/>
      <c r="AA109" s="1127"/>
      <c r="AB109" s="1125"/>
      <c r="AC109" s="1126"/>
      <c r="AD109" s="1126"/>
      <c r="AE109" s="1126"/>
      <c r="AF109" s="1126"/>
      <c r="AG109" s="1126"/>
      <c r="AH109" s="1126"/>
      <c r="AI109" s="1126"/>
      <c r="AJ109" s="1126"/>
      <c r="AK109" s="1126"/>
      <c r="AL109" s="1126"/>
      <c r="AM109" s="1126"/>
      <c r="AN109" s="1126"/>
      <c r="AO109" s="1126"/>
      <c r="AP109" s="1126"/>
      <c r="AQ109" s="1126"/>
      <c r="AR109" s="1126"/>
      <c r="AS109" s="1126"/>
      <c r="AT109" s="1126"/>
      <c r="AU109" s="1126"/>
      <c r="AV109" s="1126"/>
      <c r="AW109" s="1126"/>
      <c r="AX109" s="1126"/>
      <c r="AY109" s="1126"/>
      <c r="AZ109" s="1126"/>
      <c r="BA109" s="1126"/>
      <c r="BB109" s="1126"/>
      <c r="BC109" s="1126"/>
      <c r="BD109" s="1126"/>
      <c r="BE109" s="1126"/>
      <c r="BF109" s="1126"/>
      <c r="BG109" s="1126"/>
      <c r="BH109" s="1126"/>
      <c r="BI109" s="1126"/>
      <c r="BJ109" s="1126"/>
      <c r="BK109" s="1126"/>
      <c r="BL109" s="1126"/>
      <c r="BM109" s="1126"/>
      <c r="BN109" s="1126"/>
      <c r="BO109" s="1126"/>
      <c r="BP109" s="1126"/>
      <c r="BQ109" s="1126"/>
      <c r="BR109" s="1126"/>
      <c r="BS109" s="1126"/>
      <c r="BT109" s="1126"/>
      <c r="BU109" s="1126"/>
      <c r="BV109" s="1126"/>
      <c r="BW109" s="1126"/>
      <c r="BX109" s="1126"/>
      <c r="BY109" s="1126"/>
      <c r="BZ109" s="1126"/>
      <c r="CA109" s="1126"/>
      <c r="CB109" s="1126"/>
      <c r="CC109" s="1126"/>
      <c r="CD109" s="1126"/>
      <c r="CE109" s="1126"/>
      <c r="CF109" s="1126"/>
      <c r="CG109" s="1126"/>
      <c r="CH109" s="1126"/>
      <c r="CI109" s="1126"/>
      <c r="CJ109" s="1126"/>
      <c r="CK109" s="1126"/>
      <c r="CL109" s="1128"/>
      <c r="CM109" s="1128"/>
      <c r="CN109" s="1128"/>
      <c r="CO109" s="1128"/>
      <c r="CP109" s="1128"/>
      <c r="CQ109" s="1128"/>
      <c r="CR109" s="1128"/>
      <c r="CS109" s="1128"/>
      <c r="CT109" s="1128"/>
      <c r="CU109" s="1128"/>
      <c r="CV109" s="1128"/>
      <c r="CW109" s="1128"/>
      <c r="CX109" s="1128"/>
      <c r="CY109" s="1128"/>
      <c r="CZ109" s="1128"/>
      <c r="DA109" s="1128"/>
      <c r="DB109" s="1128"/>
      <c r="DC109" s="1128"/>
      <c r="DD109" s="1128"/>
      <c r="DE109" s="1128"/>
      <c r="DF109" s="1128"/>
      <c r="DG109" s="1128"/>
      <c r="DH109" s="1128"/>
      <c r="DI109" s="1128"/>
      <c r="DJ109" s="1128"/>
      <c r="DK109" s="1128"/>
      <c r="DL109" s="1128"/>
      <c r="DM109" s="1128"/>
      <c r="DN109" s="1128"/>
      <c r="DO109" s="1128"/>
      <c r="DP109" s="1128"/>
      <c r="DQ109" s="1128"/>
      <c r="DR109" s="1128"/>
      <c r="DS109" s="1128"/>
      <c r="DT109" s="1128"/>
      <c r="DU109" s="1128"/>
      <c r="DV109" s="1128"/>
      <c r="DW109" s="1128"/>
      <c r="DX109" s="1128"/>
      <c r="DY109" s="1128"/>
      <c r="DZ109" s="1128"/>
      <c r="EA109" s="1128"/>
      <c r="EB109" s="1128"/>
      <c r="EC109" s="1128"/>
      <c r="ED109" s="1128"/>
      <c r="EE109" s="1128"/>
      <c r="EF109" s="1128"/>
      <c r="EG109" s="1128"/>
      <c r="EH109" s="1128"/>
      <c r="EI109" s="1128"/>
      <c r="EJ109" s="1128"/>
      <c r="EK109" s="1128"/>
      <c r="EL109" s="1128"/>
      <c r="EM109" s="1128"/>
      <c r="EN109" s="1128"/>
      <c r="EO109" s="1128"/>
      <c r="EP109" s="1128"/>
      <c r="EQ109" s="1128"/>
      <c r="ER109" s="1128"/>
      <c r="ES109" s="1128"/>
      <c r="ET109" s="1128"/>
      <c r="EU109" s="1128"/>
      <c r="EV109" s="1128"/>
      <c r="EW109" s="1128"/>
      <c r="EX109" s="1128"/>
      <c r="EY109" s="1128"/>
      <c r="EZ109" s="1128"/>
      <c r="FA109" s="1128"/>
      <c r="FB109" s="1128"/>
      <c r="FC109" s="1128"/>
      <c r="FD109" s="1128"/>
      <c r="FE109" s="1128"/>
      <c r="FF109" s="1128"/>
      <c r="FG109" s="1128"/>
      <c r="FH109" s="1128"/>
      <c r="FI109" s="1128"/>
      <c r="FJ109" s="1128"/>
      <c r="FK109" s="1128"/>
      <c r="FL109" s="1128"/>
      <c r="FM109" s="1128"/>
      <c r="FN109" s="1128"/>
      <c r="FO109" s="1128"/>
      <c r="FP109" s="1128"/>
      <c r="FQ109" s="1128"/>
      <c r="FR109" s="1128"/>
      <c r="FS109" s="1128"/>
      <c r="FT109" s="1128"/>
      <c r="FU109" s="1128"/>
      <c r="FV109" s="1129"/>
      <c r="FW109" s="1123"/>
      <c r="FX109" s="1124"/>
    </row>
    <row r="110" spans="1:184" s="852" customFormat="1" ht="24.75" customHeight="1">
      <c r="B110" s="850"/>
      <c r="C110" s="851"/>
      <c r="D110" s="851"/>
      <c r="E110" s="1724"/>
      <c r="F110" s="1130">
        <v>1</v>
      </c>
      <c r="G110" s="1131"/>
      <c r="H110" s="1132"/>
      <c r="I110" s="1868"/>
      <c r="J110" s="1133"/>
      <c r="K110" s="1133"/>
      <c r="L110" s="1133"/>
      <c r="M110" s="1133"/>
      <c r="N110" s="1133"/>
      <c r="O110" s="1134"/>
      <c r="P110" s="1134"/>
      <c r="Q110" s="1134"/>
      <c r="R110" s="1134"/>
      <c r="S110" s="1134"/>
      <c r="T110" s="1134"/>
      <c r="U110" s="1134"/>
      <c r="V110" s="1134"/>
      <c r="W110" s="1134"/>
      <c r="X110" s="1134"/>
      <c r="Y110" s="1134"/>
      <c r="Z110" s="1134"/>
      <c r="AA110" s="1134"/>
      <c r="AB110" s="1134"/>
      <c r="AC110" s="1133"/>
      <c r="AD110" s="1133"/>
      <c r="AE110" s="1133"/>
      <c r="AF110" s="1133"/>
      <c r="AG110" s="1133"/>
      <c r="AH110" s="1133"/>
      <c r="AI110" s="1133"/>
      <c r="AJ110" s="1133"/>
      <c r="AK110" s="1133"/>
      <c r="AL110" s="1133"/>
      <c r="AM110" s="1133"/>
      <c r="AN110" s="1133"/>
      <c r="AO110" s="1133"/>
      <c r="AP110" s="1133"/>
      <c r="AQ110" s="1133"/>
      <c r="AR110" s="1133"/>
      <c r="AS110" s="1133"/>
      <c r="AT110" s="1133"/>
      <c r="AU110" s="1133"/>
      <c r="AV110" s="1133"/>
      <c r="AW110" s="1133"/>
      <c r="AX110" s="1133"/>
      <c r="AY110" s="1133"/>
      <c r="AZ110" s="1133"/>
      <c r="BA110" s="1133"/>
      <c r="BB110" s="1133"/>
      <c r="BC110" s="1133"/>
      <c r="BD110" s="1133"/>
      <c r="BE110" s="1133"/>
      <c r="BF110" s="1133"/>
      <c r="BG110" s="1133"/>
      <c r="BH110" s="1133"/>
      <c r="BI110" s="1133"/>
      <c r="BJ110" s="1133"/>
      <c r="BK110" s="1133"/>
      <c r="BL110" s="1133"/>
      <c r="BM110" s="1133"/>
      <c r="BN110" s="1133"/>
      <c r="BO110" s="1133"/>
      <c r="BP110" s="1133"/>
      <c r="BQ110" s="1133"/>
      <c r="BR110" s="1133"/>
      <c r="BS110" s="1133"/>
      <c r="BT110" s="1134"/>
      <c r="BU110" s="1134"/>
      <c r="BV110" s="1134"/>
      <c r="BW110" s="1134"/>
      <c r="BX110" s="1134"/>
      <c r="BY110" s="1134"/>
      <c r="BZ110" s="1134"/>
      <c r="CA110" s="1134"/>
      <c r="CB110" s="1134"/>
      <c r="CC110" s="1134"/>
      <c r="CD110" s="1134"/>
      <c r="CE110" s="1134"/>
      <c r="CF110" s="1134"/>
      <c r="CG110" s="1134"/>
      <c r="CH110" s="1134"/>
      <c r="CI110" s="1134"/>
      <c r="CJ110" s="1134"/>
      <c r="CK110" s="1134"/>
      <c r="CL110" s="1133"/>
      <c r="CM110" s="1133"/>
      <c r="CN110" s="1133"/>
      <c r="CO110" s="1133"/>
      <c r="CP110" s="1133"/>
      <c r="CQ110" s="1133"/>
      <c r="CR110" s="1133"/>
      <c r="CS110" s="1133"/>
      <c r="CT110" s="1133"/>
      <c r="CU110" s="1133"/>
      <c r="CV110" s="1133"/>
      <c r="CW110" s="1133"/>
      <c r="CX110" s="1133"/>
      <c r="CY110" s="1134"/>
      <c r="CZ110" s="1134"/>
      <c r="DA110" s="1134"/>
      <c r="DB110" s="1134"/>
      <c r="DC110" s="1134"/>
      <c r="DD110" s="1134"/>
      <c r="DE110" s="1134"/>
      <c r="DF110" s="1134"/>
      <c r="DG110" s="1134"/>
      <c r="DH110" s="1134"/>
      <c r="DI110" s="1134"/>
      <c r="DJ110" s="1134"/>
      <c r="DK110" s="1133"/>
      <c r="DL110" s="1133"/>
      <c r="DM110" s="1133"/>
      <c r="DN110" s="1133"/>
      <c r="DO110" s="1133"/>
      <c r="DP110" s="1133"/>
      <c r="DQ110" s="1133"/>
      <c r="DR110" s="1133"/>
      <c r="DS110" s="1133"/>
      <c r="DT110" s="1133"/>
      <c r="DU110" s="1133"/>
      <c r="DV110" s="1133"/>
      <c r="DW110" s="1133"/>
      <c r="DX110" s="1133"/>
      <c r="DY110" s="1133"/>
      <c r="DZ110" s="1133"/>
      <c r="EA110" s="1133"/>
      <c r="EB110" s="1133"/>
      <c r="EC110" s="1133"/>
      <c r="ED110" s="1133"/>
      <c r="EE110" s="1133"/>
      <c r="EF110" s="1133"/>
      <c r="EG110" s="1133"/>
      <c r="EH110" s="1133"/>
      <c r="EI110" s="1133"/>
      <c r="EJ110" s="1133"/>
      <c r="EK110" s="1133"/>
      <c r="EL110" s="1133"/>
      <c r="EM110" s="1133"/>
      <c r="EN110" s="1133"/>
      <c r="EO110" s="1133"/>
      <c r="EP110" s="1133"/>
      <c r="EQ110" s="1133"/>
      <c r="ER110" s="1133"/>
      <c r="ES110" s="1133"/>
      <c r="ET110" s="1133"/>
      <c r="EU110" s="1133"/>
      <c r="EV110" s="1133"/>
      <c r="EW110" s="1133"/>
      <c r="EX110" s="1133"/>
      <c r="EY110" s="1133"/>
      <c r="EZ110" s="1133"/>
      <c r="FA110" s="1133"/>
      <c r="FB110" s="1133"/>
      <c r="FC110" s="1133"/>
      <c r="FD110" s="1133"/>
      <c r="FE110" s="1133"/>
      <c r="FF110" s="1133"/>
      <c r="FG110" s="1133"/>
      <c r="FH110" s="1133"/>
      <c r="FI110" s="1133"/>
      <c r="FJ110" s="1133"/>
      <c r="FK110" s="1133"/>
      <c r="FL110" s="1133"/>
      <c r="FM110" s="1133"/>
      <c r="FN110" s="1133"/>
      <c r="FO110" s="1133"/>
      <c r="FP110" s="1133"/>
      <c r="FQ110" s="1133"/>
      <c r="FR110" s="1133"/>
      <c r="FS110" s="1133"/>
      <c r="FT110" s="1133"/>
      <c r="FU110" s="1133"/>
      <c r="FV110" s="1133"/>
      <c r="FW110" s="1133"/>
      <c r="FX110" s="1124"/>
    </row>
    <row r="111" spans="1:184" s="852" customFormat="1" ht="12" customHeight="1">
      <c r="A111" s="851"/>
      <c r="B111" s="850"/>
      <c r="C111" s="851"/>
      <c r="D111" s="851"/>
      <c r="E111" s="851"/>
      <c r="F111" s="1135"/>
      <c r="G111" s="1692" t="s">
        <v>1633</v>
      </c>
      <c r="H111" s="1136"/>
      <c r="I111" s="1136"/>
      <c r="J111" s="1136"/>
      <c r="K111" s="1136"/>
      <c r="L111" s="1136"/>
      <c r="M111" s="1136"/>
      <c r="N111" s="1136"/>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c r="CB111" s="1136"/>
      <c r="CC111" s="1136"/>
      <c r="CD111" s="1136"/>
      <c r="CE111" s="1136"/>
      <c r="CF111" s="1136"/>
      <c r="CG111" s="1136"/>
      <c r="CH111" s="1136"/>
      <c r="CI111" s="1136"/>
      <c r="CJ111" s="1136"/>
      <c r="CK111" s="1136"/>
      <c r="CL111" s="1136"/>
      <c r="CM111" s="1136"/>
      <c r="CN111" s="1136"/>
      <c r="CO111" s="1136"/>
      <c r="CP111" s="1136"/>
      <c r="CQ111" s="1136"/>
      <c r="CR111" s="1136"/>
      <c r="CS111" s="1136"/>
      <c r="CT111" s="1136"/>
      <c r="CU111" s="1136"/>
      <c r="CV111" s="1136"/>
      <c r="CW111" s="1136"/>
      <c r="CX111" s="1136"/>
      <c r="CY111" s="1136"/>
      <c r="CZ111" s="1136"/>
      <c r="DA111" s="1136"/>
      <c r="DB111" s="1136"/>
      <c r="DC111" s="1136"/>
      <c r="DD111" s="1136"/>
      <c r="DE111" s="1136"/>
      <c r="DF111" s="1136"/>
      <c r="DG111" s="1136"/>
      <c r="DH111" s="1136"/>
      <c r="DI111" s="1136"/>
      <c r="DJ111" s="1136"/>
      <c r="DK111" s="1136"/>
      <c r="DL111" s="1136"/>
      <c r="DM111" s="1136"/>
      <c r="DN111" s="1136"/>
      <c r="DO111" s="1136"/>
      <c r="DP111" s="1136"/>
      <c r="DQ111" s="1136"/>
      <c r="DR111" s="1136"/>
      <c r="DS111" s="1136"/>
      <c r="DT111" s="1136"/>
      <c r="DU111" s="1136"/>
      <c r="DV111" s="1136"/>
      <c r="DW111" s="1136"/>
      <c r="DX111" s="1136"/>
      <c r="DY111" s="1136"/>
      <c r="DZ111" s="1136"/>
      <c r="EA111" s="1136"/>
      <c r="EB111" s="1136"/>
      <c r="EC111" s="1136"/>
      <c r="ED111" s="1136"/>
      <c r="EE111" s="1136"/>
      <c r="EF111" s="1136"/>
      <c r="EG111" s="1136"/>
      <c r="EH111" s="1136"/>
      <c r="EI111" s="1136"/>
      <c r="EJ111" s="1136"/>
      <c r="EK111" s="1136"/>
      <c r="EL111" s="1136"/>
      <c r="EM111" s="1136"/>
      <c r="EN111" s="1136"/>
      <c r="EO111" s="1136"/>
      <c r="EP111" s="1136"/>
      <c r="EQ111" s="1136"/>
      <c r="ER111" s="1136"/>
      <c r="ES111" s="1136"/>
      <c r="ET111" s="1136"/>
      <c r="EU111" s="1136"/>
      <c r="EV111" s="1136"/>
      <c r="EW111" s="1136"/>
      <c r="EX111" s="1136"/>
      <c r="EY111" s="1136"/>
      <c r="EZ111" s="1136"/>
      <c r="FA111" s="1136"/>
      <c r="FB111" s="1136"/>
      <c r="FC111" s="1136"/>
      <c r="FD111" s="1136"/>
      <c r="FE111" s="1136"/>
      <c r="FF111" s="1136"/>
      <c r="FG111" s="1136"/>
      <c r="FH111" s="1136"/>
      <c r="FI111" s="1136"/>
      <c r="FJ111" s="1136"/>
      <c r="FK111" s="1136"/>
      <c r="FL111" s="1136"/>
      <c r="FM111" s="1136"/>
      <c r="FN111" s="1136"/>
      <c r="FO111" s="1136"/>
      <c r="FP111" s="1136"/>
      <c r="FQ111" s="1136"/>
      <c r="FR111" s="1136"/>
      <c r="FS111" s="1136"/>
      <c r="FT111" s="1136"/>
      <c r="FU111" s="1136"/>
      <c r="FV111" s="1136"/>
      <c r="FW111" s="1137"/>
      <c r="FX111" s="1138"/>
      <c r="FY111" s="868"/>
      <c r="FZ111" s="868"/>
      <c r="GA111" s="868"/>
      <c r="GB111" s="868"/>
    </row>
    <row r="113" spans="1:83" s="1707" customFormat="1" ht="11.25" customHeight="1">
      <c r="A113" s="1707" t="s">
        <v>2423</v>
      </c>
    </row>
    <row r="115" spans="1:83" s="1739" customFormat="1" ht="15" customHeight="1">
      <c r="A115" s="557"/>
      <c r="B115" s="558"/>
      <c r="C115" s="558"/>
      <c r="D115" s="4009" t="s">
        <v>164</v>
      </c>
      <c r="E115" s="3832" t="s">
        <v>160</v>
      </c>
      <c r="F115" s="3833"/>
      <c r="G115" s="3834"/>
      <c r="H115" s="3838" t="str">
        <f>IF(A115="","",INDEX(DIFFERENTIATION_UNMERGE_VD,MATCH(A115,DIFFERENTIATION_ID_DIFF,0)))</f>
        <v/>
      </c>
      <c r="I115" s="3838"/>
      <c r="J115" s="3838"/>
      <c r="K115" s="3838"/>
      <c r="L115" s="3838"/>
      <c r="M115" s="3838"/>
      <c r="N115" s="3838"/>
      <c r="O115" s="3838"/>
      <c r="P115" s="3838"/>
      <c r="Q115" s="3838"/>
      <c r="R115" s="3838"/>
      <c r="S115" s="653"/>
      <c r="T115" s="650"/>
      <c r="U115" s="559"/>
      <c r="V115" s="559"/>
      <c r="W115" s="560"/>
      <c r="X115" s="560"/>
      <c r="Y115" s="560"/>
      <c r="Z115" s="560"/>
      <c r="AA115" s="561"/>
      <c r="AB115" s="562"/>
      <c r="AC115" s="3830"/>
      <c r="AD115" s="563"/>
      <c r="AE115" s="564" t="s">
        <v>9</v>
      </c>
      <c r="AF115" s="564"/>
      <c r="AG115" s="565" t="s">
        <v>930</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1739" customFormat="1" ht="15" customHeight="1">
      <c r="A116" s="557"/>
      <c r="B116" s="558"/>
      <c r="C116" s="558"/>
      <c r="D116" s="4010"/>
      <c r="E116" s="3832" t="s">
        <v>607</v>
      </c>
      <c r="F116" s="3833"/>
      <c r="G116" s="3834"/>
      <c r="H116" s="3838" t="str">
        <f>IF(A115="","",INDEX(DIFFERENTIATION_UNMERGE_AREA,MATCH(A115,DIFFERENTIATION_ID_DIFF,0)))</f>
        <v/>
      </c>
      <c r="I116" s="3838"/>
      <c r="J116" s="3838"/>
      <c r="K116" s="3838"/>
      <c r="L116" s="3838"/>
      <c r="M116" s="3838"/>
      <c r="N116" s="3838"/>
      <c r="O116" s="3838"/>
      <c r="P116" s="3838"/>
      <c r="Q116" s="3838"/>
      <c r="R116" s="3838"/>
      <c r="S116" s="653"/>
      <c r="T116" s="650"/>
      <c r="U116" s="559"/>
      <c r="V116" s="559"/>
      <c r="W116" s="560"/>
      <c r="X116" s="560"/>
      <c r="Y116" s="560"/>
      <c r="Z116" s="560"/>
      <c r="AA116" s="561"/>
      <c r="AB116" s="562"/>
      <c r="AC116" s="3830"/>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1739" customFormat="1" ht="15" customHeight="1">
      <c r="A117" s="557"/>
      <c r="B117" s="558"/>
      <c r="C117" s="558"/>
      <c r="D117" s="4010"/>
      <c r="E117" s="3832" t="s">
        <v>608</v>
      </c>
      <c r="F117" s="3833"/>
      <c r="G117" s="3834"/>
      <c r="H117" s="3838" t="str">
        <f>IF(A115="","",INDEX(DIFFERENTIATION_UNMERGE_SYSTEM,MATCH(A115,DIFFERENTIATION_ID_DIFF,0)))</f>
        <v/>
      </c>
      <c r="I117" s="3838"/>
      <c r="J117" s="3838"/>
      <c r="K117" s="3838"/>
      <c r="L117" s="3838"/>
      <c r="M117" s="3838"/>
      <c r="N117" s="3838"/>
      <c r="O117" s="3838"/>
      <c r="P117" s="3838"/>
      <c r="Q117" s="3838"/>
      <c r="R117" s="3838"/>
      <c r="S117" s="653"/>
      <c r="T117" s="650"/>
      <c r="U117" s="559"/>
      <c r="V117" s="559"/>
      <c r="W117" s="560"/>
      <c r="X117" s="560"/>
      <c r="Y117" s="560"/>
      <c r="Z117" s="560"/>
      <c r="AA117" s="561"/>
      <c r="AB117" s="562"/>
      <c r="AC117" s="3830"/>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1739" customFormat="1" ht="24.75" customHeight="1">
      <c r="A118" s="1698"/>
      <c r="B118" s="1082"/>
      <c r="C118" s="346"/>
      <c r="D118" s="4010"/>
      <c r="E118" s="3831" t="s">
        <v>931</v>
      </c>
      <c r="F118" s="3831"/>
      <c r="G118" s="3831"/>
      <c r="H118" s="3831"/>
      <c r="I118" s="3831"/>
      <c r="J118" s="3831"/>
      <c r="K118" s="3831"/>
      <c r="L118" s="3831"/>
      <c r="M118" s="3831"/>
      <c r="N118" s="3831"/>
      <c r="O118" s="3831"/>
      <c r="P118" s="3831"/>
      <c r="Q118" s="492">
        <f>SUMIF(T119:T120,"i",Q119:Q120)</f>
        <v>0</v>
      </c>
      <c r="R118" s="943"/>
      <c r="S118" s="1690" t="s">
        <v>932</v>
      </c>
      <c r="T118" s="651" t="s">
        <v>933</v>
      </c>
      <c r="U118" s="3736">
        <v>1</v>
      </c>
      <c r="V118" s="3736" t="e">
        <f>INDEX(B_FHD_FLAG_INDEX_1,1,MATCH(A115,B_FHD_FLAG_DIFFERENTIATION,0))</f>
        <v>#N/A</v>
      </c>
      <c r="W118" s="1082"/>
      <c r="X118" s="1082"/>
      <c r="Y118" s="1082"/>
      <c r="Z118" s="1082"/>
      <c r="AA118" s="1558"/>
      <c r="AB118" s="1082"/>
      <c r="AC118" s="3830"/>
      <c r="AD118" s="563"/>
      <c r="AE118" s="1082"/>
      <c r="AF118" s="1082"/>
      <c r="AG118" s="1558"/>
      <c r="AH118" s="1558"/>
      <c r="AI118" s="1558"/>
      <c r="AJ118" s="1558"/>
      <c r="AK118" s="1558"/>
      <c r="AL118" s="1558"/>
      <c r="AM118" s="1558"/>
      <c r="AN118" s="1558"/>
      <c r="AO118" s="1558"/>
      <c r="AP118" s="1558"/>
      <c r="AQ118" s="1558"/>
      <c r="AR118" s="1558"/>
      <c r="AS118" s="1558"/>
      <c r="AT118" s="1558"/>
      <c r="AU118" s="1558"/>
      <c r="AV118" s="1558"/>
      <c r="AW118" s="1558"/>
      <c r="AX118" s="1558"/>
      <c r="AY118" s="1558"/>
      <c r="AZ118" s="1558"/>
      <c r="BA118" s="1558"/>
      <c r="BB118" s="1558"/>
      <c r="BC118" s="1558"/>
      <c r="BD118" s="1558"/>
      <c r="BE118" s="1558"/>
      <c r="BF118" s="1558"/>
      <c r="BG118" s="1558"/>
      <c r="BH118" s="1558"/>
      <c r="BI118" s="1558"/>
      <c r="BJ118" s="1558"/>
      <c r="BK118" s="1558"/>
      <c r="BL118" s="1558"/>
      <c r="BM118" s="1558"/>
      <c r="BN118" s="1558"/>
      <c r="BO118" s="1558"/>
      <c r="BP118" s="1558"/>
      <c r="BQ118" s="1558"/>
      <c r="BR118" s="1558"/>
      <c r="BS118" s="1558"/>
      <c r="BT118" s="1558"/>
      <c r="BU118" s="1558"/>
      <c r="BV118" s="1082"/>
      <c r="BW118" s="1082"/>
      <c r="BX118" s="1082"/>
      <c r="BY118" s="1082"/>
      <c r="BZ118" s="1082"/>
      <c r="CA118" s="1082"/>
      <c r="CB118" s="1082"/>
      <c r="CC118" s="1082"/>
      <c r="CD118" s="1082"/>
      <c r="CE118" s="1082"/>
    </row>
    <row r="119" spans="1:83" s="1739" customFormat="1" ht="11.25" hidden="1" customHeight="1">
      <c r="A119" s="1685"/>
      <c r="B119" s="1558"/>
      <c r="C119" s="1558"/>
      <c r="D119" s="4010"/>
      <c r="E119" s="569"/>
      <c r="F119" s="569">
        <v>0</v>
      </c>
      <c r="G119" s="569"/>
      <c r="H119" s="569"/>
      <c r="I119" s="569"/>
      <c r="J119" s="569"/>
      <c r="K119" s="569"/>
      <c r="L119" s="569"/>
      <c r="M119" s="569"/>
      <c r="N119" s="569"/>
      <c r="O119" s="569"/>
      <c r="P119" s="569"/>
      <c r="Q119" s="569"/>
      <c r="R119" s="569"/>
      <c r="S119" s="570"/>
      <c r="T119" s="652"/>
      <c r="U119" s="3736"/>
      <c r="V119" s="3736"/>
      <c r="W119" s="1558"/>
      <c r="X119" s="1558"/>
      <c r="Y119" s="1558"/>
      <c r="Z119" s="1558"/>
      <c r="AA119" s="1558"/>
      <c r="AB119" s="1082"/>
      <c r="AC119" s="3830"/>
      <c r="AD119" s="563"/>
      <c r="AE119" s="1082"/>
      <c r="AF119" s="1082"/>
      <c r="AG119" s="1558"/>
      <c r="AH119" s="1558"/>
      <c r="AI119" s="1558"/>
      <c r="AJ119" s="1558"/>
      <c r="AK119" s="1558"/>
      <c r="AL119" s="1558"/>
      <c r="AM119" s="1558"/>
      <c r="AN119" s="1558"/>
      <c r="AO119" s="1558"/>
      <c r="AP119" s="1558"/>
      <c r="AQ119" s="1558"/>
      <c r="AR119" s="1558"/>
      <c r="AS119" s="1558"/>
      <c r="AT119" s="1558"/>
      <c r="AU119" s="1558"/>
      <c r="AV119" s="1558"/>
      <c r="AW119" s="1558"/>
      <c r="AX119" s="1558"/>
      <c r="AY119" s="1558"/>
      <c r="AZ119" s="1558"/>
      <c r="BA119" s="1558"/>
      <c r="BB119" s="1558"/>
      <c r="BC119" s="1558"/>
      <c r="BD119" s="1558"/>
      <c r="BE119" s="1558"/>
      <c r="BF119" s="1558"/>
      <c r="BG119" s="1558"/>
      <c r="BH119" s="1558"/>
      <c r="BI119" s="1558"/>
      <c r="BJ119" s="1558"/>
      <c r="BK119" s="1558"/>
      <c r="BL119" s="1558"/>
      <c r="BM119" s="1558"/>
      <c r="BN119" s="1558"/>
      <c r="BO119" s="1558"/>
      <c r="BP119" s="1558"/>
      <c r="BQ119" s="1558"/>
      <c r="BR119" s="1558"/>
      <c r="BS119" s="1558"/>
      <c r="BT119" s="1558"/>
      <c r="BU119" s="1558"/>
      <c r="BV119" s="1558"/>
      <c r="BW119" s="1558"/>
      <c r="BX119" s="1558"/>
      <c r="BY119" s="1558"/>
      <c r="BZ119" s="1558"/>
      <c r="CA119" s="1558"/>
      <c r="CB119" s="1558"/>
      <c r="CC119" s="1558"/>
      <c r="CD119" s="1558"/>
      <c r="CE119" s="1558"/>
    </row>
    <row r="120" spans="1:83" s="1739" customFormat="1" ht="11.25" customHeight="1">
      <c r="A120" s="1698"/>
      <c r="B120" s="1082"/>
      <c r="C120" s="346"/>
      <c r="D120" s="4010"/>
      <c r="E120" s="583" t="s">
        <v>9</v>
      </c>
      <c r="F120" s="1090" t="s">
        <v>9</v>
      </c>
      <c r="G120" s="1090" t="s">
        <v>2424</v>
      </c>
      <c r="H120" s="585" t="s">
        <v>9</v>
      </c>
      <c r="I120" s="585"/>
      <c r="J120" s="585"/>
      <c r="K120" s="585"/>
      <c r="L120" s="585"/>
      <c r="M120" s="585"/>
      <c r="N120" s="585"/>
      <c r="O120" s="585"/>
      <c r="P120" s="585"/>
      <c r="Q120" s="585"/>
      <c r="R120" s="586"/>
      <c r="S120" s="587"/>
      <c r="T120" s="652"/>
      <c r="U120" s="3736"/>
      <c r="V120" s="3736"/>
      <c r="W120" s="1082"/>
      <c r="X120" s="1082"/>
      <c r="Y120" s="1082"/>
      <c r="Z120" s="1082"/>
      <c r="AA120" s="1558"/>
      <c r="AB120" s="1082"/>
      <c r="AC120" s="3830"/>
      <c r="AD120" s="563"/>
      <c r="AE120" s="1082"/>
      <c r="AF120" s="1082"/>
      <c r="AG120" s="1558"/>
      <c r="AH120" s="1558"/>
      <c r="AI120" s="1558"/>
      <c r="AJ120" s="1558"/>
      <c r="AK120" s="1558"/>
      <c r="AL120" s="1558"/>
      <c r="AM120" s="1558"/>
      <c r="AN120" s="1558"/>
      <c r="AO120" s="1558"/>
      <c r="AP120" s="1558"/>
      <c r="AQ120" s="1558"/>
      <c r="AR120" s="1558"/>
      <c r="AS120" s="1558"/>
      <c r="AT120" s="1558"/>
      <c r="AU120" s="1558"/>
      <c r="AV120" s="1558"/>
      <c r="AW120" s="1558"/>
      <c r="AX120" s="1558"/>
      <c r="AY120" s="1558"/>
      <c r="AZ120" s="1558"/>
      <c r="BA120" s="1558"/>
      <c r="BB120" s="1558"/>
      <c r="BC120" s="1558"/>
      <c r="BD120" s="1558"/>
      <c r="BE120" s="1558"/>
      <c r="BF120" s="1558"/>
      <c r="BG120" s="1558"/>
      <c r="BH120" s="1558"/>
      <c r="BI120" s="1558"/>
      <c r="BJ120" s="1558"/>
      <c r="BK120" s="1558"/>
      <c r="BL120" s="1558"/>
      <c r="BM120" s="1558"/>
      <c r="BN120" s="1558"/>
      <c r="BO120" s="1558"/>
      <c r="BP120" s="1558"/>
      <c r="BQ120" s="1558"/>
      <c r="BR120" s="1558"/>
      <c r="BS120" s="1558"/>
      <c r="BT120" s="1558"/>
      <c r="BU120" s="1558"/>
      <c r="BV120" s="1082"/>
      <c r="BW120" s="1082"/>
      <c r="BX120" s="1082"/>
      <c r="BY120" s="1082"/>
      <c r="BZ120" s="1082"/>
      <c r="CA120" s="1082"/>
      <c r="CB120" s="1082"/>
      <c r="CC120" s="1082"/>
      <c r="CD120" s="1082"/>
      <c r="CE120" s="1082"/>
    </row>
    <row r="121" spans="1:83" s="1739" customFormat="1" ht="24.75" customHeight="1">
      <c r="A121" s="1698"/>
      <c r="B121" s="1082"/>
      <c r="C121" s="346"/>
      <c r="D121" s="4010"/>
      <c r="E121" s="3831" t="s">
        <v>934</v>
      </c>
      <c r="F121" s="3831"/>
      <c r="G121" s="3831"/>
      <c r="H121" s="3831"/>
      <c r="I121" s="3831"/>
      <c r="J121" s="3831"/>
      <c r="K121" s="3831"/>
      <c r="L121" s="3831"/>
      <c r="M121" s="3831"/>
      <c r="N121" s="3831"/>
      <c r="O121" s="3831"/>
      <c r="P121" s="3831"/>
      <c r="Q121" s="492">
        <f>SUMIF(T122:T123,"i",Q122:Q123)</f>
        <v>0</v>
      </c>
      <c r="R121" s="943"/>
      <c r="S121" s="1690" t="s">
        <v>935</v>
      </c>
      <c r="T121" s="651" t="s">
        <v>933</v>
      </c>
      <c r="U121" s="3736">
        <v>1</v>
      </c>
      <c r="V121" s="3736" t="e">
        <f>INDEX(B_FHD_FLAG_INDEX_2,1,MATCH(A115,B_FHD_FLAG_DIFFERENTIATION,0))</f>
        <v>#N/A</v>
      </c>
      <c r="W121" s="1082"/>
      <c r="X121" s="1082"/>
      <c r="Y121" s="1082"/>
      <c r="Z121" s="1082"/>
      <c r="AA121" s="1558"/>
      <c r="AB121" s="1082"/>
      <c r="AC121" s="1688"/>
      <c r="AD121" s="563"/>
      <c r="AE121" s="1082"/>
      <c r="AF121" s="1082"/>
      <c r="AG121" s="1558"/>
      <c r="AH121" s="1558"/>
      <c r="AI121" s="1558"/>
      <c r="AJ121" s="1558"/>
      <c r="AK121" s="1558"/>
      <c r="AL121" s="1558"/>
      <c r="AM121" s="1558"/>
      <c r="AN121" s="1558"/>
      <c r="AO121" s="1558"/>
      <c r="AP121" s="1558"/>
      <c r="AQ121" s="1558"/>
      <c r="AR121" s="1558"/>
      <c r="AS121" s="1558"/>
      <c r="AT121" s="1558"/>
      <c r="AU121" s="1558"/>
      <c r="AV121" s="1558"/>
      <c r="AW121" s="1558"/>
      <c r="AX121" s="1558"/>
      <c r="AY121" s="1558"/>
      <c r="AZ121" s="1558"/>
      <c r="BA121" s="1558"/>
      <c r="BB121" s="1558"/>
      <c r="BC121" s="1558"/>
      <c r="BD121" s="1558"/>
      <c r="BE121" s="1558"/>
      <c r="BF121" s="1558"/>
      <c r="BG121" s="1558"/>
      <c r="BH121" s="1558"/>
      <c r="BI121" s="1558"/>
      <c r="BJ121" s="1558"/>
      <c r="BK121" s="1558"/>
      <c r="BL121" s="1558"/>
      <c r="BM121" s="1558"/>
      <c r="BN121" s="1558"/>
      <c r="BO121" s="1558"/>
      <c r="BP121" s="1558"/>
      <c r="BQ121" s="1558"/>
      <c r="BR121" s="1558"/>
      <c r="BS121" s="1558"/>
      <c r="BT121" s="1558"/>
      <c r="BU121" s="1558"/>
      <c r="BV121" s="1082"/>
      <c r="BW121" s="1082"/>
      <c r="BX121" s="1082"/>
      <c r="BY121" s="1082"/>
      <c r="BZ121" s="1082"/>
      <c r="CA121" s="1082"/>
      <c r="CB121" s="1082"/>
      <c r="CC121" s="1082"/>
      <c r="CD121" s="1082"/>
      <c r="CE121" s="1082"/>
    </row>
    <row r="122" spans="1:83" s="1739" customFormat="1" ht="11.25" hidden="1" customHeight="1">
      <c r="A122" s="1685"/>
      <c r="B122" s="1558"/>
      <c r="C122" s="1558"/>
      <c r="D122" s="4010"/>
      <c r="E122" s="569"/>
      <c r="F122" s="569">
        <v>0</v>
      </c>
      <c r="G122" s="569"/>
      <c r="H122" s="569"/>
      <c r="I122" s="569"/>
      <c r="J122" s="569"/>
      <c r="K122" s="569"/>
      <c r="L122" s="569"/>
      <c r="M122" s="569"/>
      <c r="N122" s="569"/>
      <c r="O122" s="569"/>
      <c r="P122" s="569"/>
      <c r="Q122" s="569"/>
      <c r="R122" s="569"/>
      <c r="S122" s="570"/>
      <c r="T122" s="652"/>
      <c r="U122" s="3736"/>
      <c r="V122" s="3736"/>
      <c r="W122" s="1558"/>
      <c r="X122" s="1558"/>
      <c r="Y122" s="1558"/>
      <c r="Z122" s="1558"/>
      <c r="AA122" s="1558"/>
      <c r="AB122" s="1082"/>
      <c r="AC122" s="1688"/>
      <c r="AD122" s="563"/>
      <c r="AE122" s="1082"/>
      <c r="AF122" s="1082"/>
      <c r="AG122" s="1558"/>
      <c r="AH122" s="1558"/>
      <c r="AI122" s="1558"/>
      <c r="AJ122" s="1558"/>
      <c r="AK122" s="1558"/>
      <c r="AL122" s="1558"/>
      <c r="AM122" s="1558"/>
      <c r="AN122" s="1558"/>
      <c r="AO122" s="1558"/>
      <c r="AP122" s="1558"/>
      <c r="AQ122" s="1558"/>
      <c r="AR122" s="1558"/>
      <c r="AS122" s="1558"/>
      <c r="AT122" s="1558"/>
      <c r="AU122" s="1558"/>
      <c r="AV122" s="1558"/>
      <c r="AW122" s="1558"/>
      <c r="AX122" s="1558"/>
      <c r="AY122" s="1558"/>
      <c r="AZ122" s="1558"/>
      <c r="BA122" s="1558"/>
      <c r="BB122" s="1558"/>
      <c r="BC122" s="1558"/>
      <c r="BD122" s="1558"/>
      <c r="BE122" s="1558"/>
      <c r="BF122" s="1558"/>
      <c r="BG122" s="1558"/>
      <c r="BH122" s="1558"/>
      <c r="BI122" s="1558"/>
      <c r="BJ122" s="1558"/>
      <c r="BK122" s="1558"/>
      <c r="BL122" s="1558"/>
      <c r="BM122" s="1558"/>
      <c r="BN122" s="1558"/>
      <c r="BO122" s="1558"/>
      <c r="BP122" s="1558"/>
      <c r="BQ122" s="1558"/>
      <c r="BR122" s="1558"/>
      <c r="BS122" s="1558"/>
      <c r="BT122" s="1558"/>
      <c r="BU122" s="1558"/>
      <c r="BV122" s="1558"/>
      <c r="BW122" s="1558"/>
      <c r="BX122" s="1558"/>
      <c r="BY122" s="1558"/>
      <c r="BZ122" s="1558"/>
      <c r="CA122" s="1558"/>
      <c r="CB122" s="1558"/>
      <c r="CC122" s="1558"/>
      <c r="CD122" s="1558"/>
      <c r="CE122" s="1558"/>
    </row>
    <row r="123" spans="1:83" s="1739" customFormat="1" ht="11.25" customHeight="1">
      <c r="A123" s="1698"/>
      <c r="B123" s="1082"/>
      <c r="C123" s="346"/>
      <c r="D123" s="4011"/>
      <c r="E123" s="583" t="s">
        <v>9</v>
      </c>
      <c r="F123" s="1090" t="s">
        <v>9</v>
      </c>
      <c r="G123" s="1090" t="s">
        <v>2424</v>
      </c>
      <c r="H123" s="585" t="s">
        <v>9</v>
      </c>
      <c r="I123" s="585"/>
      <c r="J123" s="585"/>
      <c r="K123" s="585"/>
      <c r="L123" s="585"/>
      <c r="M123" s="585"/>
      <c r="N123" s="585"/>
      <c r="O123" s="585"/>
      <c r="P123" s="585"/>
      <c r="Q123" s="585"/>
      <c r="R123" s="586"/>
      <c r="S123" s="587"/>
      <c r="T123" s="652"/>
      <c r="U123" s="3736"/>
      <c r="V123" s="3736"/>
      <c r="W123" s="1082"/>
      <c r="X123" s="1082"/>
      <c r="Y123" s="1082"/>
      <c r="Z123" s="1082"/>
      <c r="AA123" s="1558"/>
      <c r="AB123" s="1082"/>
      <c r="AC123" s="1688"/>
      <c r="AD123" s="563"/>
      <c r="AE123" s="1082"/>
      <c r="AF123" s="1082"/>
      <c r="AG123" s="1558"/>
      <c r="AH123" s="1558"/>
      <c r="AI123" s="1558"/>
      <c r="AJ123" s="1558"/>
      <c r="AK123" s="1558"/>
      <c r="AL123" s="1558"/>
      <c r="AM123" s="1558"/>
      <c r="AN123" s="1558"/>
      <c r="AO123" s="1558"/>
      <c r="AP123" s="1558"/>
      <c r="AQ123" s="1558"/>
      <c r="AR123" s="1558"/>
      <c r="AS123" s="1558"/>
      <c r="AT123" s="1558"/>
      <c r="AU123" s="1558"/>
      <c r="AV123" s="1558"/>
      <c r="AW123" s="1558"/>
      <c r="AX123" s="1558"/>
      <c r="AY123" s="1558"/>
      <c r="AZ123" s="1558"/>
      <c r="BA123" s="1558"/>
      <c r="BB123" s="1558"/>
      <c r="BC123" s="1558"/>
      <c r="BD123" s="1558"/>
      <c r="BE123" s="1558"/>
      <c r="BF123" s="1558"/>
      <c r="BG123" s="1558"/>
      <c r="BH123" s="1558"/>
      <c r="BI123" s="1558"/>
      <c r="BJ123" s="1558"/>
      <c r="BK123" s="1558"/>
      <c r="BL123" s="1558"/>
      <c r="BM123" s="1558"/>
      <c r="BN123" s="1558"/>
      <c r="BO123" s="1558"/>
      <c r="BP123" s="1558"/>
      <c r="BQ123" s="1558"/>
      <c r="BR123" s="1558"/>
      <c r="BS123" s="1558"/>
      <c r="BT123" s="1558"/>
      <c r="BU123" s="1558"/>
      <c r="BV123" s="1082"/>
      <c r="BW123" s="1082"/>
      <c r="BX123" s="1082"/>
      <c r="BY123" s="1082"/>
      <c r="BZ123" s="1082"/>
      <c r="CA123" s="1082"/>
      <c r="CB123" s="1082"/>
      <c r="CC123" s="1082"/>
      <c r="CD123" s="1082"/>
      <c r="CE123" s="1082"/>
    </row>
    <row r="125" spans="1:83" s="1707" customFormat="1" ht="11.25" customHeight="1">
      <c r="A125" s="1707" t="s">
        <v>2425</v>
      </c>
    </row>
    <row r="127" spans="1:83" s="1739" customFormat="1" ht="15" customHeight="1">
      <c r="A127" s="557"/>
      <c r="B127" s="558"/>
      <c r="C127" s="558"/>
      <c r="D127" s="4009" t="s">
        <v>164</v>
      </c>
      <c r="E127" s="3832" t="s">
        <v>160</v>
      </c>
      <c r="F127" s="3833"/>
      <c r="G127" s="3834"/>
      <c r="H127" s="3838" t="str">
        <f>IF(A127="","",INDEX(DIFFERENTIATION_UNMERGE_VD,MATCH(A127,DIFFERENTIATION_ID_DIFF,0)))</f>
        <v/>
      </c>
      <c r="I127" s="3838"/>
      <c r="J127" s="3838"/>
      <c r="K127" s="3838"/>
      <c r="L127" s="3838"/>
      <c r="M127" s="3838"/>
      <c r="N127" s="3838"/>
      <c r="O127" s="3838"/>
      <c r="P127" s="3838"/>
      <c r="Q127" s="3838"/>
      <c r="R127" s="3838"/>
      <c r="S127" s="653"/>
      <c r="T127" s="650"/>
      <c r="U127" s="559"/>
      <c r="V127" s="559"/>
      <c r="W127" s="560"/>
      <c r="X127" s="560"/>
      <c r="Y127" s="560"/>
      <c r="Z127" s="560"/>
      <c r="AA127" s="561"/>
      <c r="AB127" s="562"/>
      <c r="AC127" s="3830"/>
      <c r="AD127" s="563"/>
      <c r="AE127" s="564" t="s">
        <v>9</v>
      </c>
      <c r="AF127" s="564"/>
      <c r="AG127" s="565" t="s">
        <v>930</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1739" customFormat="1" ht="15" customHeight="1">
      <c r="A128" s="557"/>
      <c r="B128" s="558"/>
      <c r="C128" s="558"/>
      <c r="D128" s="4010"/>
      <c r="E128" s="3832" t="s">
        <v>607</v>
      </c>
      <c r="F128" s="3833"/>
      <c r="G128" s="3834"/>
      <c r="H128" s="3838" t="str">
        <f>IF(A127="","",INDEX(DIFFERENTIATION_UNMERGE_AREA,MATCH(A127,DIFFERENTIATION_ID_DIFF,0)))</f>
        <v/>
      </c>
      <c r="I128" s="3838"/>
      <c r="J128" s="3838"/>
      <c r="K128" s="3838"/>
      <c r="L128" s="3838"/>
      <c r="M128" s="3838"/>
      <c r="N128" s="3838"/>
      <c r="O128" s="3838"/>
      <c r="P128" s="3838"/>
      <c r="Q128" s="3838"/>
      <c r="R128" s="3838"/>
      <c r="S128" s="653"/>
      <c r="T128" s="650"/>
      <c r="U128" s="559"/>
      <c r="V128" s="559"/>
      <c r="W128" s="560"/>
      <c r="X128" s="560"/>
      <c r="Y128" s="560"/>
      <c r="Z128" s="560"/>
      <c r="AA128" s="561"/>
      <c r="AB128" s="562"/>
      <c r="AC128" s="3830"/>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1739" customFormat="1" ht="15" customHeight="1">
      <c r="A129" s="557"/>
      <c r="B129" s="558"/>
      <c r="C129" s="558"/>
      <c r="D129" s="4010"/>
      <c r="E129" s="3832" t="s">
        <v>608</v>
      </c>
      <c r="F129" s="3833"/>
      <c r="G129" s="3834"/>
      <c r="H129" s="3838" t="str">
        <f>IF(A127="","",INDEX(DIFFERENTIATION_UNMERGE_SYSTEM,MATCH(A127,DIFFERENTIATION_ID_DIFF,0)))</f>
        <v/>
      </c>
      <c r="I129" s="3838"/>
      <c r="J129" s="3838"/>
      <c r="K129" s="3838"/>
      <c r="L129" s="3838"/>
      <c r="M129" s="3838"/>
      <c r="N129" s="3838"/>
      <c r="O129" s="3838"/>
      <c r="P129" s="3838"/>
      <c r="Q129" s="3838"/>
      <c r="R129" s="3838"/>
      <c r="S129" s="653"/>
      <c r="T129" s="650"/>
      <c r="U129" s="559"/>
      <c r="V129" s="559"/>
      <c r="W129" s="560"/>
      <c r="X129" s="560"/>
      <c r="Y129" s="560"/>
      <c r="Z129" s="560"/>
      <c r="AA129" s="561"/>
      <c r="AB129" s="562"/>
      <c r="AC129" s="3830"/>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1739" customFormat="1" ht="24.75" customHeight="1">
      <c r="A130" s="1698"/>
      <c r="B130" s="1082"/>
      <c r="C130" s="346"/>
      <c r="D130" s="4010"/>
      <c r="E130" s="3831" t="s">
        <v>931</v>
      </c>
      <c r="F130" s="3831"/>
      <c r="G130" s="3831"/>
      <c r="H130" s="3831"/>
      <c r="I130" s="3831"/>
      <c r="J130" s="3831"/>
      <c r="K130" s="3831"/>
      <c r="L130" s="3831"/>
      <c r="M130" s="3831"/>
      <c r="N130" s="3831"/>
      <c r="O130" s="3831"/>
      <c r="P130" s="3831"/>
      <c r="Q130" s="492">
        <f>SUMIF(T131:T132,"i",Q131:Q132)</f>
        <v>0</v>
      </c>
      <c r="R130" s="943"/>
      <c r="S130" s="1690" t="s">
        <v>932</v>
      </c>
      <c r="T130" s="651" t="s">
        <v>933</v>
      </c>
      <c r="U130" s="3736">
        <v>1</v>
      </c>
      <c r="V130" s="3736" t="e">
        <f>INDEX(B_FHD_FLAG_INDEX_1,1,MATCH(A127,B_FHD_FLAG_DIFFERENTIATION,0))</f>
        <v>#N/A</v>
      </c>
      <c r="W130" s="1082"/>
      <c r="X130" s="1082"/>
      <c r="Y130" s="1082"/>
      <c r="Z130" s="1082"/>
      <c r="AA130" s="1558"/>
      <c r="AB130" s="1082"/>
      <c r="AC130" s="3830"/>
      <c r="AD130" s="563"/>
      <c r="AE130" s="1082"/>
      <c r="AF130" s="1082"/>
      <c r="AG130" s="1558"/>
      <c r="AH130" s="1558"/>
      <c r="AI130" s="1558"/>
      <c r="AJ130" s="1558"/>
      <c r="AK130" s="1558"/>
      <c r="AL130" s="1558"/>
      <c r="AM130" s="1558"/>
      <c r="AN130" s="1558"/>
      <c r="AO130" s="1558"/>
      <c r="AP130" s="1558"/>
      <c r="AQ130" s="1558"/>
      <c r="AR130" s="1558"/>
      <c r="AS130" s="1558"/>
      <c r="AT130" s="1558"/>
      <c r="AU130" s="1558"/>
      <c r="AV130" s="1558"/>
      <c r="AW130" s="1558"/>
      <c r="AX130" s="1558"/>
      <c r="AY130" s="1558"/>
      <c r="AZ130" s="1558"/>
      <c r="BA130" s="1558"/>
      <c r="BB130" s="1558"/>
      <c r="BC130" s="1558"/>
      <c r="BD130" s="1558"/>
      <c r="BE130" s="1558"/>
      <c r="BF130" s="1558"/>
      <c r="BG130" s="1558"/>
      <c r="BH130" s="1558"/>
      <c r="BI130" s="1558"/>
      <c r="BJ130" s="1558"/>
      <c r="BK130" s="1558"/>
      <c r="BL130" s="1558"/>
      <c r="BM130" s="1558"/>
      <c r="BN130" s="1558"/>
      <c r="BO130" s="1558"/>
      <c r="BP130" s="1558"/>
      <c r="BQ130" s="1558"/>
      <c r="BR130" s="1558"/>
      <c r="BS130" s="1558"/>
      <c r="BT130" s="1558"/>
      <c r="BU130" s="1558"/>
      <c r="BV130" s="1082"/>
      <c r="BW130" s="1082"/>
      <c r="BX130" s="1082"/>
      <c r="BY130" s="1082"/>
      <c r="BZ130" s="1082"/>
      <c r="CA130" s="1082"/>
      <c r="CB130" s="1082"/>
      <c r="CC130" s="1082"/>
      <c r="CD130" s="1082"/>
      <c r="CE130" s="1082"/>
    </row>
    <row r="131" spans="1:83" s="1739" customFormat="1" ht="11.25" hidden="1" customHeight="1">
      <c r="A131" s="1685"/>
      <c r="B131" s="1558"/>
      <c r="C131" s="1558"/>
      <c r="D131" s="4010"/>
      <c r="E131" s="569"/>
      <c r="F131" s="569">
        <v>0</v>
      </c>
      <c r="G131" s="569"/>
      <c r="H131" s="569"/>
      <c r="I131" s="569"/>
      <c r="J131" s="569"/>
      <c r="K131" s="569"/>
      <c r="L131" s="569"/>
      <c r="M131" s="569"/>
      <c r="N131" s="569"/>
      <c r="O131" s="569"/>
      <c r="P131" s="569"/>
      <c r="Q131" s="569"/>
      <c r="R131" s="569"/>
      <c r="S131" s="570"/>
      <c r="T131" s="652"/>
      <c r="U131" s="3736"/>
      <c r="V131" s="3736"/>
      <c r="W131" s="1558"/>
      <c r="X131" s="1558"/>
      <c r="Y131" s="1558"/>
      <c r="Z131" s="1558"/>
      <c r="AA131" s="1558"/>
      <c r="AB131" s="1082"/>
      <c r="AC131" s="3830"/>
      <c r="AD131" s="563"/>
      <c r="AE131" s="1082"/>
      <c r="AF131" s="1082"/>
      <c r="AG131" s="1558"/>
      <c r="AH131" s="1558"/>
      <c r="AI131" s="1558"/>
      <c r="AJ131" s="1558"/>
      <c r="AK131" s="1558"/>
      <c r="AL131" s="1558"/>
      <c r="AM131" s="1558"/>
      <c r="AN131" s="1558"/>
      <c r="AO131" s="1558"/>
      <c r="AP131" s="1558"/>
      <c r="AQ131" s="1558"/>
      <c r="AR131" s="1558"/>
      <c r="AS131" s="1558"/>
      <c r="AT131" s="1558"/>
      <c r="AU131" s="1558"/>
      <c r="AV131" s="1558"/>
      <c r="AW131" s="1558"/>
      <c r="AX131" s="1558"/>
      <c r="AY131" s="1558"/>
      <c r="AZ131" s="1558"/>
      <c r="BA131" s="1558"/>
      <c r="BB131" s="1558"/>
      <c r="BC131" s="1558"/>
      <c r="BD131" s="1558"/>
      <c r="BE131" s="1558"/>
      <c r="BF131" s="1558"/>
      <c r="BG131" s="1558"/>
      <c r="BH131" s="1558"/>
      <c r="BI131" s="1558"/>
      <c r="BJ131" s="1558"/>
      <c r="BK131" s="1558"/>
      <c r="BL131" s="1558"/>
      <c r="BM131" s="1558"/>
      <c r="BN131" s="1558"/>
      <c r="BO131" s="1558"/>
      <c r="BP131" s="1558"/>
      <c r="BQ131" s="1558"/>
      <c r="BR131" s="1558"/>
      <c r="BS131" s="1558"/>
      <c r="BT131" s="1558"/>
      <c r="BU131" s="1558"/>
      <c r="BV131" s="1558"/>
      <c r="BW131" s="1558"/>
      <c r="BX131" s="1558"/>
      <c r="BY131" s="1558"/>
      <c r="BZ131" s="1558"/>
      <c r="CA131" s="1558"/>
      <c r="CB131" s="1558"/>
      <c r="CC131" s="1558"/>
      <c r="CD131" s="1558"/>
      <c r="CE131" s="1558"/>
    </row>
    <row r="132" spans="1:83" s="1739" customFormat="1" ht="11.25" customHeight="1">
      <c r="A132" s="1698"/>
      <c r="B132" s="1082"/>
      <c r="C132" s="346"/>
      <c r="D132" s="4010"/>
      <c r="E132" s="583" t="s">
        <v>9</v>
      </c>
      <c r="F132" s="1090" t="s">
        <v>9</v>
      </c>
      <c r="G132" s="1090" t="s">
        <v>2424</v>
      </c>
      <c r="H132" s="585" t="s">
        <v>9</v>
      </c>
      <c r="I132" s="585"/>
      <c r="J132" s="585"/>
      <c r="K132" s="585"/>
      <c r="L132" s="585"/>
      <c r="M132" s="585"/>
      <c r="N132" s="585"/>
      <c r="O132" s="585"/>
      <c r="P132" s="585"/>
      <c r="Q132" s="585"/>
      <c r="R132" s="586"/>
      <c r="S132" s="587"/>
      <c r="T132" s="652"/>
      <c r="U132" s="3736"/>
      <c r="V132" s="3736"/>
      <c r="W132" s="1082"/>
      <c r="X132" s="1082"/>
      <c r="Y132" s="1082"/>
      <c r="Z132" s="1082"/>
      <c r="AA132" s="1558"/>
      <c r="AB132" s="1082"/>
      <c r="AC132" s="3830"/>
      <c r="AD132" s="563"/>
      <c r="AE132" s="1082"/>
      <c r="AF132" s="1082"/>
      <c r="AG132" s="1558"/>
      <c r="AH132" s="1558"/>
      <c r="AI132" s="1558"/>
      <c r="AJ132" s="1558"/>
      <c r="AK132" s="1558"/>
      <c r="AL132" s="1558"/>
      <c r="AM132" s="1558"/>
      <c r="AN132" s="1558"/>
      <c r="AO132" s="1558"/>
      <c r="AP132" s="1558"/>
      <c r="AQ132" s="1558"/>
      <c r="AR132" s="1558"/>
      <c r="AS132" s="1558"/>
      <c r="AT132" s="1558"/>
      <c r="AU132" s="1558"/>
      <c r="AV132" s="1558"/>
      <c r="AW132" s="1558"/>
      <c r="AX132" s="1558"/>
      <c r="AY132" s="1558"/>
      <c r="AZ132" s="1558"/>
      <c r="BA132" s="1558"/>
      <c r="BB132" s="1558"/>
      <c r="BC132" s="1558"/>
      <c r="BD132" s="1558"/>
      <c r="BE132" s="1558"/>
      <c r="BF132" s="1558"/>
      <c r="BG132" s="1558"/>
      <c r="BH132" s="1558"/>
      <c r="BI132" s="1558"/>
      <c r="BJ132" s="1558"/>
      <c r="BK132" s="1558"/>
      <c r="BL132" s="1558"/>
      <c r="BM132" s="1558"/>
      <c r="BN132" s="1558"/>
      <c r="BO132" s="1558"/>
      <c r="BP132" s="1558"/>
      <c r="BQ132" s="1558"/>
      <c r="BR132" s="1558"/>
      <c r="BS132" s="1558"/>
      <c r="BT132" s="1558"/>
      <c r="BU132" s="1558"/>
      <c r="BV132" s="1082"/>
      <c r="BW132" s="1082"/>
      <c r="BX132" s="1082"/>
      <c r="BY132" s="1082"/>
      <c r="BZ132" s="1082"/>
      <c r="CA132" s="1082"/>
      <c r="CB132" s="1082"/>
      <c r="CC132" s="1082"/>
      <c r="CD132" s="1082"/>
      <c r="CE132" s="1082"/>
    </row>
    <row r="133" spans="1:83" s="1238" customFormat="1" ht="5.25" hidden="1" customHeight="1">
      <c r="A133" s="1685"/>
      <c r="B133" s="1558"/>
      <c r="C133" s="1558"/>
      <c r="D133" s="4010"/>
      <c r="E133" s="965"/>
      <c r="F133" s="965"/>
      <c r="G133" s="965"/>
      <c r="H133" s="965"/>
      <c r="I133" s="965"/>
      <c r="J133" s="965"/>
      <c r="K133" s="965"/>
      <c r="L133" s="965"/>
      <c r="M133" s="965"/>
      <c r="N133" s="965"/>
      <c r="O133" s="965"/>
      <c r="P133" s="965"/>
      <c r="Q133" s="966"/>
      <c r="R133" s="967"/>
      <c r="S133" s="968"/>
      <c r="T133" s="651" t="s">
        <v>933</v>
      </c>
      <c r="U133" s="3736">
        <v>1</v>
      </c>
      <c r="V133" s="3736" t="s">
        <v>624</v>
      </c>
      <c r="W133" s="1558"/>
      <c r="X133" s="1558"/>
      <c r="Y133" s="1558"/>
      <c r="Z133" s="1558"/>
      <c r="AA133" s="1558"/>
      <c r="AB133" s="1558"/>
      <c r="AC133" s="963"/>
      <c r="AD133" s="964"/>
      <c r="AE133" s="1558"/>
      <c r="AF133" s="1558"/>
      <c r="AG133" s="1558"/>
      <c r="AH133" s="1558"/>
      <c r="AI133" s="1558"/>
      <c r="AJ133" s="1558"/>
      <c r="AK133" s="1558"/>
      <c r="AL133" s="1558"/>
      <c r="AM133" s="1558"/>
      <c r="AN133" s="1558"/>
      <c r="AO133" s="1558"/>
      <c r="AP133" s="1558"/>
      <c r="AQ133" s="1558"/>
      <c r="AR133" s="1558"/>
      <c r="AS133" s="1558"/>
      <c r="AT133" s="1558"/>
      <c r="AU133" s="1558"/>
      <c r="AV133" s="1558"/>
      <c r="AW133" s="1558"/>
      <c r="AX133" s="1558"/>
      <c r="AY133" s="1558"/>
      <c r="AZ133" s="1558"/>
      <c r="BA133" s="1558"/>
      <c r="BB133" s="1558"/>
      <c r="BC133" s="1558"/>
      <c r="BD133" s="1558"/>
      <c r="BE133" s="1558"/>
      <c r="BF133" s="1558"/>
      <c r="BG133" s="1558"/>
      <c r="BH133" s="1558"/>
      <c r="BI133" s="1558"/>
      <c r="BJ133" s="1558"/>
      <c r="BK133" s="1558"/>
      <c r="BL133" s="1558"/>
      <c r="BM133" s="1558"/>
      <c r="BN133" s="1558"/>
      <c r="BO133" s="1558"/>
      <c r="BP133" s="1558"/>
      <c r="BQ133" s="1558"/>
      <c r="BR133" s="1558"/>
      <c r="BS133" s="1558"/>
      <c r="BT133" s="1558"/>
      <c r="BU133" s="1558"/>
      <c r="BV133" s="1558"/>
      <c r="BW133" s="1558"/>
      <c r="BX133" s="1558"/>
      <c r="BY133" s="1558"/>
      <c r="BZ133" s="1558"/>
      <c r="CA133" s="1558"/>
      <c r="CB133" s="1558"/>
      <c r="CC133" s="1558"/>
      <c r="CD133" s="1558"/>
      <c r="CE133" s="1558"/>
    </row>
    <row r="134" spans="1:83" s="1238" customFormat="1" ht="5.25" hidden="1" customHeight="1">
      <c r="A134" s="1685"/>
      <c r="B134" s="1558"/>
      <c r="C134" s="1558"/>
      <c r="D134" s="4010"/>
      <c r="E134" s="569"/>
      <c r="F134" s="569"/>
      <c r="G134" s="569"/>
      <c r="H134" s="569"/>
      <c r="I134" s="569"/>
      <c r="J134" s="569"/>
      <c r="K134" s="569"/>
      <c r="L134" s="569"/>
      <c r="M134" s="569"/>
      <c r="N134" s="569"/>
      <c r="O134" s="569"/>
      <c r="P134" s="569"/>
      <c r="Q134" s="569"/>
      <c r="R134" s="569"/>
      <c r="S134" s="570"/>
      <c r="T134" s="652"/>
      <c r="U134" s="3736"/>
      <c r="V134" s="3736"/>
      <c r="W134" s="1558"/>
      <c r="X134" s="1558"/>
      <c r="Y134" s="1558"/>
      <c r="Z134" s="1558"/>
      <c r="AA134" s="1558"/>
      <c r="AB134" s="1558"/>
      <c r="AC134" s="963"/>
      <c r="AD134" s="964"/>
      <c r="AE134" s="1558"/>
      <c r="AF134" s="1558"/>
      <c r="AG134" s="1558"/>
      <c r="AH134" s="1558"/>
      <c r="AI134" s="1558"/>
      <c r="AJ134" s="1558"/>
      <c r="AK134" s="1558"/>
      <c r="AL134" s="1558"/>
      <c r="AM134" s="1558"/>
      <c r="AN134" s="1558"/>
      <c r="AO134" s="1558"/>
      <c r="AP134" s="1558"/>
      <c r="AQ134" s="1558"/>
      <c r="AR134" s="1558"/>
      <c r="AS134" s="1558"/>
      <c r="AT134" s="1558"/>
      <c r="AU134" s="1558"/>
      <c r="AV134" s="1558"/>
      <c r="AW134" s="1558"/>
      <c r="AX134" s="1558"/>
      <c r="AY134" s="1558"/>
      <c r="AZ134" s="1558"/>
      <c r="BA134" s="1558"/>
      <c r="BB134" s="1558"/>
      <c r="BC134" s="1558"/>
      <c r="BD134" s="1558"/>
      <c r="BE134" s="1558"/>
      <c r="BF134" s="1558"/>
      <c r="BG134" s="1558"/>
      <c r="BH134" s="1558"/>
      <c r="BI134" s="1558"/>
      <c r="BJ134" s="1558"/>
      <c r="BK134" s="1558"/>
      <c r="BL134" s="1558"/>
      <c r="BM134" s="1558"/>
      <c r="BN134" s="1558"/>
      <c r="BO134" s="1558"/>
      <c r="BP134" s="1558"/>
      <c r="BQ134" s="1558"/>
      <c r="BR134" s="1558"/>
      <c r="BS134" s="1558"/>
      <c r="BT134" s="1558"/>
      <c r="BU134" s="1558"/>
      <c r="BV134" s="1558"/>
      <c r="BW134" s="1558"/>
      <c r="BX134" s="1558"/>
      <c r="BY134" s="1558"/>
      <c r="BZ134" s="1558"/>
      <c r="CA134" s="1558"/>
      <c r="CB134" s="1558"/>
      <c r="CC134" s="1558"/>
      <c r="CD134" s="1558"/>
      <c r="CE134" s="1558"/>
    </row>
    <row r="135" spans="1:83" s="1238" customFormat="1" ht="5.25" hidden="1" customHeight="1">
      <c r="A135" s="1685"/>
      <c r="B135" s="1558"/>
      <c r="C135" s="1558"/>
      <c r="D135" s="4011"/>
      <c r="E135" s="969"/>
      <c r="F135" s="970"/>
      <c r="G135" s="970"/>
      <c r="H135" s="971"/>
      <c r="I135" s="971"/>
      <c r="J135" s="971"/>
      <c r="K135" s="971"/>
      <c r="L135" s="971"/>
      <c r="M135" s="971"/>
      <c r="N135" s="971"/>
      <c r="O135" s="971"/>
      <c r="P135" s="971"/>
      <c r="Q135" s="971"/>
      <c r="R135" s="873"/>
      <c r="S135" s="972"/>
      <c r="T135" s="652"/>
      <c r="U135" s="3736"/>
      <c r="V135" s="3736"/>
      <c r="W135" s="1558"/>
      <c r="X135" s="1558"/>
      <c r="Y135" s="1558"/>
      <c r="Z135" s="1558"/>
      <c r="AA135" s="1558"/>
      <c r="AB135" s="1558"/>
      <c r="AC135" s="963"/>
      <c r="AD135" s="964"/>
      <c r="AE135" s="1558"/>
      <c r="AF135" s="1558"/>
      <c r="AG135" s="1558"/>
      <c r="AH135" s="1558"/>
      <c r="AI135" s="1558"/>
      <c r="AJ135" s="1558"/>
      <c r="AK135" s="1558"/>
      <c r="AL135" s="1558"/>
      <c r="AM135" s="1558"/>
      <c r="AN135" s="1558"/>
      <c r="AO135" s="1558"/>
      <c r="AP135" s="1558"/>
      <c r="AQ135" s="1558"/>
      <c r="AR135" s="1558"/>
      <c r="AS135" s="1558"/>
      <c r="AT135" s="1558"/>
      <c r="AU135" s="1558"/>
      <c r="AV135" s="1558"/>
      <c r="AW135" s="1558"/>
      <c r="AX135" s="1558"/>
      <c r="AY135" s="1558"/>
      <c r="AZ135" s="1558"/>
      <c r="BA135" s="1558"/>
      <c r="BB135" s="1558"/>
      <c r="BC135" s="1558"/>
      <c r="BD135" s="1558"/>
      <c r="BE135" s="1558"/>
      <c r="BF135" s="1558"/>
      <c r="BG135" s="1558"/>
      <c r="BH135" s="1558"/>
      <c r="BI135" s="1558"/>
      <c r="BJ135" s="1558"/>
      <c r="BK135" s="1558"/>
      <c r="BL135" s="1558"/>
      <c r="BM135" s="1558"/>
      <c r="BN135" s="1558"/>
      <c r="BO135" s="1558"/>
      <c r="BP135" s="1558"/>
      <c r="BQ135" s="1558"/>
      <c r="BR135" s="1558"/>
      <c r="BS135" s="1558"/>
      <c r="BT135" s="1558"/>
      <c r="BU135" s="1558"/>
      <c r="BV135" s="1558"/>
      <c r="BW135" s="1558"/>
      <c r="BX135" s="1558"/>
      <c r="BY135" s="1558"/>
      <c r="BZ135" s="1558"/>
      <c r="CA135" s="1558"/>
      <c r="CB135" s="1558"/>
      <c r="CC135" s="1558"/>
      <c r="CD135" s="1558"/>
      <c r="CE135" s="1558"/>
    </row>
    <row r="136" spans="1:83" ht="17.25" customHeight="1">
      <c r="D136" s="1725"/>
    </row>
    <row r="137" spans="1:83" s="1707" customFormat="1" ht="11.25" customHeight="1">
      <c r="A137" s="1707" t="s">
        <v>2426</v>
      </c>
    </row>
    <row r="139" spans="1:83" s="1739" customFormat="1" ht="45" customHeight="1">
      <c r="A139" s="1698"/>
      <c r="B139" s="1082"/>
      <c r="C139" s="346"/>
      <c r="D139" s="28"/>
      <c r="E139" s="4004"/>
      <c r="F139" s="3600" t="s">
        <v>164</v>
      </c>
      <c r="G139" s="4007" t="s">
        <v>9</v>
      </c>
      <c r="H139" s="224"/>
      <c r="I139" s="571" t="s">
        <v>164</v>
      </c>
      <c r="J139" s="1699" t="s">
        <v>2427</v>
      </c>
      <c r="K139" s="572" t="s">
        <v>589</v>
      </c>
      <c r="L139" s="3710" t="s">
        <v>589</v>
      </c>
      <c r="M139" s="3646"/>
      <c r="N139" s="572" t="s">
        <v>589</v>
      </c>
      <c r="O139" s="572" t="s">
        <v>589</v>
      </c>
      <c r="P139" s="572" t="s">
        <v>589</v>
      </c>
      <c r="Q139" s="573">
        <f>SUM(Q140:Q142)</f>
        <v>0</v>
      </c>
      <c r="R139" s="573">
        <f>IF(R136=0,0,(Q136/R136)*100)</f>
        <v>0</v>
      </c>
      <c r="S139" s="3670"/>
      <c r="T139" s="651" t="s">
        <v>933</v>
      </c>
      <c r="U139" s="28"/>
      <c r="V139" s="28"/>
      <c r="AC139" s="28"/>
    </row>
    <row r="140" spans="1:83" s="1739" customFormat="1" ht="11.25" customHeight="1">
      <c r="A140" s="1698"/>
      <c r="B140" s="1082"/>
      <c r="C140" s="346"/>
      <c r="D140" s="28"/>
      <c r="E140" s="4005"/>
      <c r="F140" s="3600"/>
      <c r="G140" s="4007"/>
      <c r="H140" s="3618"/>
      <c r="I140" s="3885" t="s">
        <v>1540</v>
      </c>
      <c r="J140" s="4002"/>
      <c r="K140" s="4003"/>
      <c r="L140" s="574"/>
      <c r="M140" s="575" t="s">
        <v>164</v>
      </c>
      <c r="N140" s="1687"/>
      <c r="O140" s="576"/>
      <c r="P140" s="577"/>
      <c r="Q140" s="576"/>
      <c r="R140" s="578">
        <v>0</v>
      </c>
      <c r="S140" s="3670"/>
      <c r="T140" s="651"/>
      <c r="U140" s="28"/>
      <c r="V140" s="28"/>
      <c r="AC140" s="28"/>
    </row>
    <row r="141" spans="1:83" s="1739" customFormat="1" ht="11.25" customHeight="1">
      <c r="A141" s="1698"/>
      <c r="B141" s="1082"/>
      <c r="C141" s="346"/>
      <c r="D141" s="28"/>
      <c r="E141" s="4005"/>
      <c r="F141" s="3600"/>
      <c r="G141" s="4007"/>
      <c r="H141" s="3618"/>
      <c r="I141" s="3885"/>
      <c r="J141" s="4002"/>
      <c r="K141" s="3978"/>
      <c r="L141" s="579"/>
      <c r="M141" s="580"/>
      <c r="N141" s="581" t="s">
        <v>2428</v>
      </c>
      <c r="O141" s="581"/>
      <c r="P141" s="581"/>
      <c r="Q141" s="581"/>
      <c r="R141" s="582"/>
      <c r="S141" s="3670"/>
      <c r="T141" s="651"/>
      <c r="U141" s="28"/>
      <c r="V141" s="28"/>
      <c r="AC141" s="28"/>
    </row>
    <row r="142" spans="1:83" s="1739" customFormat="1" ht="11.25" customHeight="1">
      <c r="A142" s="1698"/>
      <c r="B142" s="1082"/>
      <c r="C142" s="346"/>
      <c r="D142" s="28"/>
      <c r="E142" s="4006"/>
      <c r="F142" s="3600"/>
      <c r="G142" s="4008"/>
      <c r="H142" s="579" t="s">
        <v>9</v>
      </c>
      <c r="I142" s="580"/>
      <c r="J142" s="581" t="s">
        <v>2429</v>
      </c>
      <c r="K142" s="581"/>
      <c r="L142" s="581"/>
      <c r="M142" s="581"/>
      <c r="N142" s="581"/>
      <c r="O142" s="581"/>
      <c r="P142" s="581"/>
      <c r="Q142" s="581"/>
      <c r="R142" s="582"/>
      <c r="S142" s="3670"/>
      <c r="T142" s="651"/>
      <c r="U142" s="28"/>
      <c r="V142" s="28"/>
      <c r="AC142" s="28"/>
    </row>
    <row r="147" spans="1:43" s="1739" customFormat="1" ht="11.25" customHeight="1">
      <c r="A147" s="1698"/>
      <c r="B147" s="1082"/>
      <c r="C147" s="346"/>
      <c r="D147" s="28"/>
      <c r="E147" s="1721"/>
      <c r="F147" s="1721"/>
      <c r="G147" s="1721"/>
      <c r="H147" s="3618"/>
      <c r="I147" s="3885" t="s">
        <v>1540</v>
      </c>
      <c r="J147" s="4002"/>
      <c r="K147" s="4003"/>
      <c r="L147" s="574"/>
      <c r="M147" s="575" t="s">
        <v>164</v>
      </c>
      <c r="N147" s="1687"/>
      <c r="O147" s="576"/>
      <c r="P147" s="577"/>
      <c r="Q147" s="576"/>
      <c r="R147" s="578">
        <v>0</v>
      </c>
      <c r="S147" s="28"/>
      <c r="T147" s="651"/>
      <c r="U147" s="28"/>
      <c r="V147" s="28"/>
      <c r="AC147" s="28"/>
    </row>
    <row r="148" spans="1:43" s="1739" customFormat="1" ht="11.25" customHeight="1">
      <c r="A148" s="1698"/>
      <c r="B148" s="1082"/>
      <c r="C148" s="346"/>
      <c r="D148" s="28"/>
      <c r="E148" s="1721"/>
      <c r="F148" s="1721"/>
      <c r="G148" s="1721"/>
      <c r="H148" s="3618"/>
      <c r="I148" s="3885"/>
      <c r="J148" s="4002"/>
      <c r="K148" s="3978"/>
      <c r="L148" s="579"/>
      <c r="M148" s="580"/>
      <c r="N148" s="581" t="s">
        <v>2428</v>
      </c>
      <c r="O148" s="581"/>
      <c r="P148" s="581"/>
      <c r="Q148" s="581"/>
      <c r="R148" s="582"/>
      <c r="S148" s="28"/>
      <c r="T148" s="651"/>
      <c r="U148" s="28"/>
      <c r="V148" s="28"/>
      <c r="AC148" s="28"/>
    </row>
    <row r="150" spans="1:43" s="1739" customFormat="1" ht="11.25" customHeight="1">
      <c r="A150" s="1698"/>
      <c r="B150" s="1082"/>
      <c r="C150" s="346"/>
      <c r="D150" s="28"/>
      <c r="E150" s="1726"/>
      <c r="F150" s="1724"/>
      <c r="G150" s="1724"/>
      <c r="H150" s="1727"/>
      <c r="I150" s="1721"/>
      <c r="J150" s="1722"/>
      <c r="K150" s="1722"/>
      <c r="L150" s="574"/>
      <c r="M150" s="575" t="s">
        <v>164</v>
      </c>
      <c r="N150" s="1687"/>
      <c r="O150" s="576"/>
      <c r="P150" s="577"/>
      <c r="Q150" s="576"/>
      <c r="R150" s="578">
        <v>0</v>
      </c>
      <c r="S150" s="28"/>
      <c r="T150" s="651"/>
      <c r="U150" s="28"/>
      <c r="V150" s="28"/>
      <c r="AC150" s="28"/>
    </row>
    <row r="152" spans="1:43" s="1707" customFormat="1" ht="17.25" customHeight="1">
      <c r="A152" s="1707" t="s">
        <v>2430</v>
      </c>
    </row>
    <row r="153" spans="1:43" ht="17.25" customHeight="1">
      <c r="G153" s="1728"/>
      <c r="H153" s="1728"/>
      <c r="I153" s="1728"/>
      <c r="M153" s="1724"/>
    </row>
    <row r="154" spans="1:43" s="1742" customFormat="1" ht="17.25" customHeight="1">
      <c r="A154" s="1729"/>
      <c r="C154" s="1731"/>
      <c r="D154" s="3992"/>
      <c r="E154" s="3634"/>
      <c r="F154" s="3636"/>
      <c r="G154" s="3993"/>
      <c r="H154" s="3992"/>
      <c r="I154" s="3992">
        <v>1</v>
      </c>
      <c r="J154" s="3977"/>
      <c r="K154" s="3676" t="s">
        <v>50</v>
      </c>
      <c r="L154" s="3600"/>
      <c r="M154" s="3600" t="s">
        <v>164</v>
      </c>
      <c r="N154" s="3979" t="str">
        <f>IF(Z154="","",INDEX(TERRITORY_MR_LIST,MATCH(Z154,TERRITORY_LIST_ID,0)))</f>
        <v/>
      </c>
      <c r="O154" s="3676" t="s">
        <v>50</v>
      </c>
      <c r="P154" s="3600"/>
      <c r="Q154" s="3600" t="s">
        <v>164</v>
      </c>
      <c r="R154" s="3978" t="s">
        <v>9</v>
      </c>
      <c r="S154" s="3599" t="s">
        <v>50</v>
      </c>
      <c r="T154" s="1703"/>
      <c r="U154" s="1703" t="s">
        <v>164</v>
      </c>
      <c r="V154" s="1732" t="s">
        <v>9</v>
      </c>
      <c r="W154" s="1693"/>
      <c r="Y154" s="1189"/>
      <c r="Z154" s="1189"/>
      <c r="AA154" s="1189"/>
      <c r="AB154" s="1189"/>
      <c r="AC154" s="1189"/>
      <c r="AD154" s="1189"/>
      <c r="AE154" s="1189"/>
      <c r="AF154" s="1189"/>
      <c r="AG154" s="1189"/>
      <c r="AH154" s="1189"/>
      <c r="AI154" s="1189"/>
      <c r="AJ154" s="1189"/>
      <c r="AK154" s="1189"/>
      <c r="AL154" s="1733"/>
      <c r="AM154" s="1733"/>
      <c r="AN154" s="1189"/>
      <c r="AO154" s="1189"/>
      <c r="AP154" s="1189"/>
      <c r="AQ154" s="1189"/>
    </row>
    <row r="155" spans="1:43" s="1742" customFormat="1" ht="17.25" customHeight="1">
      <c r="A155" s="1729"/>
      <c r="C155" s="1734"/>
      <c r="D155" s="3992"/>
      <c r="E155" s="3634"/>
      <c r="F155" s="3637"/>
      <c r="G155" s="3993"/>
      <c r="H155" s="3992"/>
      <c r="I155" s="3992"/>
      <c r="J155" s="3977"/>
      <c r="K155" s="3677"/>
      <c r="L155" s="3600"/>
      <c r="M155" s="3600"/>
      <c r="N155" s="3979"/>
      <c r="O155" s="3677"/>
      <c r="P155" s="3600"/>
      <c r="Q155" s="3600"/>
      <c r="R155" s="3978"/>
      <c r="S155" s="3599"/>
      <c r="T155" s="252"/>
      <c r="U155" s="253"/>
      <c r="V155" s="253" t="s">
        <v>459</v>
      </c>
      <c r="W155" s="254"/>
      <c r="Y155" s="1181"/>
      <c r="Z155" s="1181"/>
      <c r="AA155" s="1181"/>
      <c r="AB155" s="1181"/>
      <c r="AC155" s="1181"/>
      <c r="AD155" s="1181"/>
      <c r="AE155" s="1181"/>
      <c r="AF155" s="1181"/>
      <c r="AG155" s="1181"/>
      <c r="AH155" s="1181"/>
      <c r="AI155" s="1181"/>
      <c r="AJ155" s="1181"/>
      <c r="AK155" s="1181"/>
    </row>
    <row r="156" spans="1:43" s="1742" customFormat="1" ht="17.25" customHeight="1">
      <c r="A156" s="1729"/>
      <c r="C156" s="1734"/>
      <c r="D156" s="3627"/>
      <c r="E156" s="3635"/>
      <c r="F156" s="3637"/>
      <c r="G156" s="3994"/>
      <c r="H156" s="3627"/>
      <c r="I156" s="3627"/>
      <c r="J156" s="3995"/>
      <c r="K156" s="3677"/>
      <c r="L156" s="3627"/>
      <c r="M156" s="3627"/>
      <c r="N156" s="3980"/>
      <c r="O156" s="3604"/>
      <c r="P156" s="252"/>
      <c r="Q156" s="253"/>
      <c r="R156" s="253" t="s">
        <v>460</v>
      </c>
      <c r="S156" s="1735"/>
      <c r="T156" s="1735"/>
      <c r="U156" s="1735"/>
      <c r="V156" s="1735"/>
      <c r="W156" s="254"/>
      <c r="Y156" s="1181"/>
      <c r="Z156" s="1181"/>
      <c r="AA156" s="1181"/>
      <c r="AB156" s="1181"/>
      <c r="AC156" s="1181"/>
      <c r="AD156" s="1181"/>
      <c r="AE156" s="1181"/>
      <c r="AF156" s="1181"/>
      <c r="AG156" s="1181"/>
      <c r="AH156" s="1181"/>
      <c r="AI156" s="1181"/>
      <c r="AJ156" s="1181"/>
      <c r="AK156" s="1181"/>
    </row>
    <row r="157" spans="1:43" s="1742" customFormat="1" ht="17.25" customHeight="1">
      <c r="A157" s="1729"/>
      <c r="C157" s="1734"/>
      <c r="D157" s="3627"/>
      <c r="E157" s="3635"/>
      <c r="F157" s="3637"/>
      <c r="G157" s="3994"/>
      <c r="H157" s="3627"/>
      <c r="I157" s="3627"/>
      <c r="J157" s="3995"/>
      <c r="K157" s="3604"/>
      <c r="L157" s="252"/>
      <c r="M157" s="253"/>
      <c r="N157" s="253" t="s">
        <v>461</v>
      </c>
      <c r="O157" s="253"/>
      <c r="P157" s="253"/>
      <c r="Q157" s="253"/>
      <c r="R157" s="253"/>
      <c r="S157" s="1735"/>
      <c r="T157" s="1735"/>
      <c r="U157" s="1735"/>
      <c r="V157" s="1735"/>
      <c r="W157" s="254"/>
      <c r="Y157" s="1181"/>
      <c r="Z157" s="1181"/>
      <c r="AA157" s="1181"/>
      <c r="AB157" s="1181"/>
      <c r="AC157" s="1181"/>
      <c r="AD157" s="1181"/>
      <c r="AE157" s="1181"/>
      <c r="AF157" s="1181"/>
      <c r="AG157" s="1181"/>
      <c r="AH157" s="1181"/>
      <c r="AI157" s="1181"/>
      <c r="AJ157" s="1181"/>
      <c r="AK157" s="1181"/>
    </row>
    <row r="158" spans="1:43" s="1742" customFormat="1" ht="17.25" customHeight="1">
      <c r="A158" s="1729"/>
      <c r="C158" s="1734"/>
      <c r="D158" s="3627"/>
      <c r="E158" s="3635"/>
      <c r="F158" s="3638"/>
      <c r="G158" s="3994"/>
      <c r="H158" s="252"/>
      <c r="I158" s="253"/>
      <c r="J158" s="253" t="s">
        <v>489</v>
      </c>
      <c r="K158" s="253"/>
      <c r="L158" s="253"/>
      <c r="M158" s="253"/>
      <c r="N158" s="253"/>
      <c r="O158" s="253"/>
      <c r="P158" s="253"/>
      <c r="Q158" s="253"/>
      <c r="R158" s="253"/>
      <c r="S158" s="1735"/>
      <c r="T158" s="1735"/>
      <c r="U158" s="1735"/>
      <c r="V158" s="1735"/>
      <c r="W158" s="254"/>
      <c r="Y158" s="1181"/>
      <c r="Z158" s="1181"/>
      <c r="AA158" s="1181"/>
      <c r="AB158" s="1181"/>
      <c r="AC158" s="1181"/>
      <c r="AD158" s="1181"/>
      <c r="AE158" s="1181"/>
      <c r="AF158" s="1181"/>
      <c r="AG158" s="1181"/>
      <c r="AH158" s="1181"/>
      <c r="AI158" s="1181"/>
      <c r="AJ158" s="1181"/>
      <c r="AK158" s="1181"/>
    </row>
    <row r="159" spans="1:43" ht="17.25" customHeight="1">
      <c r="G159" s="1728"/>
      <c r="H159" s="1728"/>
      <c r="I159" s="1728"/>
      <c r="M159" s="1724"/>
    </row>
    <row r="160" spans="1:43" s="1742" customFormat="1" ht="17.25" customHeight="1">
      <c r="A160" s="1729"/>
      <c r="C160" s="1731"/>
      <c r="D160" s="1721"/>
      <c r="E160" s="1736"/>
      <c r="F160" s="1676"/>
      <c r="G160" s="1737"/>
      <c r="H160" s="3992"/>
      <c r="I160" s="3992">
        <v>1</v>
      </c>
      <c r="J160" s="3977"/>
      <c r="K160" s="3676" t="s">
        <v>50</v>
      </c>
      <c r="L160" s="3600"/>
      <c r="M160" s="3600" t="s">
        <v>164</v>
      </c>
      <c r="N160" s="3979" t="str">
        <f>IF(Z160="","",INDEX(TERRITORY_MR_LIST,MATCH(Z160,TERRITORY_LIST_ID,0)))</f>
        <v/>
      </c>
      <c r="O160" s="3676" t="s">
        <v>50</v>
      </c>
      <c r="P160" s="3600"/>
      <c r="Q160" s="3600" t="s">
        <v>164</v>
      </c>
      <c r="R160" s="3978" t="s">
        <v>9</v>
      </c>
      <c r="S160" s="3599" t="s">
        <v>50</v>
      </c>
      <c r="T160" s="1703"/>
      <c r="U160" s="1703" t="s">
        <v>164</v>
      </c>
      <c r="V160" s="1732" t="s">
        <v>9</v>
      </c>
      <c r="W160" s="1693"/>
      <c r="Y160" s="1189"/>
      <c r="Z160" s="1189"/>
      <c r="AA160" s="1189"/>
      <c r="AB160" s="1189"/>
      <c r="AC160" s="1189"/>
      <c r="AD160" s="1189"/>
      <c r="AE160" s="1189"/>
      <c r="AF160" s="1189"/>
      <c r="AG160" s="1189"/>
      <c r="AH160" s="1189"/>
      <c r="AI160" s="1189"/>
      <c r="AJ160" s="1189"/>
      <c r="AK160" s="1189"/>
      <c r="AL160" s="1733"/>
      <c r="AM160" s="1733"/>
      <c r="AN160" s="1189"/>
      <c r="AO160" s="1189"/>
      <c r="AP160" s="1189"/>
      <c r="AQ160" s="1189"/>
    </row>
    <row r="161" spans="1:43" s="1742" customFormat="1" ht="17.25" customHeight="1">
      <c r="A161" s="1729"/>
      <c r="C161" s="1734"/>
      <c r="D161" s="1721"/>
      <c r="E161" s="1736"/>
      <c r="F161" s="1676"/>
      <c r="G161" s="1737"/>
      <c r="H161" s="3992"/>
      <c r="I161" s="3992"/>
      <c r="J161" s="3977"/>
      <c r="K161" s="3677"/>
      <c r="L161" s="3600"/>
      <c r="M161" s="3600"/>
      <c r="N161" s="3979"/>
      <c r="O161" s="3677"/>
      <c r="P161" s="3600"/>
      <c r="Q161" s="3600"/>
      <c r="R161" s="3978"/>
      <c r="S161" s="3599"/>
      <c r="T161" s="252"/>
      <c r="U161" s="253"/>
      <c r="V161" s="253" t="s">
        <v>459</v>
      </c>
      <c r="W161" s="254"/>
      <c r="Y161" s="1181"/>
      <c r="Z161" s="1181"/>
      <c r="AA161" s="1181"/>
      <c r="AB161" s="1181"/>
      <c r="AC161" s="1181"/>
      <c r="AD161" s="1181"/>
      <c r="AE161" s="1181"/>
      <c r="AF161" s="1181"/>
      <c r="AG161" s="1181"/>
      <c r="AH161" s="1181"/>
      <c r="AI161" s="1181"/>
      <c r="AJ161" s="1181"/>
      <c r="AK161" s="1181"/>
    </row>
    <row r="162" spans="1:43" s="1742" customFormat="1" ht="17.25" customHeight="1">
      <c r="A162" s="1729"/>
      <c r="C162" s="1734"/>
      <c r="D162" s="1721"/>
      <c r="E162" s="1736"/>
      <c r="F162" s="1676"/>
      <c r="G162" s="1737"/>
      <c r="H162" s="3627"/>
      <c r="I162" s="3627"/>
      <c r="J162" s="3995"/>
      <c r="K162" s="3677"/>
      <c r="L162" s="3627"/>
      <c r="M162" s="3627"/>
      <c r="N162" s="3980"/>
      <c r="O162" s="3604"/>
      <c r="P162" s="252"/>
      <c r="Q162" s="253"/>
      <c r="R162" s="253" t="s">
        <v>460</v>
      </c>
      <c r="S162" s="1735"/>
      <c r="T162" s="1735"/>
      <c r="U162" s="1735"/>
      <c r="V162" s="1735"/>
      <c r="W162" s="254"/>
      <c r="Y162" s="1181"/>
      <c r="Z162" s="1181"/>
      <c r="AA162" s="1181"/>
      <c r="AB162" s="1181"/>
      <c r="AC162" s="1181"/>
      <c r="AD162" s="1181"/>
      <c r="AE162" s="1181"/>
      <c r="AF162" s="1181"/>
      <c r="AG162" s="1181"/>
      <c r="AH162" s="1181"/>
      <c r="AI162" s="1181"/>
      <c r="AJ162" s="1181"/>
      <c r="AK162" s="1181"/>
    </row>
    <row r="163" spans="1:43" s="1742" customFormat="1" ht="17.25" customHeight="1">
      <c r="A163" s="1729"/>
      <c r="C163" s="1734"/>
      <c r="D163" s="1721"/>
      <c r="E163" s="1736"/>
      <c r="F163" s="1676"/>
      <c r="G163" s="1737"/>
      <c r="H163" s="3627"/>
      <c r="I163" s="3627"/>
      <c r="J163" s="3995"/>
      <c r="K163" s="3604"/>
      <c r="L163" s="252"/>
      <c r="M163" s="253"/>
      <c r="N163" s="253" t="s">
        <v>461</v>
      </c>
      <c r="O163" s="253"/>
      <c r="P163" s="253"/>
      <c r="Q163" s="253"/>
      <c r="R163" s="253"/>
      <c r="S163" s="1735"/>
      <c r="T163" s="1735"/>
      <c r="U163" s="1735"/>
      <c r="V163" s="1735"/>
      <c r="W163" s="254"/>
      <c r="Y163" s="1181"/>
      <c r="Z163" s="1181"/>
      <c r="AA163" s="1181"/>
      <c r="AB163" s="1181"/>
      <c r="AC163" s="1181"/>
      <c r="AD163" s="1181"/>
      <c r="AE163" s="1181"/>
      <c r="AF163" s="1181"/>
      <c r="AG163" s="1181"/>
      <c r="AH163" s="1181"/>
      <c r="AI163" s="1181"/>
      <c r="AJ163" s="1181"/>
      <c r="AK163" s="1181"/>
    </row>
    <row r="164" spans="1:43" ht="17.25" customHeight="1">
      <c r="G164" s="1728"/>
      <c r="H164" s="1728"/>
      <c r="I164" s="1728"/>
      <c r="M164" s="1724"/>
    </row>
    <row r="165" spans="1:43" s="1742" customFormat="1" ht="17.25" customHeight="1">
      <c r="A165" s="1729"/>
      <c r="C165" s="1731"/>
      <c r="D165" s="1721"/>
      <c r="E165" s="1736"/>
      <c r="F165" s="1676"/>
      <c r="G165" s="1737"/>
      <c r="H165" s="1721"/>
      <c r="I165" s="1721"/>
      <c r="J165" s="1738"/>
      <c r="K165" s="1653"/>
      <c r="L165" s="3600"/>
      <c r="M165" s="3600" t="s">
        <v>164</v>
      </c>
      <c r="N165" s="3979" t="str">
        <f>IF(Z165="","",INDEX(TERRITORY_MR_LIST,MATCH(Z165,TERRITORY_LIST_ID,0)))</f>
        <v/>
      </c>
      <c r="O165" s="3676" t="s">
        <v>50</v>
      </c>
      <c r="P165" s="3600"/>
      <c r="Q165" s="3600" t="s">
        <v>164</v>
      </c>
      <c r="R165" s="3978" t="s">
        <v>9</v>
      </c>
      <c r="S165" s="3599" t="s">
        <v>50</v>
      </c>
      <c r="T165" s="1703"/>
      <c r="U165" s="1703" t="s">
        <v>164</v>
      </c>
      <c r="V165" s="1732" t="s">
        <v>9</v>
      </c>
      <c r="W165" s="1693"/>
      <c r="Y165" s="1189"/>
      <c r="Z165" s="1189"/>
      <c r="AA165" s="1189"/>
      <c r="AB165" s="1189"/>
      <c r="AC165" s="1189"/>
      <c r="AD165" s="1189"/>
      <c r="AE165" s="1189"/>
      <c r="AF165" s="1189"/>
      <c r="AG165" s="1189"/>
      <c r="AH165" s="1189"/>
      <c r="AI165" s="1189"/>
      <c r="AJ165" s="1189"/>
      <c r="AK165" s="1189"/>
      <c r="AL165" s="1733"/>
      <c r="AM165" s="1733"/>
      <c r="AN165" s="1189"/>
      <c r="AO165" s="1189"/>
      <c r="AP165" s="1189"/>
      <c r="AQ165" s="1189"/>
    </row>
    <row r="166" spans="1:43" s="1742" customFormat="1" ht="17.25" customHeight="1">
      <c r="A166" s="1729"/>
      <c r="C166" s="1734"/>
      <c r="D166" s="1721"/>
      <c r="E166" s="1736"/>
      <c r="F166" s="1676"/>
      <c r="G166" s="1737"/>
      <c r="H166" s="1721"/>
      <c r="I166" s="1721"/>
      <c r="J166" s="1738"/>
      <c r="K166" s="1653"/>
      <c r="L166" s="3600"/>
      <c r="M166" s="3600"/>
      <c r="N166" s="3979"/>
      <c r="O166" s="3677"/>
      <c r="P166" s="3600"/>
      <c r="Q166" s="3600"/>
      <c r="R166" s="3978"/>
      <c r="S166" s="3599"/>
      <c r="T166" s="252"/>
      <c r="U166" s="253"/>
      <c r="V166" s="253" t="s">
        <v>459</v>
      </c>
      <c r="W166" s="254"/>
      <c r="Y166" s="1181"/>
      <c r="Z166" s="1181"/>
      <c r="AA166" s="1181"/>
      <c r="AB166" s="1181"/>
      <c r="AC166" s="1181"/>
      <c r="AD166" s="1181"/>
      <c r="AE166" s="1181"/>
      <c r="AF166" s="1181"/>
      <c r="AG166" s="1181"/>
      <c r="AH166" s="1181"/>
      <c r="AI166" s="1181"/>
      <c r="AJ166" s="1181"/>
      <c r="AK166" s="1181"/>
    </row>
    <row r="167" spans="1:43" s="1742" customFormat="1" ht="17.25" customHeight="1">
      <c r="A167" s="1729"/>
      <c r="C167" s="1734"/>
      <c r="D167" s="1721"/>
      <c r="E167" s="1736"/>
      <c r="F167" s="1676"/>
      <c r="G167" s="1737"/>
      <c r="H167" s="1721"/>
      <c r="I167" s="1721"/>
      <c r="J167" s="1738"/>
      <c r="K167" s="1653"/>
      <c r="L167" s="3627"/>
      <c r="M167" s="3627"/>
      <c r="N167" s="3980"/>
      <c r="O167" s="3604"/>
      <c r="P167" s="252"/>
      <c r="Q167" s="253"/>
      <c r="R167" s="253" t="s">
        <v>460</v>
      </c>
      <c r="S167" s="1735"/>
      <c r="T167" s="1735"/>
      <c r="U167" s="1735"/>
      <c r="V167" s="1735"/>
      <c r="W167" s="254"/>
      <c r="Y167" s="1181"/>
      <c r="Z167" s="1181"/>
      <c r="AA167" s="1181"/>
      <c r="AB167" s="1181"/>
      <c r="AC167" s="1181"/>
      <c r="AD167" s="1181"/>
      <c r="AE167" s="1181"/>
      <c r="AF167" s="1181"/>
      <c r="AG167" s="1181"/>
      <c r="AH167" s="1181"/>
      <c r="AI167" s="1181"/>
      <c r="AJ167" s="1181"/>
      <c r="AK167" s="1181"/>
    </row>
    <row r="168" spans="1:43" ht="17.25" customHeight="1">
      <c r="G168" s="1728"/>
      <c r="H168" s="1728"/>
      <c r="I168" s="1728"/>
      <c r="M168" s="1724"/>
    </row>
    <row r="169" spans="1:43" s="1742" customFormat="1" ht="17.25" customHeight="1">
      <c r="A169" s="1729"/>
      <c r="C169" s="1731"/>
      <c r="D169" s="1721"/>
      <c r="E169" s="1736"/>
      <c r="F169" s="1676"/>
      <c r="G169" s="1737"/>
      <c r="H169" s="1721"/>
      <c r="I169" s="1721"/>
      <c r="J169" s="1738"/>
      <c r="K169" s="1653"/>
      <c r="L169" s="1649"/>
      <c r="M169" s="1649"/>
      <c r="N169" s="1934"/>
      <c r="O169" s="1679"/>
      <c r="P169" s="3600"/>
      <c r="Q169" s="3600" t="s">
        <v>164</v>
      </c>
      <c r="R169" s="3978" t="s">
        <v>9</v>
      </c>
      <c r="S169" s="3599" t="s">
        <v>50</v>
      </c>
      <c r="T169" s="1703"/>
      <c r="U169" s="1703" t="s">
        <v>164</v>
      </c>
      <c r="V169" s="1732" t="s">
        <v>9</v>
      </c>
      <c r="W169" s="1693"/>
      <c r="Y169" s="1189"/>
      <c r="Z169" s="1189"/>
      <c r="AA169" s="1189"/>
      <c r="AB169" s="1189"/>
      <c r="AC169" s="1189"/>
      <c r="AD169" s="1189"/>
      <c r="AE169" s="1189"/>
      <c r="AF169" s="1189"/>
      <c r="AG169" s="1189"/>
      <c r="AH169" s="1189"/>
      <c r="AI169" s="1189"/>
      <c r="AJ169" s="1189"/>
      <c r="AK169" s="1189"/>
      <c r="AL169" s="1733"/>
      <c r="AM169" s="1733"/>
      <c r="AN169" s="1189"/>
      <c r="AO169" s="1189"/>
      <c r="AP169" s="1189"/>
      <c r="AQ169" s="1189"/>
    </row>
    <row r="170" spans="1:43" s="1742" customFormat="1" ht="17.25" customHeight="1">
      <c r="A170" s="1729"/>
      <c r="C170" s="1734"/>
      <c r="D170" s="1721"/>
      <c r="E170" s="1736"/>
      <c r="F170" s="1676"/>
      <c r="G170" s="1737"/>
      <c r="H170" s="1721"/>
      <c r="I170" s="1721"/>
      <c r="J170" s="1738"/>
      <c r="K170" s="1653"/>
      <c r="L170" s="1649"/>
      <c r="M170" s="1649"/>
      <c r="N170" s="1934"/>
      <c r="O170" s="1679"/>
      <c r="P170" s="3600"/>
      <c r="Q170" s="3600"/>
      <c r="R170" s="3978"/>
      <c r="S170" s="3599"/>
      <c r="T170" s="252"/>
      <c r="U170" s="253"/>
      <c r="V170" s="253" t="s">
        <v>459</v>
      </c>
      <c r="W170" s="254"/>
      <c r="Y170" s="1181"/>
      <c r="Z170" s="1181"/>
      <c r="AA170" s="1181"/>
      <c r="AB170" s="1181"/>
      <c r="AC170" s="1181"/>
      <c r="AD170" s="1181"/>
      <c r="AE170" s="1181"/>
      <c r="AF170" s="1181"/>
      <c r="AG170" s="1181"/>
      <c r="AH170" s="1181"/>
      <c r="AI170" s="1181"/>
      <c r="AJ170" s="1181"/>
      <c r="AK170" s="1181"/>
    </row>
    <row r="171" spans="1:43" ht="17.25" customHeight="1">
      <c r="G171" s="1728"/>
      <c r="H171" s="1728"/>
      <c r="I171" s="1728"/>
      <c r="M171" s="1724"/>
    </row>
    <row r="172" spans="1:43" s="1742" customFormat="1" ht="17.25" customHeight="1">
      <c r="A172" s="1729"/>
      <c r="C172" s="1731"/>
      <c r="D172" s="1721"/>
      <c r="E172" s="1736"/>
      <c r="F172" s="1676"/>
      <c r="G172" s="1737"/>
      <c r="H172" s="1649"/>
      <c r="I172" s="1649"/>
      <c r="J172" s="1650"/>
      <c r="K172" s="1737"/>
      <c r="L172" s="1649"/>
      <c r="M172" s="1649"/>
      <c r="N172" s="1737"/>
      <c r="O172" s="1737"/>
      <c r="P172" s="1649"/>
      <c r="Q172" s="1649"/>
      <c r="R172" s="1651"/>
      <c r="S172" s="1737"/>
      <c r="T172" s="1703"/>
      <c r="U172" s="1703" t="s">
        <v>164</v>
      </c>
      <c r="V172" s="1732" t="s">
        <v>9</v>
      </c>
      <c r="W172" s="1693"/>
      <c r="Y172" s="1189"/>
      <c r="Z172" s="1189"/>
      <c r="AA172" s="1189"/>
      <c r="AB172" s="1189"/>
      <c r="AC172" s="1189"/>
      <c r="AD172" s="1189"/>
      <c r="AE172" s="1189"/>
      <c r="AF172" s="1189"/>
      <c r="AG172" s="1189"/>
      <c r="AH172" s="1189"/>
      <c r="AI172" s="1189"/>
      <c r="AJ172" s="1189"/>
      <c r="AK172" s="1189"/>
      <c r="AL172" s="1733"/>
      <c r="AM172" s="1733"/>
      <c r="AN172" s="1189"/>
      <c r="AO172" s="1189"/>
      <c r="AP172" s="1189"/>
      <c r="AQ172" s="1189"/>
    </row>
    <row r="174" spans="1:43" s="1707" customFormat="1" ht="17.25" customHeight="1">
      <c r="A174" s="1707" t="s">
        <v>2431</v>
      </c>
    </row>
    <row r="175" spans="1:43" ht="17.25" customHeight="1">
      <c r="G175" s="1728"/>
      <c r="H175" s="1728"/>
      <c r="I175" s="1728"/>
      <c r="M175" s="1724"/>
    </row>
    <row r="176" spans="1:43" s="1742" customFormat="1" ht="17.25" customHeight="1">
      <c r="A176" s="1729"/>
      <c r="C176" s="1731"/>
      <c r="D176" s="3992"/>
      <c r="E176" s="3634"/>
      <c r="F176" s="3636"/>
      <c r="G176" s="3993"/>
      <c r="H176" s="3992"/>
      <c r="I176" s="3992">
        <v>1</v>
      </c>
      <c r="J176" s="3977"/>
      <c r="K176" s="3676" t="s">
        <v>50</v>
      </c>
      <c r="L176" s="3600"/>
      <c r="M176" s="3600" t="s">
        <v>164</v>
      </c>
      <c r="N176" s="3979" t="str">
        <f>IF(Z176="","",INDEX(TERRITORY_MR_LIST,MATCH(Z176,TERRITORY_LIST_ID,0)))</f>
        <v/>
      </c>
      <c r="O176" s="3676" t="s">
        <v>50</v>
      </c>
      <c r="P176" s="3600"/>
      <c r="Q176" s="3600" t="s">
        <v>164</v>
      </c>
      <c r="R176" s="3978" t="s">
        <v>9</v>
      </c>
      <c r="S176" s="3873" t="s">
        <v>6</v>
      </c>
      <c r="T176" s="1694"/>
      <c r="U176" s="1694" t="s">
        <v>164</v>
      </c>
      <c r="V176" s="1356"/>
      <c r="W176" s="3977"/>
      <c r="Y176" s="1189"/>
      <c r="Z176" s="1189"/>
      <c r="AA176" s="1189"/>
      <c r="AB176" s="1189"/>
      <c r="AC176" s="1189"/>
      <c r="AD176" s="1189"/>
      <c r="AE176" s="1189"/>
      <c r="AF176" s="1189"/>
      <c r="AG176" s="1189"/>
      <c r="AH176" s="1189"/>
      <c r="AI176" s="1189"/>
      <c r="AJ176" s="1189"/>
      <c r="AK176" s="1189"/>
      <c r="AL176" s="1733"/>
      <c r="AM176" s="1733"/>
      <c r="AN176" s="1189"/>
      <c r="AO176" s="1189"/>
      <c r="AP176" s="1189"/>
      <c r="AQ176" s="1189"/>
    </row>
    <row r="177" spans="1:43" s="1742" customFormat="1" ht="17.25" customHeight="1">
      <c r="A177" s="1729"/>
      <c r="C177" s="1734"/>
      <c r="D177" s="3992"/>
      <c r="E177" s="3634"/>
      <c r="F177" s="3637"/>
      <c r="G177" s="3993"/>
      <c r="H177" s="3992"/>
      <c r="I177" s="3992"/>
      <c r="J177" s="3977"/>
      <c r="K177" s="3677"/>
      <c r="L177" s="3600"/>
      <c r="M177" s="3600"/>
      <c r="N177" s="3979"/>
      <c r="O177" s="3677"/>
      <c r="P177" s="3600"/>
      <c r="Q177" s="3600"/>
      <c r="R177" s="3978"/>
      <c r="S177" s="3873"/>
      <c r="T177" s="1357"/>
      <c r="U177" s="1358"/>
      <c r="V177" s="1358"/>
      <c r="W177" s="3977"/>
      <c r="Y177" s="1181"/>
      <c r="Z177" s="1181"/>
      <c r="AA177" s="1181"/>
      <c r="AB177" s="1181"/>
      <c r="AC177" s="1181"/>
      <c r="AD177" s="1181"/>
      <c r="AE177" s="1181"/>
      <c r="AF177" s="1181"/>
      <c r="AG177" s="1181"/>
      <c r="AH177" s="1181"/>
      <c r="AI177" s="1181"/>
      <c r="AJ177" s="1181"/>
      <c r="AK177" s="1181"/>
    </row>
    <row r="178" spans="1:43" s="1742" customFormat="1" ht="17.25" customHeight="1">
      <c r="A178" s="1729"/>
      <c r="C178" s="1734"/>
      <c r="D178" s="3627"/>
      <c r="E178" s="3635"/>
      <c r="F178" s="3637"/>
      <c r="G178" s="3994"/>
      <c r="H178" s="3627"/>
      <c r="I178" s="3627"/>
      <c r="J178" s="3995"/>
      <c r="K178" s="3677"/>
      <c r="L178" s="3627"/>
      <c r="M178" s="3627"/>
      <c r="N178" s="3980"/>
      <c r="O178" s="3604"/>
      <c r="P178" s="252"/>
      <c r="Q178" s="253"/>
      <c r="R178" s="253" t="s">
        <v>460</v>
      </c>
      <c r="S178" s="1735"/>
      <c r="T178" s="1735"/>
      <c r="U178" s="1735"/>
      <c r="V178" s="1735"/>
      <c r="W178" s="1355"/>
      <c r="Y178" s="1181"/>
      <c r="Z178" s="1181"/>
      <c r="AA178" s="1181"/>
      <c r="AB178" s="1181"/>
      <c r="AC178" s="1181"/>
      <c r="AD178" s="1181"/>
      <c r="AE178" s="1181"/>
      <c r="AF178" s="1181"/>
      <c r="AG178" s="1181"/>
      <c r="AH178" s="1181"/>
      <c r="AI178" s="1181"/>
      <c r="AJ178" s="1181"/>
      <c r="AK178" s="1181"/>
    </row>
    <row r="179" spans="1:43" s="1742" customFormat="1" ht="17.25" customHeight="1">
      <c r="A179" s="1729"/>
      <c r="C179" s="1734"/>
      <c r="D179" s="3627"/>
      <c r="E179" s="3635"/>
      <c r="F179" s="3637"/>
      <c r="G179" s="3994"/>
      <c r="H179" s="3627"/>
      <c r="I179" s="3627"/>
      <c r="J179" s="3995"/>
      <c r="K179" s="3604"/>
      <c r="L179" s="252"/>
      <c r="M179" s="253"/>
      <c r="N179" s="253" t="s">
        <v>461</v>
      </c>
      <c r="O179" s="253"/>
      <c r="P179" s="253"/>
      <c r="Q179" s="253"/>
      <c r="R179" s="253"/>
      <c r="S179" s="1735"/>
      <c r="T179" s="1735"/>
      <c r="U179" s="1735"/>
      <c r="V179" s="1735"/>
      <c r="W179" s="254"/>
      <c r="Y179" s="1181"/>
      <c r="Z179" s="1181"/>
      <c r="AA179" s="1181"/>
      <c r="AB179" s="1181"/>
      <c r="AC179" s="1181"/>
      <c r="AD179" s="1181"/>
      <c r="AE179" s="1181"/>
      <c r="AF179" s="1181"/>
      <c r="AG179" s="1181"/>
      <c r="AH179" s="1181"/>
      <c r="AI179" s="1181"/>
      <c r="AJ179" s="1181"/>
      <c r="AK179" s="1181"/>
    </row>
    <row r="180" spans="1:43" s="1742" customFormat="1" ht="17.25" customHeight="1">
      <c r="A180" s="1729"/>
      <c r="C180" s="1734"/>
      <c r="D180" s="3627"/>
      <c r="E180" s="3635"/>
      <c r="F180" s="3638"/>
      <c r="G180" s="3994"/>
      <c r="H180" s="252"/>
      <c r="I180" s="253"/>
      <c r="J180" s="253" t="s">
        <v>489</v>
      </c>
      <c r="K180" s="253"/>
      <c r="L180" s="253"/>
      <c r="M180" s="253"/>
      <c r="N180" s="253"/>
      <c r="O180" s="253"/>
      <c r="P180" s="253"/>
      <c r="Q180" s="253"/>
      <c r="R180" s="253"/>
      <c r="S180" s="1735"/>
      <c r="T180" s="1735"/>
      <c r="U180" s="1735"/>
      <c r="V180" s="1735"/>
      <c r="W180" s="254"/>
      <c r="Y180" s="1181"/>
      <c r="Z180" s="1181"/>
      <c r="AA180" s="1181"/>
      <c r="AB180" s="1181"/>
      <c r="AC180" s="1181"/>
      <c r="AD180" s="1181"/>
      <c r="AE180" s="1181"/>
      <c r="AF180" s="1181"/>
      <c r="AG180" s="1181"/>
      <c r="AH180" s="1181"/>
      <c r="AI180" s="1181"/>
      <c r="AJ180" s="1181"/>
      <c r="AK180" s="1181"/>
    </row>
    <row r="181" spans="1:43" ht="17.25" customHeight="1"/>
    <row r="182" spans="1:43" s="1742" customFormat="1" ht="17.25" customHeight="1">
      <c r="A182" s="1729"/>
      <c r="C182" s="1731"/>
      <c r="D182" s="1721"/>
      <c r="E182" s="1736"/>
      <c r="F182" s="1676"/>
      <c r="G182" s="1737"/>
      <c r="H182" s="3992"/>
      <c r="I182" s="3992">
        <v>1</v>
      </c>
      <c r="J182" s="3977"/>
      <c r="K182" s="3676" t="s">
        <v>50</v>
      </c>
      <c r="L182" s="3600"/>
      <c r="M182" s="3600" t="s">
        <v>164</v>
      </c>
      <c r="N182" s="3979" t="str">
        <f>IF(Z182="","",INDEX(TERRITORY_MR_LIST,MATCH(Z182,TERRITORY_LIST_ID,0)))</f>
        <v/>
      </c>
      <c r="O182" s="3676" t="s">
        <v>50</v>
      </c>
      <c r="P182" s="3600"/>
      <c r="Q182" s="3600" t="s">
        <v>164</v>
      </c>
      <c r="R182" s="3978" t="s">
        <v>9</v>
      </c>
      <c r="S182" s="3873" t="s">
        <v>6</v>
      </c>
      <c r="T182" s="1694"/>
      <c r="U182" s="1694" t="s">
        <v>164</v>
      </c>
      <c r="V182" s="1356"/>
      <c r="W182" s="3977"/>
      <c r="Y182" s="1189"/>
      <c r="Z182" s="1189"/>
      <c r="AA182" s="1189"/>
      <c r="AB182" s="1189"/>
      <c r="AC182" s="1189"/>
      <c r="AD182" s="1189"/>
      <c r="AE182" s="1189"/>
      <c r="AF182" s="1189"/>
      <c r="AG182" s="1189"/>
      <c r="AH182" s="1189"/>
      <c r="AI182" s="1189"/>
      <c r="AJ182" s="1189"/>
      <c r="AK182" s="1189"/>
      <c r="AL182" s="1733"/>
      <c r="AM182" s="1733"/>
      <c r="AN182" s="1189"/>
      <c r="AO182" s="1189"/>
      <c r="AP182" s="1189"/>
      <c r="AQ182" s="1189"/>
    </row>
    <row r="183" spans="1:43" s="1742" customFormat="1" ht="17.25" customHeight="1">
      <c r="A183" s="1729"/>
      <c r="C183" s="1734"/>
      <c r="D183" s="1721"/>
      <c r="E183" s="1736"/>
      <c r="F183" s="1676"/>
      <c r="G183" s="1737"/>
      <c r="H183" s="3992"/>
      <c r="I183" s="3992"/>
      <c r="J183" s="3977"/>
      <c r="K183" s="3677"/>
      <c r="L183" s="3600"/>
      <c r="M183" s="3600"/>
      <c r="N183" s="3979"/>
      <c r="O183" s="3677"/>
      <c r="P183" s="3600"/>
      <c r="Q183" s="3600"/>
      <c r="R183" s="3978"/>
      <c r="S183" s="3873"/>
      <c r="T183" s="1357"/>
      <c r="U183" s="1358"/>
      <c r="V183" s="1358"/>
      <c r="W183" s="3977"/>
      <c r="Y183" s="1181"/>
      <c r="Z183" s="1181"/>
      <c r="AA183" s="1181"/>
      <c r="AB183" s="1181"/>
      <c r="AC183" s="1181"/>
      <c r="AD183" s="1181"/>
      <c r="AE183" s="1181"/>
      <c r="AF183" s="1181"/>
      <c r="AG183" s="1181"/>
      <c r="AH183" s="1181"/>
      <c r="AI183" s="1181"/>
      <c r="AJ183" s="1181"/>
      <c r="AK183" s="1181"/>
    </row>
    <row r="184" spans="1:43" s="1742" customFormat="1" ht="17.25" customHeight="1">
      <c r="A184" s="1729"/>
      <c r="C184" s="1734"/>
      <c r="D184" s="1721"/>
      <c r="E184" s="1736"/>
      <c r="F184" s="1676"/>
      <c r="G184" s="1737"/>
      <c r="H184" s="3627"/>
      <c r="I184" s="3627"/>
      <c r="J184" s="3995"/>
      <c r="K184" s="3677"/>
      <c r="L184" s="3627"/>
      <c r="M184" s="3627"/>
      <c r="N184" s="3980"/>
      <c r="O184" s="3604"/>
      <c r="P184" s="252"/>
      <c r="Q184" s="253"/>
      <c r="R184" s="253" t="s">
        <v>460</v>
      </c>
      <c r="S184" s="1735"/>
      <c r="T184" s="1735"/>
      <c r="U184" s="1735"/>
      <c r="V184" s="1735"/>
      <c r="W184" s="1355"/>
      <c r="Y184" s="1181"/>
      <c r="Z184" s="1181"/>
      <c r="AA184" s="1181"/>
      <c r="AB184" s="1181"/>
      <c r="AC184" s="1181"/>
      <c r="AD184" s="1181"/>
      <c r="AE184" s="1181"/>
      <c r="AF184" s="1181"/>
      <c r="AG184" s="1181"/>
      <c r="AH184" s="1181"/>
      <c r="AI184" s="1181"/>
      <c r="AJ184" s="1181"/>
      <c r="AK184" s="1181"/>
    </row>
    <row r="185" spans="1:43" s="1742" customFormat="1" ht="17.25" customHeight="1">
      <c r="A185" s="1729"/>
      <c r="C185" s="1734"/>
      <c r="D185" s="1721"/>
      <c r="E185" s="1736"/>
      <c r="F185" s="1676"/>
      <c r="G185" s="1737"/>
      <c r="H185" s="3627"/>
      <c r="I185" s="3627"/>
      <c r="J185" s="3995"/>
      <c r="K185" s="3604"/>
      <c r="L185" s="252"/>
      <c r="M185" s="253"/>
      <c r="N185" s="253" t="s">
        <v>461</v>
      </c>
      <c r="O185" s="253"/>
      <c r="P185" s="253"/>
      <c r="Q185" s="253"/>
      <c r="R185" s="253"/>
      <c r="S185" s="1735"/>
      <c r="T185" s="1735"/>
      <c r="U185" s="1735"/>
      <c r="V185" s="1735"/>
      <c r="W185" s="254"/>
      <c r="Y185" s="1181"/>
      <c r="Z185" s="1181"/>
      <c r="AA185" s="1181"/>
      <c r="AB185" s="1181"/>
      <c r="AC185" s="1181"/>
      <c r="AD185" s="1181"/>
      <c r="AE185" s="1181"/>
      <c r="AF185" s="1181"/>
      <c r="AG185" s="1181"/>
      <c r="AH185" s="1181"/>
      <c r="AI185" s="1181"/>
      <c r="AJ185" s="1181"/>
      <c r="AK185" s="1181"/>
    </row>
    <row r="186" spans="1:43" ht="17.25" customHeight="1"/>
    <row r="187" spans="1:43" s="1742" customFormat="1" ht="17.25" customHeight="1">
      <c r="A187" s="1729"/>
      <c r="C187" s="1731"/>
      <c r="D187" s="1721"/>
      <c r="E187" s="1736"/>
      <c r="F187" s="1676"/>
      <c r="G187" s="1737"/>
      <c r="H187" s="1721"/>
      <c r="I187" s="1721"/>
      <c r="J187" s="1740"/>
      <c r="K187" s="1737"/>
      <c r="L187" s="3600"/>
      <c r="M187" s="3600" t="s">
        <v>164</v>
      </c>
      <c r="N187" s="3979" t="str">
        <f>IF(Z187="","",INDEX(TERRITORY_MR_LIST,MATCH(Z187,TERRITORY_LIST_ID,0)))</f>
        <v/>
      </c>
      <c r="O187" s="3676" t="s">
        <v>50</v>
      </c>
      <c r="P187" s="3600"/>
      <c r="Q187" s="3600" t="s">
        <v>164</v>
      </c>
      <c r="R187" s="3978" t="s">
        <v>9</v>
      </c>
      <c r="S187" s="3873" t="s">
        <v>6</v>
      </c>
      <c r="T187" s="1694"/>
      <c r="U187" s="1694" t="s">
        <v>164</v>
      </c>
      <c r="V187" s="1356"/>
      <c r="W187" s="3977"/>
      <c r="Y187" s="1189"/>
      <c r="Z187" s="1189"/>
      <c r="AA187" s="1189"/>
      <c r="AB187" s="1189"/>
      <c r="AC187" s="1189"/>
      <c r="AD187" s="1189"/>
      <c r="AE187" s="1189"/>
      <c r="AF187" s="1189"/>
      <c r="AG187" s="1189"/>
      <c r="AH187" s="1189"/>
      <c r="AI187" s="1189"/>
      <c r="AJ187" s="1189"/>
      <c r="AK187" s="1189"/>
      <c r="AL187" s="1733"/>
      <c r="AM187" s="1733"/>
      <c r="AN187" s="1189"/>
      <c r="AO187" s="1189"/>
      <c r="AP187" s="1189"/>
      <c r="AQ187" s="1189"/>
    </row>
    <row r="188" spans="1:43" s="1742" customFormat="1" ht="17.25" customHeight="1">
      <c r="A188" s="1729"/>
      <c r="C188" s="1734"/>
      <c r="D188" s="1721"/>
      <c r="E188" s="1736"/>
      <c r="F188" s="1676"/>
      <c r="G188" s="1737"/>
      <c r="H188" s="1721"/>
      <c r="I188" s="1721"/>
      <c r="J188" s="1740"/>
      <c r="K188" s="1737"/>
      <c r="L188" s="3600"/>
      <c r="M188" s="3600"/>
      <c r="N188" s="3979"/>
      <c r="O188" s="3677"/>
      <c r="P188" s="3600"/>
      <c r="Q188" s="3600"/>
      <c r="R188" s="3978"/>
      <c r="S188" s="3873"/>
      <c r="T188" s="1357"/>
      <c r="U188" s="1358"/>
      <c r="V188" s="1358"/>
      <c r="W188" s="3977"/>
      <c r="Y188" s="1181"/>
      <c r="Z188" s="1181"/>
      <c r="AA188" s="1181"/>
      <c r="AB188" s="1181"/>
      <c r="AC188" s="1181"/>
      <c r="AD188" s="1181"/>
      <c r="AE188" s="1181"/>
      <c r="AF188" s="1181"/>
      <c r="AG188" s="1181"/>
      <c r="AH188" s="1181"/>
      <c r="AI188" s="1181"/>
      <c r="AJ188" s="1181"/>
      <c r="AK188" s="1181"/>
    </row>
    <row r="189" spans="1:43" s="1742" customFormat="1" ht="17.25" customHeight="1">
      <c r="A189" s="1729"/>
      <c r="C189" s="1734"/>
      <c r="D189" s="1721"/>
      <c r="E189" s="1736"/>
      <c r="F189" s="1676"/>
      <c r="G189" s="1737"/>
      <c r="H189" s="1721"/>
      <c r="I189" s="1721"/>
      <c r="J189" s="1740"/>
      <c r="K189" s="1737"/>
      <c r="L189" s="3627"/>
      <c r="M189" s="3627"/>
      <c r="N189" s="3980"/>
      <c r="O189" s="3604"/>
      <c r="P189" s="252"/>
      <c r="Q189" s="253"/>
      <c r="R189" s="253" t="s">
        <v>460</v>
      </c>
      <c r="S189" s="1735"/>
      <c r="T189" s="1735"/>
      <c r="U189" s="1735"/>
      <c r="V189" s="1735"/>
      <c r="W189" s="1355"/>
      <c r="Y189" s="1181"/>
      <c r="Z189" s="1181"/>
      <c r="AA189" s="1181"/>
      <c r="AB189" s="1181"/>
      <c r="AC189" s="1181"/>
      <c r="AD189" s="1181"/>
      <c r="AE189" s="1181"/>
      <c r="AF189" s="1181"/>
      <c r="AG189" s="1181"/>
      <c r="AH189" s="1181"/>
      <c r="AI189" s="1181"/>
      <c r="AJ189" s="1181"/>
      <c r="AK189" s="1181"/>
    </row>
    <row r="190" spans="1:43" ht="17.25" customHeight="1"/>
    <row r="191" spans="1:43" s="1742" customFormat="1" ht="17.25" customHeight="1">
      <c r="A191" s="1729"/>
      <c r="C191" s="1731"/>
      <c r="D191" s="1721"/>
      <c r="E191" s="1736"/>
      <c r="F191" s="1676"/>
      <c r="G191" s="1737"/>
      <c r="H191" s="1721"/>
      <c r="I191" s="1721"/>
      <c r="J191" s="1740"/>
      <c r="K191" s="1737"/>
      <c r="L191" s="1721"/>
      <c r="M191" s="1721"/>
      <c r="N191" s="1934"/>
      <c r="O191" s="1679"/>
      <c r="P191" s="3600"/>
      <c r="Q191" s="3600" t="s">
        <v>164</v>
      </c>
      <c r="R191" s="3978" t="s">
        <v>9</v>
      </c>
      <c r="S191" s="3873" t="s">
        <v>6</v>
      </c>
      <c r="T191" s="1694"/>
      <c r="U191" s="1694" t="s">
        <v>164</v>
      </c>
      <c r="V191" s="1356"/>
      <c r="W191" s="3977"/>
      <c r="Y191" s="1189"/>
      <c r="Z191" s="1189"/>
      <c r="AA191" s="1189"/>
      <c r="AB191" s="1189"/>
      <c r="AC191" s="1189"/>
      <c r="AD191" s="1189"/>
      <c r="AE191" s="1189"/>
      <c r="AF191" s="1189"/>
      <c r="AG191" s="1189"/>
      <c r="AH191" s="1189"/>
      <c r="AI191" s="1189"/>
      <c r="AJ191" s="1189"/>
      <c r="AK191" s="1189"/>
      <c r="AL191" s="1733"/>
      <c r="AM191" s="1733"/>
      <c r="AN191" s="1189"/>
      <c r="AO191" s="1189"/>
      <c r="AP191" s="1189"/>
      <c r="AQ191" s="1189"/>
    </row>
    <row r="192" spans="1:43" s="1742" customFormat="1" ht="17.25" customHeight="1">
      <c r="A192" s="1729"/>
      <c r="C192" s="1734"/>
      <c r="D192" s="1721"/>
      <c r="E192" s="1736"/>
      <c r="F192" s="1676"/>
      <c r="G192" s="1737"/>
      <c r="H192" s="1721"/>
      <c r="I192" s="1721"/>
      <c r="J192" s="1740"/>
      <c r="K192" s="1737"/>
      <c r="L192" s="1721"/>
      <c r="M192" s="1721"/>
      <c r="N192" s="1934"/>
      <c r="O192" s="1679"/>
      <c r="P192" s="3600"/>
      <c r="Q192" s="3600"/>
      <c r="R192" s="3978"/>
      <c r="S192" s="3873"/>
      <c r="T192" s="1357"/>
      <c r="U192" s="1358"/>
      <c r="V192" s="1358"/>
      <c r="W192" s="3977"/>
      <c r="Y192" s="1181"/>
      <c r="Z192" s="1181"/>
      <c r="AA192" s="1181"/>
      <c r="AB192" s="1181"/>
      <c r="AC192" s="1181"/>
      <c r="AD192" s="1181"/>
      <c r="AE192" s="1181"/>
      <c r="AF192" s="1181"/>
      <c r="AG192" s="1181"/>
      <c r="AH192" s="1181"/>
      <c r="AI192" s="1181"/>
      <c r="AJ192" s="1181"/>
      <c r="AK192" s="1181"/>
    </row>
    <row r="193" spans="1:63" ht="17.25" customHeight="1"/>
    <row r="194" spans="1:63" ht="16.5" customHeight="1">
      <c r="A194" s="1729"/>
      <c r="B194" s="1730"/>
      <c r="C194" s="1734"/>
      <c r="D194" s="3992"/>
      <c r="E194" s="3670"/>
      <c r="F194" s="3670"/>
      <c r="G194" s="3618"/>
      <c r="H194" s="3639"/>
      <c r="I194" s="3641"/>
      <c r="J194" s="3643"/>
      <c r="K194" s="3628"/>
      <c r="L194" s="3628"/>
      <c r="M194" s="3628"/>
      <c r="N194" s="3630"/>
      <c r="O194" s="3628"/>
      <c r="P194" s="3628"/>
      <c r="Q194" s="3628"/>
      <c r="R194" s="3633"/>
      <c r="S194" s="3628"/>
      <c r="T194" s="1675"/>
      <c r="U194" s="1675"/>
      <c r="V194" s="1741"/>
      <c r="W194" s="1218"/>
    </row>
    <row r="195" spans="1:63" ht="16.5" customHeight="1">
      <c r="A195" s="1729"/>
      <c r="B195" s="1730"/>
      <c r="C195" s="1734"/>
      <c r="D195" s="3992"/>
      <c r="E195" s="3670"/>
      <c r="F195" s="3670"/>
      <c r="G195" s="3618"/>
      <c r="H195" s="3640"/>
      <c r="I195" s="3642"/>
      <c r="J195" s="3644"/>
      <c r="K195" s="3629"/>
      <c r="L195" s="3629"/>
      <c r="M195" s="3629"/>
      <c r="N195" s="3631"/>
      <c r="O195" s="3629"/>
      <c r="P195" s="3629"/>
      <c r="Q195" s="3629"/>
      <c r="R195" s="3632"/>
      <c r="S195" s="3629"/>
      <c r="T195" s="1219"/>
      <c r="U195" s="1219"/>
      <c r="V195" s="1219"/>
      <c r="W195" s="1220"/>
    </row>
    <row r="196" spans="1:63" ht="17.25" customHeight="1">
      <c r="A196" s="1729"/>
      <c r="B196" s="1730"/>
      <c r="C196" s="1734"/>
      <c r="D196" s="3992"/>
      <c r="E196" s="3670"/>
      <c r="F196" s="3670"/>
      <c r="G196" s="3618"/>
      <c r="H196" s="3640"/>
      <c r="I196" s="3642"/>
      <c r="J196" s="3645"/>
      <c r="K196" s="3629"/>
      <c r="L196" s="3629"/>
      <c r="M196" s="3629"/>
      <c r="N196" s="3632"/>
      <c r="O196" s="3629"/>
      <c r="P196" s="1678"/>
      <c r="Q196" s="1219"/>
      <c r="R196" s="1219"/>
      <c r="S196" s="1742"/>
      <c r="T196" s="1742"/>
      <c r="U196" s="1742"/>
      <c r="V196" s="1742"/>
      <c r="W196" s="1220"/>
    </row>
    <row r="197" spans="1:63" ht="17.25" customHeight="1">
      <c r="A197" s="1729"/>
      <c r="B197" s="1730"/>
      <c r="C197" s="1734"/>
      <c r="D197" s="3992"/>
      <c r="E197" s="3670"/>
      <c r="F197" s="3670"/>
      <c r="G197" s="3618"/>
      <c r="H197" s="3640"/>
      <c r="I197" s="3642"/>
      <c r="J197" s="3645"/>
      <c r="K197" s="3629"/>
      <c r="L197" s="1219"/>
      <c r="M197" s="1219"/>
      <c r="N197" s="1219"/>
      <c r="O197" s="1219"/>
      <c r="P197" s="1219"/>
      <c r="Q197" s="1219"/>
      <c r="R197" s="1219"/>
      <c r="S197" s="1742"/>
      <c r="T197" s="1742"/>
      <c r="U197" s="1742"/>
      <c r="V197" s="1742"/>
      <c r="W197" s="1220"/>
    </row>
    <row r="198" spans="1:63" ht="17.25" customHeight="1">
      <c r="A198" s="1729"/>
      <c r="B198" s="1730"/>
      <c r="C198" s="1734"/>
      <c r="D198" s="3992"/>
      <c r="E198" s="3670"/>
      <c r="F198" s="3670"/>
      <c r="G198" s="3618"/>
      <c r="H198" s="1221"/>
      <c r="I198" s="1222"/>
      <c r="J198" s="1222"/>
      <c r="K198" s="1222"/>
      <c r="L198" s="1222"/>
      <c r="M198" s="1222"/>
      <c r="N198" s="1222"/>
      <c r="O198" s="1222"/>
      <c r="P198" s="1222"/>
      <c r="Q198" s="1222"/>
      <c r="R198" s="1222"/>
      <c r="S198" s="1743"/>
      <c r="T198" s="1743"/>
      <c r="U198" s="1743"/>
      <c r="V198" s="1743"/>
      <c r="W198" s="1224"/>
    </row>
    <row r="200" spans="1:63" s="1707" customFormat="1" ht="17.25" customHeight="1">
      <c r="A200" s="1707" t="s">
        <v>2432</v>
      </c>
    </row>
    <row r="201" spans="1:63" ht="17.25" customHeight="1">
      <c r="G201" s="1728"/>
      <c r="H201" s="1728"/>
      <c r="I201" s="1728"/>
      <c r="M201" s="1724"/>
    </row>
    <row r="202" spans="1:63" s="1739" customFormat="1" ht="15" customHeight="1">
      <c r="D202" s="3986"/>
      <c r="E202" s="3687"/>
      <c r="F202" s="3687"/>
      <c r="G202" s="3676"/>
      <c r="H202" s="1486"/>
      <c r="I202" s="3990">
        <v>1</v>
      </c>
      <c r="J202" s="3977"/>
      <c r="K202" s="1501"/>
      <c r="L202" s="3676" t="s">
        <v>50</v>
      </c>
      <c r="M202" s="3676" t="s">
        <v>50</v>
      </c>
      <c r="N202" s="1486"/>
      <c r="O202" s="3600" t="s">
        <v>164</v>
      </c>
      <c r="P202" s="3887"/>
      <c r="Q202" s="1502"/>
      <c r="R202" s="3676" t="s">
        <v>50</v>
      </c>
      <c r="S202" s="3676" t="s">
        <v>50</v>
      </c>
      <c r="T202" s="1744"/>
      <c r="U202" s="3600" t="s">
        <v>164</v>
      </c>
      <c r="V202" s="3987" t="str">
        <f>IF(AK202="","",INDEX(TERRITORY_MR_LIST,MATCH(AK202,TERRITORY_LIST_ID,0)))</f>
        <v/>
      </c>
      <c r="W202" s="1503"/>
      <c r="X202" s="3676" t="s">
        <v>50</v>
      </c>
      <c r="Y202" s="3676" t="s">
        <v>6</v>
      </c>
      <c r="Z202" s="1486"/>
      <c r="AA202" s="3600" t="s">
        <v>164</v>
      </c>
      <c r="AB202" s="3989"/>
      <c r="AC202" s="1504"/>
      <c r="AD202" s="3676" t="s">
        <v>50</v>
      </c>
      <c r="AE202" s="3676" t="s">
        <v>6</v>
      </c>
      <c r="AF202" s="1484"/>
      <c r="AG202" s="1703" t="s">
        <v>164</v>
      </c>
      <c r="AH202" s="1494"/>
      <c r="AI202" s="1693"/>
    </row>
    <row r="203" spans="1:63" s="1739" customFormat="1" ht="15" customHeight="1">
      <c r="D203" s="3986"/>
      <c r="E203" s="3687"/>
      <c r="F203" s="3687"/>
      <c r="G203" s="3677"/>
      <c r="H203" s="1486"/>
      <c r="I203" s="3990"/>
      <c r="J203" s="3977"/>
      <c r="K203" s="1485"/>
      <c r="L203" s="3677"/>
      <c r="M203" s="3677"/>
      <c r="N203" s="1486"/>
      <c r="O203" s="3600"/>
      <c r="P203" s="3887"/>
      <c r="Q203" s="1482"/>
      <c r="R203" s="3677"/>
      <c r="S203" s="3677"/>
      <c r="T203" s="1744"/>
      <c r="U203" s="3600"/>
      <c r="V203" s="3988"/>
      <c r="W203" s="1483"/>
      <c r="X203" s="3677"/>
      <c r="Y203" s="3677"/>
      <c r="Z203" s="1486"/>
      <c r="AA203" s="3600"/>
      <c r="AB203" s="3972"/>
      <c r="AC203" s="1487"/>
      <c r="AD203" s="3604"/>
      <c r="AE203" s="3604"/>
      <c r="AF203" s="1488"/>
      <c r="AG203" s="1489"/>
      <c r="AH203" s="3981" t="s">
        <v>2433</v>
      </c>
      <c r="AI203" s="3982"/>
    </row>
    <row r="204" spans="1:63" s="1739" customFormat="1" ht="15" customHeight="1">
      <c r="D204" s="3986"/>
      <c r="E204" s="3687"/>
      <c r="F204" s="3687"/>
      <c r="G204" s="3677"/>
      <c r="H204" s="1486"/>
      <c r="I204" s="3990"/>
      <c r="J204" s="3977"/>
      <c r="K204" s="1485"/>
      <c r="L204" s="3677"/>
      <c r="M204" s="3677"/>
      <c r="N204" s="1486"/>
      <c r="O204" s="3600"/>
      <c r="P204" s="3887"/>
      <c r="Q204" s="1482"/>
      <c r="R204" s="3677"/>
      <c r="S204" s="3677"/>
      <c r="T204" s="1744"/>
      <c r="U204" s="3600"/>
      <c r="V204" s="3988"/>
      <c r="W204" s="1483"/>
      <c r="X204" s="3677"/>
      <c r="Y204" s="3677"/>
      <c r="Z204" s="1525"/>
      <c r="AA204" s="1491"/>
      <c r="AB204" s="3983" t="s">
        <v>2434</v>
      </c>
      <c r="AC204" s="3983"/>
      <c r="AD204" s="3983"/>
      <c r="AE204" s="3983"/>
      <c r="AF204" s="3983"/>
      <c r="AG204" s="3983"/>
      <c r="AH204" s="3983"/>
      <c r="AI204" s="3984"/>
    </row>
    <row r="205" spans="1:63" s="1739" customFormat="1" ht="15" customHeight="1">
      <c r="D205" s="3986"/>
      <c r="E205" s="3687"/>
      <c r="F205" s="3687"/>
      <c r="G205" s="3677"/>
      <c r="H205" s="1486"/>
      <c r="I205" s="3990"/>
      <c r="J205" s="3977"/>
      <c r="K205" s="1485"/>
      <c r="L205" s="3677"/>
      <c r="M205" s="3677"/>
      <c r="N205" s="1486"/>
      <c r="O205" s="3600"/>
      <c r="P205" s="3985"/>
      <c r="Q205" s="1482"/>
      <c r="R205" s="3677"/>
      <c r="S205" s="3677"/>
      <c r="T205" s="1745"/>
      <c r="U205" s="1526"/>
      <c r="V205" s="3981" t="s">
        <v>158</v>
      </c>
      <c r="W205" s="3981"/>
      <c r="X205" s="3981"/>
      <c r="Y205" s="3981"/>
      <c r="Z205" s="3981"/>
      <c r="AA205" s="3981"/>
      <c r="AB205" s="3981"/>
      <c r="AC205" s="3981"/>
      <c r="AD205" s="3981"/>
      <c r="AE205" s="3981"/>
      <c r="AF205" s="3981"/>
      <c r="AG205" s="3981"/>
      <c r="AH205" s="3981"/>
      <c r="AI205" s="3982"/>
    </row>
    <row r="206" spans="1:63" s="1739" customFormat="1" ht="11.25" customHeight="1">
      <c r="D206" s="3986"/>
      <c r="E206" s="3687"/>
      <c r="F206" s="3687"/>
      <c r="G206" s="3677"/>
      <c r="H206" s="1490"/>
      <c r="I206" s="3990"/>
      <c r="J206" s="3991"/>
      <c r="K206" s="1485"/>
      <c r="L206" s="3677"/>
      <c r="M206" s="3677"/>
      <c r="N206" s="1490"/>
      <c r="O206" s="1491"/>
      <c r="P206" s="3981" t="s">
        <v>2435</v>
      </c>
      <c r="Q206" s="3981"/>
      <c r="R206" s="3981"/>
      <c r="S206" s="3981"/>
      <c r="T206" s="3981"/>
      <c r="U206" s="3981"/>
      <c r="V206" s="3981"/>
      <c r="W206" s="3981"/>
      <c r="X206" s="3981"/>
      <c r="Y206" s="3981"/>
      <c r="Z206" s="3981"/>
      <c r="AA206" s="3981"/>
      <c r="AB206" s="3981"/>
      <c r="AC206" s="3981"/>
      <c r="AD206" s="3981"/>
      <c r="AE206" s="3981"/>
      <c r="AF206" s="3981"/>
      <c r="AG206" s="3981"/>
      <c r="AH206" s="3981"/>
      <c r="AI206" s="3982"/>
    </row>
    <row r="207" spans="1:63" s="1476" customFormat="1" ht="11.25" customHeight="1">
      <c r="D207" s="3986"/>
      <c r="E207" s="3687"/>
      <c r="F207" s="3687"/>
      <c r="G207" s="3604"/>
      <c r="H207" s="1492"/>
      <c r="I207" s="1493"/>
      <c r="J207" s="3981" t="s">
        <v>489</v>
      </c>
      <c r="K207" s="3981"/>
      <c r="L207" s="3981"/>
      <c r="M207" s="3981"/>
      <c r="N207" s="3981"/>
      <c r="O207" s="3981"/>
      <c r="P207" s="3981"/>
      <c r="Q207" s="3981"/>
      <c r="R207" s="3981"/>
      <c r="S207" s="3981"/>
      <c r="T207" s="3981"/>
      <c r="U207" s="3981"/>
      <c r="V207" s="3981"/>
      <c r="W207" s="3981"/>
      <c r="X207" s="3981"/>
      <c r="Y207" s="3981"/>
      <c r="Z207" s="3981"/>
      <c r="AA207" s="3981"/>
      <c r="AB207" s="3981"/>
      <c r="AC207" s="3981"/>
      <c r="AD207" s="3981"/>
      <c r="AE207" s="3981"/>
      <c r="AF207" s="3981"/>
      <c r="AG207" s="3981"/>
      <c r="AH207" s="3981"/>
      <c r="AI207" s="3982"/>
      <c r="BK207" s="1496"/>
    </row>
    <row r="208" spans="1:63" ht="17.25" customHeight="1">
      <c r="G208" s="1728"/>
      <c r="I208" s="1728"/>
      <c r="J208" s="1728"/>
      <c r="N208" s="1724"/>
    </row>
    <row r="209" spans="4:63" s="1739" customFormat="1" ht="15" customHeight="1">
      <c r="D209" s="3986"/>
      <c r="E209" s="3687"/>
      <c r="F209" s="3687"/>
      <c r="G209" s="3670"/>
      <c r="H209" s="1521"/>
      <c r="I209" s="3672"/>
      <c r="J209" s="3643"/>
      <c r="K209" s="1677"/>
      <c r="L209" s="3628"/>
      <c r="M209" s="3628"/>
      <c r="N209" s="1506"/>
      <c r="O209" s="3628"/>
      <c r="P209" s="3643"/>
      <c r="Q209" s="1681"/>
      <c r="R209" s="3628"/>
      <c r="S209" s="3628"/>
      <c r="T209" s="1746"/>
      <c r="U209" s="3628"/>
      <c r="V209" s="3643"/>
      <c r="W209" s="1509"/>
      <c r="X209" s="3628"/>
      <c r="Y209" s="3628"/>
      <c r="Z209" s="1506"/>
      <c r="AA209" s="3628"/>
      <c r="AB209" s="3643"/>
      <c r="AC209" s="1510"/>
      <c r="AD209" s="3628"/>
      <c r="AE209" s="3628"/>
      <c r="AF209" s="1675"/>
      <c r="AG209" s="1675"/>
      <c r="AH209" s="1511"/>
      <c r="AI209" s="1218"/>
    </row>
    <row r="210" spans="4:63" s="1739" customFormat="1" ht="15" customHeight="1">
      <c r="D210" s="3986"/>
      <c r="E210" s="3687"/>
      <c r="F210" s="3687"/>
      <c r="G210" s="3670"/>
      <c r="H210" s="1522"/>
      <c r="I210" s="3673"/>
      <c r="J210" s="3644"/>
      <c r="K210" s="1532"/>
      <c r="L210" s="3629"/>
      <c r="M210" s="3629"/>
      <c r="N210" s="1512"/>
      <c r="O210" s="3629"/>
      <c r="P210" s="3644"/>
      <c r="Q210" s="1682"/>
      <c r="R210" s="3629"/>
      <c r="S210" s="3629"/>
      <c r="T210" s="1747"/>
      <c r="U210" s="3629"/>
      <c r="V210" s="3644"/>
      <c r="W210" s="1515"/>
      <c r="X210" s="3629"/>
      <c r="Y210" s="3629"/>
      <c r="Z210" s="1512"/>
      <c r="AA210" s="3629"/>
      <c r="AB210" s="3644"/>
      <c r="AC210" s="1516"/>
      <c r="AD210" s="3629"/>
      <c r="AE210" s="3629"/>
      <c r="AF210" s="1680"/>
      <c r="AG210" s="1680"/>
      <c r="AH210" s="3668"/>
      <c r="AI210" s="3669"/>
    </row>
    <row r="211" spans="4:63" s="1739" customFormat="1" ht="15" customHeight="1">
      <c r="D211" s="3986"/>
      <c r="E211" s="3687"/>
      <c r="F211" s="3687"/>
      <c r="G211" s="3670"/>
      <c r="H211" s="1522"/>
      <c r="I211" s="3673"/>
      <c r="J211" s="3644"/>
      <c r="K211" s="1532"/>
      <c r="L211" s="3629"/>
      <c r="M211" s="3629"/>
      <c r="N211" s="1512"/>
      <c r="O211" s="3629"/>
      <c r="P211" s="3644"/>
      <c r="Q211" s="1682"/>
      <c r="R211" s="3629"/>
      <c r="S211" s="3629"/>
      <c r="T211" s="1747"/>
      <c r="U211" s="3629"/>
      <c r="V211" s="3644"/>
      <c r="W211" s="1515"/>
      <c r="X211" s="3629"/>
      <c r="Y211" s="3629"/>
      <c r="Z211" s="1678"/>
      <c r="AA211" s="1680"/>
      <c r="AB211" s="3668"/>
      <c r="AC211" s="3668"/>
      <c r="AD211" s="3668"/>
      <c r="AE211" s="3668"/>
      <c r="AF211" s="3668"/>
      <c r="AG211" s="3668"/>
      <c r="AH211" s="3668"/>
      <c r="AI211" s="3669"/>
    </row>
    <row r="212" spans="4:63" s="1739" customFormat="1" ht="15" customHeight="1">
      <c r="D212" s="3986"/>
      <c r="E212" s="3687"/>
      <c r="F212" s="3687"/>
      <c r="G212" s="3670"/>
      <c r="H212" s="1522"/>
      <c r="I212" s="3673"/>
      <c r="J212" s="3644"/>
      <c r="K212" s="1532"/>
      <c r="L212" s="3629"/>
      <c r="M212" s="3629"/>
      <c r="N212" s="1512"/>
      <c r="O212" s="3629"/>
      <c r="P212" s="3644"/>
      <c r="Q212" s="1682"/>
      <c r="R212" s="3629"/>
      <c r="S212" s="3629"/>
      <c r="T212" s="1748"/>
      <c r="U212" s="1519"/>
      <c r="V212" s="3668"/>
      <c r="W212" s="3668"/>
      <c r="X212" s="3668"/>
      <c r="Y212" s="3668"/>
      <c r="Z212" s="3668"/>
      <c r="AA212" s="3668"/>
      <c r="AB212" s="3668"/>
      <c r="AC212" s="3668"/>
      <c r="AD212" s="3668"/>
      <c r="AE212" s="3668"/>
      <c r="AF212" s="3668"/>
      <c r="AG212" s="3668"/>
      <c r="AH212" s="3668"/>
      <c r="AI212" s="3669"/>
    </row>
    <row r="213" spans="4:63" s="1739" customFormat="1" ht="11.25" customHeight="1">
      <c r="D213" s="3986"/>
      <c r="E213" s="3687"/>
      <c r="F213" s="3687"/>
      <c r="G213" s="3670"/>
      <c r="H213" s="1523"/>
      <c r="I213" s="3673"/>
      <c r="J213" s="3644"/>
      <c r="K213" s="1532"/>
      <c r="L213" s="3629"/>
      <c r="M213" s="3629"/>
      <c r="N213" s="1680"/>
      <c r="O213" s="1680"/>
      <c r="P213" s="3668"/>
      <c r="Q213" s="3668"/>
      <c r="R213" s="3668"/>
      <c r="S213" s="3668"/>
      <c r="T213" s="3668"/>
      <c r="U213" s="3668"/>
      <c r="V213" s="3668"/>
      <c r="W213" s="3668"/>
      <c r="X213" s="3668"/>
      <c r="Y213" s="3668"/>
      <c r="Z213" s="3668"/>
      <c r="AA213" s="3668"/>
      <c r="AB213" s="3668"/>
      <c r="AC213" s="3668"/>
      <c r="AD213" s="3668"/>
      <c r="AE213" s="3668"/>
      <c r="AF213" s="3668"/>
      <c r="AG213" s="3668"/>
      <c r="AH213" s="3668"/>
      <c r="AI213" s="3669"/>
    </row>
    <row r="214" spans="4:63" s="1476" customFormat="1" ht="11.25" customHeight="1">
      <c r="D214" s="3986"/>
      <c r="E214" s="3687"/>
      <c r="F214" s="3687"/>
      <c r="G214" s="3675"/>
      <c r="H214" s="1520"/>
      <c r="I214" s="1524"/>
      <c r="J214" s="3678"/>
      <c r="K214" s="3678"/>
      <c r="L214" s="3678"/>
      <c r="M214" s="3678"/>
      <c r="N214" s="3678"/>
      <c r="O214" s="3678"/>
      <c r="P214" s="3678"/>
      <c r="Q214" s="3678"/>
      <c r="R214" s="3678"/>
      <c r="S214" s="3678"/>
      <c r="T214" s="3678"/>
      <c r="U214" s="3678"/>
      <c r="V214" s="3678"/>
      <c r="W214" s="3678"/>
      <c r="X214" s="3678"/>
      <c r="Y214" s="3678"/>
      <c r="Z214" s="3678"/>
      <c r="AA214" s="3678"/>
      <c r="AB214" s="3678"/>
      <c r="AC214" s="3678"/>
      <c r="AD214" s="3678"/>
      <c r="AE214" s="3678"/>
      <c r="AF214" s="3678"/>
      <c r="AG214" s="3678"/>
      <c r="AH214" s="3678"/>
      <c r="AI214" s="3679"/>
      <c r="BK214" s="1496"/>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7" hidden="1" customWidth="1"/>
    <col min="2" max="2" width="15" style="435" hidden="1" customWidth="1"/>
    <col min="3" max="3" width="3" style="389" customWidth="1"/>
    <col min="4" max="4" width="6" style="390" customWidth="1"/>
    <col min="5" max="5" width="52" style="389" customWidth="1"/>
    <col min="6" max="6" width="48" style="389" customWidth="1"/>
    <col min="7" max="7" width="121" style="389" customWidth="1"/>
    <col min="8" max="8" width="8" style="389" customWidth="1"/>
    <col min="9" max="9" width="64" style="389" customWidth="1"/>
    <col min="10" max="10" width="9.140625" style="389" hidden="1"/>
  </cols>
  <sheetData>
    <row r="1" spans="1:10" ht="11.25" hidden="1" customHeight="1">
      <c r="A1" s="1607" t="s">
        <v>344</v>
      </c>
      <c r="J1" s="389" t="s">
        <v>1</v>
      </c>
    </row>
    <row r="2" spans="1:10" ht="11.25" hidden="1" customHeight="1">
      <c r="J2" s="389">
        <v>0</v>
      </c>
    </row>
    <row r="3" spans="1:10" s="411" customFormat="1" ht="11.45" customHeight="1">
      <c r="A3" s="1607"/>
      <c r="B3" s="435"/>
      <c r="D3" s="412"/>
      <c r="J3" s="411">
        <v>11</v>
      </c>
    </row>
    <row r="4" spans="1:10" ht="27.4" customHeight="1">
      <c r="D4" s="364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649"/>
      <c r="F4" s="3650"/>
      <c r="I4" s="649"/>
      <c r="J4" s="389">
        <v>26</v>
      </c>
    </row>
    <row r="5" spans="1:10" ht="18" customHeight="1">
      <c r="D5" s="3667" t="str">
        <f>IF(org=0,"Не определено",org)</f>
        <v>ООО "Смоленскрегионтеплоэнерго"</v>
      </c>
      <c r="E5" s="3667"/>
      <c r="F5" s="3667"/>
      <c r="I5" s="649"/>
      <c r="J5" s="389">
        <v>17</v>
      </c>
    </row>
    <row r="6" spans="1:10" s="411" customFormat="1" ht="11.45" customHeight="1">
      <c r="A6" s="1607"/>
      <c r="B6" s="435"/>
      <c r="D6" s="648"/>
      <c r="E6" s="648"/>
      <c r="F6" s="686"/>
      <c r="G6" s="648"/>
      <c r="J6" s="411">
        <v>11</v>
      </c>
    </row>
    <row r="7" spans="1:10" ht="11.25" hidden="1" customHeight="1">
      <c r="A7" s="391"/>
      <c r="B7" s="436"/>
      <c r="C7" s="391"/>
      <c r="D7" s="397"/>
      <c r="E7" s="3695"/>
      <c r="F7" s="3695"/>
      <c r="J7" s="389">
        <v>0</v>
      </c>
    </row>
    <row r="8" spans="1:10" ht="11.45" customHeight="1">
      <c r="A8" s="391"/>
      <c r="B8" s="436"/>
      <c r="C8" s="391"/>
      <c r="D8" s="3692" t="s">
        <v>345</v>
      </c>
      <c r="E8" s="3693"/>
      <c r="F8" s="3693"/>
      <c r="G8" s="3696" t="s">
        <v>346</v>
      </c>
      <c r="J8" s="389">
        <v>11</v>
      </c>
    </row>
    <row r="9" spans="1:10" ht="11.45" customHeight="1">
      <c r="A9" s="391"/>
      <c r="B9" s="436"/>
      <c r="C9" s="391"/>
      <c r="D9" s="406" t="s">
        <v>76</v>
      </c>
      <c r="E9" s="380" t="s">
        <v>347</v>
      </c>
      <c r="F9" s="380" t="s">
        <v>348</v>
      </c>
      <c r="G9" s="3697"/>
      <c r="J9" s="389">
        <v>11</v>
      </c>
    </row>
    <row r="10" spans="1:10" ht="12" hidden="1" customHeight="1">
      <c r="A10" s="391"/>
      <c r="B10" s="436"/>
      <c r="C10" s="391"/>
      <c r="D10" s="398"/>
      <c r="E10" s="398"/>
      <c r="F10" s="398"/>
      <c r="G10" s="398"/>
      <c r="J10" s="389">
        <v>0</v>
      </c>
    </row>
    <row r="11" spans="1:10" ht="22.5" hidden="1" customHeight="1">
      <c r="A11" s="391"/>
      <c r="B11" s="436"/>
      <c r="C11" s="391"/>
      <c r="D11" s="935" t="s">
        <v>164</v>
      </c>
      <c r="E11" s="938" t="s">
        <v>349</v>
      </c>
      <c r="F11" s="937" t="str">
        <f>IF(region_name="","",region_name)</f>
        <v>Смоленская область</v>
      </c>
      <c r="G11" s="938" t="s">
        <v>350</v>
      </c>
      <c r="H11" s="409"/>
      <c r="J11" s="389">
        <v>0</v>
      </c>
    </row>
    <row r="12" spans="1:10" ht="22.5" hidden="1" customHeight="1">
      <c r="A12" s="391"/>
      <c r="B12" s="436"/>
      <c r="C12" s="391"/>
      <c r="D12" s="379" t="s">
        <v>164</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351</v>
      </c>
      <c r="G12" s="408"/>
      <c r="H12" s="409"/>
      <c r="J12" s="389">
        <v>0</v>
      </c>
    </row>
    <row r="13" spans="1:10" ht="23.25" customHeight="1">
      <c r="A13" s="391"/>
      <c r="B13" s="436"/>
      <c r="C13" s="391"/>
      <c r="D13" s="379" t="s">
        <v>164</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5" t="s">
        <v>352</v>
      </c>
      <c r="E14" s="936" t="s">
        <v>353</v>
      </c>
      <c r="F14" s="937" t="str">
        <f>IF(inn="","",inn)</f>
        <v>6730048214</v>
      </c>
      <c r="G14" s="938" t="s">
        <v>354</v>
      </c>
      <c r="H14" s="409"/>
      <c r="J14" s="389">
        <v>0</v>
      </c>
    </row>
    <row r="15" spans="1:10" ht="22.5" hidden="1" customHeight="1">
      <c r="A15" s="391"/>
      <c r="B15" s="436"/>
      <c r="C15" s="391"/>
      <c r="D15" s="935" t="s">
        <v>355</v>
      </c>
      <c r="E15" s="936" t="s">
        <v>356</v>
      </c>
      <c r="F15" s="937" t="str">
        <f>IF(kpp="","",kpp)</f>
        <v>673101001</v>
      </c>
      <c r="G15" s="938" t="s">
        <v>357</v>
      </c>
      <c r="H15" s="409"/>
      <c r="J15" s="389">
        <v>0</v>
      </c>
    </row>
    <row r="16" spans="1:10" ht="39" customHeight="1">
      <c r="A16" s="391"/>
      <c r="B16" s="436"/>
      <c r="C16" s="391"/>
      <c r="D16" s="379" t="s">
        <v>89</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78</v>
      </c>
      <c r="E17" s="376" t="str">
        <f>"Дата присвоения ОГРН"&amp;IF(TEMPLATE_SPHERE="TKO",""," (ОГРНИП)")</f>
        <v>Дата присвоения ОГРН (ОГРНИП)</v>
      </c>
      <c r="F17" s="1625" t="s">
        <v>9</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79</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3690" t="s">
        <v>358</v>
      </c>
      <c r="B19" s="436"/>
      <c r="C19" s="3701"/>
      <c r="D19" s="379" t="str">
        <f>A19</f>
        <v>5.1</v>
      </c>
      <c r="E19" s="376" t="s">
        <v>359</v>
      </c>
      <c r="F19" s="377" t="s">
        <v>351</v>
      </c>
      <c r="G19" s="378" t="s">
        <v>360</v>
      </c>
      <c r="H19" s="409"/>
      <c r="I19" s="780"/>
      <c r="J19" s="389">
        <v>0</v>
      </c>
    </row>
    <row r="20" spans="1:10" ht="24" hidden="1" customHeight="1">
      <c r="A20" s="3690"/>
      <c r="B20" s="436"/>
      <c r="C20" s="3701"/>
      <c r="D20" s="374" t="str">
        <f>D19&amp;".1"</f>
        <v>5.1.1</v>
      </c>
      <c r="E20" s="373" t="s">
        <v>361</v>
      </c>
      <c r="F20" s="808" t="s">
        <v>9</v>
      </c>
      <c r="G20" s="408"/>
      <c r="H20" s="409"/>
      <c r="I20" s="780"/>
      <c r="J20" s="389">
        <v>0</v>
      </c>
    </row>
    <row r="21" spans="1:10" ht="22.5" hidden="1" customHeight="1">
      <c r="A21" s="3690"/>
      <c r="B21" s="436"/>
      <c r="C21" s="3701"/>
      <c r="D21" s="374" t="str">
        <f>D19&amp;".2"</f>
        <v>5.1.2</v>
      </c>
      <c r="E21" s="373" t="s">
        <v>362</v>
      </c>
      <c r="F21" s="1626" t="s">
        <v>9</v>
      </c>
      <c r="G21" s="378" t="s">
        <v>363</v>
      </c>
      <c r="H21" s="409"/>
      <c r="I21" s="780"/>
      <c r="J21" s="389">
        <v>0</v>
      </c>
    </row>
    <row r="22" spans="1:10" ht="22.5" hidden="1" customHeight="1">
      <c r="A22" s="3690"/>
      <c r="B22" s="436"/>
      <c r="C22" s="3701"/>
      <c r="D22" s="374" t="str">
        <f>D19&amp;".3"</f>
        <v>5.1.3</v>
      </c>
      <c r="E22" s="373" t="s">
        <v>364</v>
      </c>
      <c r="F22" s="808" t="s">
        <v>9</v>
      </c>
      <c r="G22" s="408"/>
      <c r="H22" s="409"/>
      <c r="I22" s="780"/>
      <c r="J22" s="389">
        <v>0</v>
      </c>
    </row>
    <row r="23" spans="1:10" ht="22.5" hidden="1" customHeight="1">
      <c r="A23" s="3690"/>
      <c r="B23" s="436"/>
      <c r="C23" s="3701"/>
      <c r="D23" s="374" t="str">
        <f>D19&amp;".4"</f>
        <v>5.1.4</v>
      </c>
      <c r="E23" s="373" t="s">
        <v>365</v>
      </c>
      <c r="F23" s="808" t="s">
        <v>9</v>
      </c>
      <c r="G23" s="378" t="s">
        <v>366</v>
      </c>
      <c r="H23" s="409"/>
      <c r="I23" s="780"/>
      <c r="J23" s="389">
        <v>0</v>
      </c>
    </row>
    <row r="24" spans="1:10" ht="22.5" hidden="1" customHeight="1">
      <c r="A24" s="1864"/>
      <c r="B24" s="436"/>
      <c r="C24" s="426"/>
      <c r="D24" s="401"/>
      <c r="E24" s="1090" t="s">
        <v>367</v>
      </c>
      <c r="F24" s="402"/>
      <c r="G24" s="403"/>
      <c r="H24" s="409"/>
      <c r="I24" s="780"/>
      <c r="J24" s="389">
        <v>0</v>
      </c>
    </row>
    <row r="25" spans="1:10" s="435" customFormat="1" ht="24.75" hidden="1" customHeight="1">
      <c r="A25" s="391"/>
      <c r="B25" s="436"/>
      <c r="C25" s="436"/>
      <c r="D25" s="932" t="s">
        <v>78</v>
      </c>
      <c r="E25" s="934" t="s">
        <v>368</v>
      </c>
      <c r="F25" s="939" t="s">
        <v>351</v>
      </c>
      <c r="G25" s="934"/>
      <c r="J25" s="435">
        <v>0</v>
      </c>
    </row>
    <row r="26" spans="1:10" s="435" customFormat="1" ht="11.25" hidden="1" customHeight="1">
      <c r="A26" s="391"/>
      <c r="B26" s="436"/>
      <c r="C26" s="436"/>
      <c r="D26" s="932" t="s">
        <v>369</v>
      </c>
      <c r="E26" s="933" t="s">
        <v>370</v>
      </c>
      <c r="F26" s="939" t="s">
        <v>351</v>
      </c>
      <c r="G26" s="934"/>
      <c r="J26" s="435">
        <v>0</v>
      </c>
    </row>
    <row r="27" spans="1:10" s="435" customFormat="1" ht="11.25" hidden="1" customHeight="1">
      <c r="A27" s="391"/>
      <c r="B27" s="436"/>
      <c r="C27" s="436"/>
      <c r="D27" s="932" t="s">
        <v>371</v>
      </c>
      <c r="E27" s="940" t="s">
        <v>372</v>
      </c>
      <c r="F27" s="941"/>
      <c r="G27" s="93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435" customFormat="1" ht="11.25" hidden="1" customHeight="1">
      <c r="A28" s="391"/>
      <c r="B28" s="436"/>
      <c r="C28" s="436"/>
      <c r="D28" s="932" t="s">
        <v>373</v>
      </c>
      <c r="E28" s="940" t="s">
        <v>374</v>
      </c>
      <c r="F28" s="941"/>
      <c r="G28" s="93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435" customFormat="1" ht="11.25" hidden="1" customHeight="1">
      <c r="A29" s="391"/>
      <c r="B29" s="436"/>
      <c r="C29" s="436"/>
      <c r="D29" s="932" t="s">
        <v>375</v>
      </c>
      <c r="E29" s="940" t="s">
        <v>376</v>
      </c>
      <c r="F29" s="941"/>
      <c r="G29" s="93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435" customFormat="1" ht="11.25" hidden="1" customHeight="1">
      <c r="A30" s="391"/>
      <c r="B30" s="436"/>
      <c r="C30" s="436"/>
      <c r="D30" s="932" t="s">
        <v>377</v>
      </c>
      <c r="E30" s="933" t="s">
        <v>378</v>
      </c>
      <c r="F30" s="941"/>
      <c r="G30" s="934"/>
      <c r="J30" s="435">
        <v>0</v>
      </c>
    </row>
    <row r="31" spans="1:10" s="435" customFormat="1" ht="11.25" hidden="1" customHeight="1">
      <c r="A31" s="391"/>
      <c r="B31" s="436"/>
      <c r="C31" s="436"/>
      <c r="D31" s="932" t="s">
        <v>379</v>
      </c>
      <c r="E31" s="933" t="s">
        <v>380</v>
      </c>
      <c r="F31" s="941"/>
      <c r="G31" s="934"/>
      <c r="J31" s="435">
        <v>0</v>
      </c>
    </row>
    <row r="32" spans="1:10" s="435" customFormat="1" ht="11.25" hidden="1" customHeight="1">
      <c r="A32" s="391"/>
      <c r="B32" s="436"/>
      <c r="C32" s="436"/>
      <c r="D32" s="932" t="s">
        <v>381</v>
      </c>
      <c r="E32" s="933" t="s">
        <v>382</v>
      </c>
      <c r="F32" s="942"/>
      <c r="G32" s="934"/>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351</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383</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383</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351</v>
      </c>
      <c r="G39" s="36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7"/>
      <c r="F40" s="808"/>
      <c r="G40" s="3699"/>
      <c r="H40" s="409"/>
      <c r="J40" s="389">
        <v>0</v>
      </c>
    </row>
    <row r="41" spans="1:10" ht="23.25" customHeight="1">
      <c r="A41" s="391"/>
      <c r="B41" s="391"/>
      <c r="C41" s="1609"/>
      <c r="D41" s="374" t="str">
        <f>D39&amp;".1"</f>
        <v>9.1</v>
      </c>
      <c r="E41" s="788"/>
      <c r="F41" s="789"/>
      <c r="G41" s="3699"/>
      <c r="H41" s="409"/>
      <c r="J41" s="389">
        <v>22</v>
      </c>
    </row>
    <row r="42" spans="1:10" ht="15.75" customHeight="1">
      <c r="A42" s="391"/>
      <c r="B42" s="436"/>
      <c r="C42" s="391"/>
      <c r="D42" s="401"/>
      <c r="E42" s="349" t="s">
        <v>384</v>
      </c>
      <c r="F42" s="403"/>
      <c r="G42" s="3700"/>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0"/>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385</v>
      </c>
      <c r="H44" s="409"/>
      <c r="J44" s="389">
        <v>22</v>
      </c>
    </row>
    <row r="45" spans="1:10" ht="23.25" customHeight="1">
      <c r="A45" s="391"/>
      <c r="B45" s="436"/>
      <c r="C45" s="391"/>
      <c r="D45" s="374">
        <f>D44+1</f>
        <v>12</v>
      </c>
      <c r="E45" s="372" t="s">
        <v>386</v>
      </c>
      <c r="F45" s="377" t="s">
        <v>351</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5"/>
      <c r="G46" s="371" t="s">
        <v>387</v>
      </c>
      <c r="H46" s="409"/>
      <c r="J46" s="389">
        <v>23</v>
      </c>
    </row>
    <row r="47" spans="1:10" ht="24" customHeight="1">
      <c r="A47" s="3690"/>
      <c r="B47" s="436"/>
      <c r="C47" s="426"/>
      <c r="D47" s="374" t="str">
        <f>D45&amp;".2"</f>
        <v>12.2</v>
      </c>
      <c r="E47" s="376" t="s">
        <v>388</v>
      </c>
      <c r="F47" s="424"/>
      <c r="G47" s="371" t="s">
        <v>389</v>
      </c>
      <c r="H47" s="409"/>
      <c r="J47" s="389">
        <v>23</v>
      </c>
    </row>
    <row r="48" spans="1:10" ht="24" customHeight="1">
      <c r="A48" s="3690"/>
      <c r="B48" s="436"/>
      <c r="C48" s="426"/>
      <c r="D48" s="374" t="str">
        <f>D45&amp;".3"</f>
        <v>12.3</v>
      </c>
      <c r="E48" s="376" t="s">
        <v>390</v>
      </c>
      <c r="F48" s="424"/>
      <c r="G48" s="371" t="s">
        <v>391</v>
      </c>
      <c r="H48" s="409"/>
      <c r="J48" s="389">
        <v>23</v>
      </c>
    </row>
    <row r="49" spans="1:10" ht="24" customHeight="1">
      <c r="A49" s="3690"/>
      <c r="B49" s="436"/>
      <c r="C49" s="426"/>
      <c r="D49" s="374" t="str">
        <f>IF(TEMPLATE_SPHERE="TKO",D45&amp;".0",D45&amp;".4")</f>
        <v>12.4</v>
      </c>
      <c r="E49" s="370" t="s">
        <v>392</v>
      </c>
      <c r="F49" s="1606"/>
      <c r="G49" s="1655" t="s">
        <v>393</v>
      </c>
      <c r="H49" s="409"/>
      <c r="J49" s="389">
        <v>23</v>
      </c>
    </row>
    <row r="50" spans="1:10" ht="24" customHeight="1">
      <c r="A50" s="391"/>
      <c r="B50" s="436"/>
      <c r="C50" s="391"/>
      <c r="D50" s="401"/>
      <c r="E50" s="349" t="s">
        <v>394</v>
      </c>
      <c r="F50" s="402"/>
      <c r="G50" s="1655" t="s">
        <v>395</v>
      </c>
      <c r="H50" s="410"/>
      <c r="J50" s="389">
        <v>23</v>
      </c>
    </row>
    <row r="51" spans="1:10" ht="24" customHeight="1">
      <c r="A51" s="786"/>
      <c r="B51" s="436"/>
      <c r="C51" s="426"/>
      <c r="D51" s="374">
        <f>D45+1</f>
        <v>13</v>
      </c>
      <c r="E51" s="462" t="s">
        <v>396</v>
      </c>
      <c r="F51" s="424"/>
      <c r="G51" s="161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394" customFormat="1" ht="31.5" customHeight="1">
      <c r="A53" s="1608"/>
      <c r="B53" s="437"/>
      <c r="C53" s="3691"/>
      <c r="D53" s="36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694"/>
      <c r="F53" s="3694"/>
      <c r="G53" s="3694"/>
      <c r="H53" s="388"/>
      <c r="I53" s="388"/>
      <c r="J53" s="394">
        <v>30</v>
      </c>
    </row>
    <row r="54" spans="1:10" s="394" customFormat="1" ht="42" customHeight="1">
      <c r="A54" s="391"/>
      <c r="B54" s="436"/>
      <c r="C54" s="3691"/>
      <c r="D54" s="36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694"/>
      <c r="F54" s="3694"/>
      <c r="G54" s="3694"/>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7" t="s">
        <v>70</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8"/>
    <col min="2" max="2" width="43.140625" style="768" hidden="1"/>
    <col min="3" max="3" width="43.140625" style="768"/>
    <col min="4" max="5" width="36.42578125" style="768" customWidth="1"/>
    <col min="6" max="8" width="36.42578125" style="907" customWidth="1"/>
  </cols>
  <sheetData>
    <row r="1" spans="1:8" ht="9" customHeight="1">
      <c r="A1" s="774" t="s">
        <v>2436</v>
      </c>
      <c r="B1" s="774"/>
      <c r="C1" s="908" t="s">
        <v>2437</v>
      </c>
      <c r="D1" s="906" t="s">
        <v>1146</v>
      </c>
      <c r="E1" s="906" t="s">
        <v>1194</v>
      </c>
      <c r="F1" s="906" t="s">
        <v>1247</v>
      </c>
      <c r="G1" s="906" t="s">
        <v>1234</v>
      </c>
      <c r="H1" s="906" t="s">
        <v>2121</v>
      </c>
    </row>
    <row r="2" spans="1:8" ht="9" customHeight="1">
      <c r="A2" s="909" t="s">
        <v>2438</v>
      </c>
      <c r="B2" s="909"/>
      <c r="C2" s="910" t="str">
        <f>INDEX(TEMPLATE_NUMBER_FORM_LIST,MATCH(TEMPLATE_SPHERE,TEMPLATE_SPHERE_LIST,0))</f>
        <v>16</v>
      </c>
      <c r="D2" s="909" t="s">
        <v>142</v>
      </c>
      <c r="E2" s="909" t="s">
        <v>118</v>
      </c>
      <c r="F2" s="911" t="s">
        <v>118</v>
      </c>
      <c r="G2" s="909" t="s">
        <v>118</v>
      </c>
      <c r="H2" s="912"/>
    </row>
    <row r="3" spans="1:8" ht="63" customHeight="1">
      <c r="A3" s="774"/>
      <c r="B3" s="774" t="s">
        <v>164</v>
      </c>
      <c r="C3" s="91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0" t="s">
        <v>2439</v>
      </c>
      <c r="E3" s="91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1"/>
      <c r="G3" s="912"/>
      <c r="H3" s="774"/>
    </row>
    <row r="4" spans="1:8" ht="243" customHeight="1">
      <c r="A4" s="774" t="s">
        <v>2440</v>
      </c>
      <c r="B4" s="774" t="s">
        <v>89</v>
      </c>
      <c r="C4" s="91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9" t="s">
        <v>2441</v>
      </c>
      <c r="E4" s="91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9"/>
      <c r="G4" s="909"/>
      <c r="H4" s="774" t="s">
        <v>2442</v>
      </c>
    </row>
    <row r="5" spans="1:8" ht="117" customHeight="1">
      <c r="A5" s="774" t="s">
        <v>2443</v>
      </c>
      <c r="B5" s="774" t="s">
        <v>78</v>
      </c>
      <c r="C5" s="91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4" t="s">
        <v>2444</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2"/>
      <c r="G5" s="912"/>
      <c r="H5" s="774" t="s">
        <v>2445</v>
      </c>
    </row>
    <row r="6" spans="1:8" ht="90" customHeight="1">
      <c r="A6" s="774" t="s">
        <v>2446</v>
      </c>
      <c r="B6" s="774" t="s">
        <v>79</v>
      </c>
      <c r="C6" s="910"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4"/>
      <c r="G6" s="774"/>
      <c r="H6" s="912"/>
    </row>
    <row r="7" spans="1:8" ht="45" customHeight="1">
      <c r="A7" s="774" t="s">
        <v>2447</v>
      </c>
      <c r="B7" s="774" t="s">
        <v>100</v>
      </c>
      <c r="C7" s="910" t="str">
        <f>IF(TEMPLATE_SPHERE="HEAT",D7,E7)</f>
        <v>Форма 11. Информация о расходах на капитальный и текущий ремонт основных средств</v>
      </c>
      <c r="D7" s="774" t="s">
        <v>2448</v>
      </c>
      <c r="E7" s="774" t="s">
        <v>2449</v>
      </c>
      <c r="F7" s="912"/>
      <c r="G7" s="912"/>
      <c r="H7" s="912"/>
    </row>
    <row r="8" spans="1:8" ht="108" customHeight="1">
      <c r="A8" s="774" t="s">
        <v>2450</v>
      </c>
      <c r="B8" s="774" t="s">
        <v>80</v>
      </c>
      <c r="C8" s="91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4" t="s">
        <v>1677</v>
      </c>
      <c r="E8" s="774" t="s">
        <v>2451</v>
      </c>
      <c r="F8" s="912"/>
      <c r="G8" s="912"/>
      <c r="H8" s="912"/>
    </row>
    <row r="9" spans="1:8" ht="99" customHeight="1">
      <c r="A9" s="774" t="s">
        <v>2452</v>
      </c>
      <c r="B9" s="774"/>
      <c r="C9" s="774" t="s">
        <v>2453</v>
      </c>
      <c r="D9" s="774"/>
      <c r="E9" s="774"/>
      <c r="F9" s="912"/>
      <c r="G9" s="912"/>
      <c r="H9" s="912"/>
    </row>
    <row r="10" spans="1:8" ht="126" customHeight="1">
      <c r="A10" s="774" t="s">
        <v>2454</v>
      </c>
      <c r="B10" s="774"/>
      <c r="C10" s="774" t="s">
        <v>2455</v>
      </c>
      <c r="D10" s="774"/>
      <c r="E10" s="774"/>
      <c r="F10" s="912"/>
      <c r="G10" s="912"/>
      <c r="H10" s="912"/>
    </row>
    <row r="11" spans="1:8" ht="108" customHeight="1">
      <c r="A11" s="774" t="s">
        <v>2456</v>
      </c>
      <c r="B11" s="774"/>
      <c r="C11" s="774" t="s">
        <v>2457</v>
      </c>
      <c r="D11" s="774"/>
      <c r="E11" s="774"/>
      <c r="F11" s="912"/>
      <c r="G11" s="912"/>
      <c r="H11" s="912"/>
    </row>
    <row r="12" spans="1:8" ht="54" customHeight="1">
      <c r="A12" s="774" t="s">
        <v>2458</v>
      </c>
      <c r="B12" s="774"/>
      <c r="C12" s="774" t="s">
        <v>2459</v>
      </c>
      <c r="D12" s="774"/>
      <c r="E12" s="774"/>
      <c r="F12" s="912"/>
      <c r="G12" s="912"/>
      <c r="H12" s="912"/>
    </row>
    <row r="13" spans="1:8" ht="45" customHeight="1">
      <c r="A13" s="774" t="s">
        <v>2460</v>
      </c>
      <c r="B13" s="774"/>
      <c r="C13" s="774" t="s">
        <v>2461</v>
      </c>
      <c r="D13" s="774"/>
      <c r="E13" s="774"/>
      <c r="F13" s="912"/>
      <c r="G13" s="912"/>
      <c r="H13" s="912"/>
    </row>
    <row r="14" spans="1:8" ht="117" customHeight="1">
      <c r="A14" s="774" t="s">
        <v>2462</v>
      </c>
      <c r="B14" s="774"/>
      <c r="C14" s="774" t="s">
        <v>2463</v>
      </c>
      <c r="D14" s="774"/>
      <c r="E14" s="774"/>
      <c r="F14" s="912"/>
      <c r="G14" s="912"/>
      <c r="H14" s="912"/>
    </row>
    <row r="15" spans="1:8" ht="117" customHeight="1">
      <c r="A15" s="774" t="s">
        <v>2464</v>
      </c>
      <c r="B15" s="774"/>
      <c r="C15" s="774" t="s">
        <v>2465</v>
      </c>
      <c r="D15" s="774"/>
      <c r="E15" s="774"/>
      <c r="F15" s="912"/>
      <c r="G15" s="912"/>
      <c r="H15" s="912"/>
    </row>
    <row r="16" spans="1:8" ht="63" customHeight="1">
      <c r="A16" s="774" t="s">
        <v>2466</v>
      </c>
      <c r="B16" s="774"/>
      <c r="C16" s="774" t="s">
        <v>2467</v>
      </c>
      <c r="D16" s="774"/>
      <c r="E16" s="774"/>
      <c r="F16" s="912"/>
      <c r="G16" s="912"/>
      <c r="H16" s="912"/>
    </row>
    <row r="17" spans="1:8" ht="54" customHeight="1">
      <c r="A17" s="774" t="s">
        <v>2468</v>
      </c>
      <c r="B17" s="774"/>
      <c r="C17" s="910" t="s">
        <v>2469</v>
      </c>
      <c r="D17" s="774"/>
      <c r="E17" s="774"/>
      <c r="F17" s="912"/>
      <c r="G17" s="912"/>
      <c r="H17" s="912"/>
    </row>
    <row r="18" spans="1:8" ht="27" customHeight="1">
      <c r="A18" s="774" t="s">
        <v>2470</v>
      </c>
      <c r="B18" s="774"/>
      <c r="C18" s="910" t="s">
        <v>2471</v>
      </c>
      <c r="D18" s="774"/>
      <c r="E18" s="774"/>
      <c r="F18" s="912"/>
      <c r="G18" s="912"/>
      <c r="H18" s="912"/>
    </row>
    <row r="19" spans="1:8" ht="54" customHeight="1">
      <c r="A19" s="774" t="s">
        <v>2472</v>
      </c>
      <c r="B19" s="774"/>
      <c r="C19" s="910" t="s">
        <v>2473</v>
      </c>
      <c r="D19" s="774"/>
      <c r="E19" s="774"/>
      <c r="F19" s="912"/>
      <c r="G19" s="912"/>
      <c r="H19" s="912"/>
    </row>
    <row r="20" spans="1:8" ht="36" customHeight="1">
      <c r="A20" s="774" t="s">
        <v>2474</v>
      </c>
      <c r="B20" s="774"/>
      <c r="C20" s="910" t="s">
        <v>2475</v>
      </c>
      <c r="D20" s="774"/>
      <c r="E20" s="774"/>
      <c r="F20" s="912"/>
      <c r="G20" s="912"/>
      <c r="H20" s="912"/>
    </row>
    <row r="21" spans="1:8" ht="36" customHeight="1">
      <c r="A21" s="774" t="s">
        <v>2476</v>
      </c>
      <c r="B21" s="774"/>
      <c r="C21" s="910" t="s">
        <v>2477</v>
      </c>
      <c r="D21" s="774"/>
      <c r="E21" s="774"/>
      <c r="F21" s="912"/>
      <c r="G21" s="912"/>
      <c r="H21" s="912"/>
    </row>
    <row r="22" spans="1:8" ht="27" customHeight="1">
      <c r="A22" s="774" t="s">
        <v>2478</v>
      </c>
      <c r="B22" s="774"/>
      <c r="C22" s="910" t="s">
        <v>2479</v>
      </c>
      <c r="D22" s="774"/>
      <c r="E22" s="774"/>
      <c r="F22" s="912"/>
      <c r="G22" s="912"/>
      <c r="H22" s="912"/>
    </row>
    <row r="23" spans="1:8" ht="36" customHeight="1">
      <c r="A23" s="774" t="s">
        <v>2480</v>
      </c>
      <c r="B23" s="774"/>
      <c r="C23" s="910" t="s">
        <v>2481</v>
      </c>
      <c r="D23" s="774"/>
      <c r="E23" s="774"/>
      <c r="F23" s="912"/>
      <c r="G23" s="912"/>
      <c r="H23" s="912"/>
    </row>
    <row r="24" spans="1:8" ht="28.5" customHeight="1">
      <c r="A24" s="774" t="s">
        <v>2482</v>
      </c>
      <c r="B24" s="774"/>
      <c r="C24" s="910" t="s">
        <v>2483</v>
      </c>
      <c r="D24" s="774"/>
      <c r="E24" s="774"/>
      <c r="F24" s="912"/>
      <c r="G24" s="912"/>
      <c r="H24" s="912"/>
    </row>
    <row r="25" spans="1:8" ht="36" customHeight="1">
      <c r="A25" s="774" t="s">
        <v>2484</v>
      </c>
      <c r="B25" s="774"/>
      <c r="C25" s="910" t="s">
        <v>2485</v>
      </c>
      <c r="D25" s="774"/>
      <c r="E25" s="774"/>
      <c r="F25" s="912"/>
      <c r="G25" s="912"/>
      <c r="H25" s="912"/>
    </row>
    <row r="26" spans="1:8" ht="27" customHeight="1">
      <c r="A26" s="774" t="s">
        <v>2486</v>
      </c>
      <c r="B26" s="774"/>
      <c r="C26" s="910" t="s">
        <v>2487</v>
      </c>
      <c r="D26" s="774"/>
      <c r="E26" s="774"/>
      <c r="F26" s="912"/>
      <c r="G26" s="912"/>
      <c r="H26" s="912"/>
    </row>
    <row r="27" spans="1:8" ht="36" customHeight="1">
      <c r="A27" s="774" t="s">
        <v>2488</v>
      </c>
      <c r="B27" s="774"/>
      <c r="C27" s="910" t="s">
        <v>2489</v>
      </c>
      <c r="D27" s="774"/>
      <c r="E27" s="774"/>
      <c r="F27" s="912"/>
      <c r="G27" s="912"/>
      <c r="H27" s="912"/>
    </row>
    <row r="28" spans="1:8" ht="28.5" customHeight="1">
      <c r="A28" s="774" t="s">
        <v>2490</v>
      </c>
      <c r="B28" s="774"/>
      <c r="C28" s="910" t="s">
        <v>2491</v>
      </c>
      <c r="D28" s="774"/>
      <c r="E28" s="774"/>
      <c r="F28" s="912"/>
      <c r="G28" s="912"/>
      <c r="H28" s="912"/>
    </row>
    <row r="29" spans="1:8" ht="126" customHeight="1">
      <c r="A29" s="774" t="s">
        <v>2492</v>
      </c>
      <c r="B29" s="774" t="s">
        <v>1392</v>
      </c>
      <c r="C29" s="91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4" t="s">
        <v>2493</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2"/>
      <c r="G29" s="912"/>
      <c r="H29" s="774" t="s">
        <v>2494</v>
      </c>
    </row>
    <row r="30" spans="1:8" ht="36" customHeight="1">
      <c r="A30" s="774" t="s">
        <v>2495</v>
      </c>
      <c r="B30" s="774"/>
      <c r="C30" s="91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4" t="s">
        <v>2496</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2"/>
      <c r="G30" s="912"/>
      <c r="H30" s="912"/>
    </row>
    <row r="31" spans="1:8" ht="54" customHeight="1">
      <c r="A31" s="774" t="s">
        <v>2497</v>
      </c>
      <c r="B31" s="774"/>
      <c r="C31" s="91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4" t="s">
        <v>2498</v>
      </c>
      <c r="E31" s="7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2"/>
      <c r="G31" s="912"/>
      <c r="H31" s="912"/>
    </row>
    <row r="32" spans="1:8" ht="198" customHeight="1">
      <c r="A32" s="774" t="s">
        <v>2499</v>
      </c>
      <c r="B32" s="774"/>
      <c r="C32" s="91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4" t="s">
        <v>2500</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2"/>
      <c r="G32" s="912"/>
      <c r="H32" s="774" t="s">
        <v>2501</v>
      </c>
    </row>
    <row r="33" spans="1:8" ht="9" customHeight="1">
      <c r="A33" s="774"/>
      <c r="B33" s="774"/>
      <c r="C33" s="910"/>
      <c r="D33" s="774"/>
      <c r="E33" s="774"/>
      <c r="F33" s="912"/>
      <c r="G33" s="912"/>
      <c r="H33" s="912"/>
    </row>
    <row r="34" spans="1:8" ht="9" customHeight="1">
      <c r="A34" s="774"/>
      <c r="B34" s="774" t="s">
        <v>153</v>
      </c>
      <c r="C34" s="910">
        <f>INDEX(TEMPLATE_NAME_FORM_LIST,B34,MATCH(TEMPLATE_SPHERE,TEMPLATE_SPHERE_LIST,0))</f>
        <v>0</v>
      </c>
      <c r="D34" s="774"/>
      <c r="E34" s="774"/>
      <c r="F34" s="912"/>
      <c r="G34" s="912"/>
      <c r="H34" s="912"/>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8"/>
    <col min="3" max="7" width="8" style="770" customWidth="1"/>
    <col min="8" max="12" width="8.5703125" style="770" customWidth="1"/>
    <col min="13" max="14" width="27.7109375" style="770" customWidth="1"/>
    <col min="15" max="19" width="5.140625" style="770" customWidth="1"/>
    <col min="20" max="24" width="27.7109375" style="770" customWidth="1"/>
    <col min="25" max="25" width="1.85546875" style="927" customWidth="1"/>
    <col min="26" max="26" width="27.7109375" style="768" customWidth="1"/>
    <col min="27" max="27" width="27.7109375" style="779" customWidth="1"/>
    <col min="28" max="29" width="27.7109375" style="768" customWidth="1"/>
    <col min="30" max="30" width="3.85546875" style="768" customWidth="1"/>
    <col min="31" max="34" width="9.140625" style="768"/>
  </cols>
  <sheetData>
    <row r="1" spans="1:34" s="767" customFormat="1" ht="18" customHeight="1">
      <c r="A1" s="825"/>
      <c r="B1" s="825"/>
      <c r="C1" s="825" t="s">
        <v>2502</v>
      </c>
      <c r="D1" s="825"/>
      <c r="E1" s="825"/>
      <c r="F1" s="825"/>
      <c r="G1" s="825"/>
      <c r="H1" s="825" t="s">
        <v>2503</v>
      </c>
      <c r="I1" s="825"/>
      <c r="J1" s="825"/>
      <c r="K1" s="825"/>
      <c r="L1" s="825"/>
      <c r="M1" s="825" t="s">
        <v>2504</v>
      </c>
      <c r="N1" s="825" t="s">
        <v>2505</v>
      </c>
      <c r="O1" s="4013" t="s">
        <v>2506</v>
      </c>
      <c r="P1" s="4013"/>
      <c r="Q1" s="4013"/>
      <c r="R1" s="4013"/>
      <c r="S1" s="4013"/>
      <c r="T1" s="4013" t="s">
        <v>2504</v>
      </c>
      <c r="U1" s="4013"/>
      <c r="V1" s="4013"/>
      <c r="W1" s="4013"/>
      <c r="X1" s="4013"/>
      <c r="Y1" s="925"/>
      <c r="Z1" s="4013" t="s">
        <v>2507</v>
      </c>
      <c r="AA1" s="4013"/>
      <c r="AB1" s="4013"/>
      <c r="AC1" s="4013"/>
      <c r="AD1" s="4013"/>
    </row>
    <row r="2" spans="1:34" ht="18" customHeight="1">
      <c r="A2" s="774"/>
      <c r="B2" s="774"/>
      <c r="C2" s="769" t="s">
        <v>1146</v>
      </c>
      <c r="D2" s="769" t="s">
        <v>1194</v>
      </c>
      <c r="E2" s="769" t="s">
        <v>1247</v>
      </c>
      <c r="F2" s="769" t="s">
        <v>1234</v>
      </c>
      <c r="G2" s="769" t="s">
        <v>2121</v>
      </c>
      <c r="H2" s="771"/>
      <c r="I2" s="771"/>
      <c r="J2" s="771"/>
      <c r="K2" s="771"/>
      <c r="L2" s="771"/>
      <c r="M2" s="771"/>
      <c r="N2" s="771"/>
      <c r="O2" s="769" t="s">
        <v>1146</v>
      </c>
      <c r="P2" s="769" t="s">
        <v>1194</v>
      </c>
      <c r="Q2" s="769" t="s">
        <v>1234</v>
      </c>
      <c r="R2" s="769" t="s">
        <v>1247</v>
      </c>
      <c r="S2" s="769" t="s">
        <v>2121</v>
      </c>
      <c r="T2" s="769" t="s">
        <v>1146</v>
      </c>
      <c r="U2" s="769" t="s">
        <v>1194</v>
      </c>
      <c r="V2" s="769" t="s">
        <v>1234</v>
      </c>
      <c r="W2" s="769" t="s">
        <v>1247</v>
      </c>
      <c r="X2" s="769" t="s">
        <v>2121</v>
      </c>
      <c r="Y2" s="769"/>
      <c r="Z2" s="769" t="s">
        <v>1146</v>
      </c>
      <c r="AA2" s="778" t="s">
        <v>1194</v>
      </c>
      <c r="AB2" s="769" t="s">
        <v>1234</v>
      </c>
      <c r="AC2" s="769" t="s">
        <v>1247</v>
      </c>
      <c r="AD2" s="769" t="s">
        <v>2121</v>
      </c>
    </row>
    <row r="3" spans="1:34" ht="162" customHeight="1">
      <c r="A3" s="773" t="s">
        <v>14</v>
      </c>
      <c r="B3" s="773"/>
      <c r="C3" s="4017" t="s">
        <v>2508</v>
      </c>
      <c r="D3" s="4018"/>
      <c r="E3" s="4018"/>
      <c r="F3" s="4019"/>
      <c r="G3" s="771"/>
      <c r="H3" s="771"/>
      <c r="I3" s="771"/>
      <c r="J3" s="771"/>
      <c r="K3" s="771"/>
      <c r="L3" s="771"/>
      <c r="M3" s="771"/>
      <c r="N3" s="77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1"/>
      <c r="P3" s="771"/>
      <c r="Q3" s="771"/>
      <c r="R3" s="771"/>
      <c r="S3" s="771"/>
      <c r="T3" s="771"/>
      <c r="U3" s="771"/>
      <c r="V3" s="771"/>
      <c r="W3" s="771"/>
      <c r="X3" s="771"/>
      <c r="Y3" s="926"/>
      <c r="Z3" s="774" t="s">
        <v>2509</v>
      </c>
      <c r="AA3" s="771" t="s">
        <v>2510</v>
      </c>
      <c r="AB3" s="774" t="s">
        <v>2511</v>
      </c>
      <c r="AC3" s="774" t="s">
        <v>2512</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6"/>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6"/>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6"/>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6"/>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6"/>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6"/>
      <c r="Z9" s="774"/>
      <c r="AA9" s="777"/>
      <c r="AB9" s="774"/>
      <c r="AC9" s="774"/>
      <c r="AD9" s="774"/>
    </row>
    <row r="10" spans="1:34" ht="9" customHeight="1">
      <c r="A10" s="826"/>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row>
    <row r="11" spans="1:34" ht="45" customHeight="1">
      <c r="A11" s="4014" t="s">
        <v>20</v>
      </c>
      <c r="B11" s="826">
        <v>1</v>
      </c>
      <c r="C11" s="4020" t="s">
        <v>2064</v>
      </c>
      <c r="D11" s="4020" t="s">
        <v>2060</v>
      </c>
      <c r="E11" s="4020" t="s">
        <v>97</v>
      </c>
      <c r="F11" s="4020" t="s">
        <v>2513</v>
      </c>
      <c r="G11" s="4020"/>
      <c r="H11" s="825" t="s">
        <v>2514</v>
      </c>
      <c r="I11" s="825"/>
      <c r="J11" s="825"/>
      <c r="K11" s="825"/>
      <c r="L11" s="825"/>
      <c r="M11" s="772" t="str">
        <f>IF(TEMPLATE_SPHERE="HEAT",T11,U11)</f>
        <v>Количество поданных заявок</v>
      </c>
      <c r="N11" s="77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1"/>
      <c r="P11" s="771"/>
      <c r="Q11" s="771"/>
      <c r="R11" s="771"/>
      <c r="S11" s="771"/>
      <c r="T11" s="771" t="s">
        <v>2515</v>
      </c>
      <c r="U11" s="771" t="s">
        <v>2516</v>
      </c>
      <c r="V11" s="771"/>
      <c r="W11" s="771"/>
      <c r="X11" s="771"/>
      <c r="Y11" s="926"/>
      <c r="Z11" s="774" t="s">
        <v>2517</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4"/>
      <c r="AC11" s="774"/>
      <c r="AD11" s="774"/>
    </row>
    <row r="12" spans="1:34" ht="45" customHeight="1">
      <c r="A12" s="4014"/>
      <c r="B12" s="826">
        <v>2</v>
      </c>
      <c r="C12" s="4021"/>
      <c r="D12" s="4021"/>
      <c r="E12" s="4021"/>
      <c r="F12" s="4021"/>
      <c r="G12" s="4021"/>
      <c r="H12" s="825" t="s">
        <v>2518</v>
      </c>
      <c r="I12" s="825"/>
      <c r="J12" s="825"/>
      <c r="K12" s="825"/>
      <c r="L12" s="825"/>
      <c r="M12" s="772" t="str">
        <f>IF(TEMPLATE_SPHERE="HEAT",T12,U12)</f>
        <v>Количество рассмотренных заявок</v>
      </c>
      <c r="N12" s="77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1"/>
      <c r="P12" s="771"/>
      <c r="Q12" s="771"/>
      <c r="R12" s="771"/>
      <c r="S12" s="771"/>
      <c r="T12" s="771" t="s">
        <v>2519</v>
      </c>
      <c r="U12" s="771" t="s">
        <v>2520</v>
      </c>
      <c r="V12" s="771"/>
      <c r="W12" s="771"/>
      <c r="X12" s="771"/>
      <c r="Y12" s="926"/>
      <c r="Z12" s="774" t="s">
        <v>2521</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4"/>
      <c r="AC12" s="774"/>
      <c r="AD12" s="774"/>
    </row>
    <row r="13" spans="1:34" ht="72" customHeight="1">
      <c r="A13" s="4014"/>
      <c r="B13" s="826">
        <v>3</v>
      </c>
      <c r="C13" s="4021"/>
      <c r="D13" s="4021"/>
      <c r="E13" s="4021"/>
      <c r="F13" s="4021"/>
      <c r="G13" s="4021"/>
      <c r="H13" s="4013" t="s">
        <v>2522</v>
      </c>
      <c r="I13" s="825"/>
      <c r="J13" s="825"/>
      <c r="K13" s="825"/>
      <c r="L13" s="825"/>
      <c r="M13" s="77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2" t="str">
        <f t="shared" si="0"/>
        <v>Указывается количество заявок с решением об отказе в течение отчетного квартала.</v>
      </c>
      <c r="O13" s="771"/>
      <c r="P13" s="772"/>
      <c r="Q13" s="772"/>
      <c r="R13" s="772"/>
      <c r="S13" s="771"/>
      <c r="T13" s="771" t="s">
        <v>2523</v>
      </c>
      <c r="U13" s="772" t="s">
        <v>2524</v>
      </c>
      <c r="V13" s="772"/>
      <c r="W13" s="772"/>
      <c r="X13" s="771"/>
      <c r="Y13" s="926"/>
      <c r="Z13" s="774" t="s">
        <v>2525</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4"/>
      <c r="AC13" s="774"/>
      <c r="AD13" s="774"/>
    </row>
    <row r="14" spans="1:34" ht="45" customHeight="1">
      <c r="A14" s="4014"/>
      <c r="B14" s="826">
        <v>4</v>
      </c>
      <c r="C14" s="4021"/>
      <c r="D14" s="4021"/>
      <c r="E14" s="4021"/>
      <c r="F14" s="4021"/>
      <c r="G14" s="4021"/>
      <c r="H14" s="4013"/>
      <c r="I14" s="828"/>
      <c r="J14" s="828"/>
      <c r="K14" s="828"/>
      <c r="L14" s="828"/>
      <c r="M14" s="775" t="str">
        <f>IF(TEMPLATE_SPHERE="HEAT",T14,U14)</f>
        <v>Причины отказа в заключении договора о подключении (технологическом присоединении) к системе теплоснабжения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2526</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2"/>
      <c r="W14" s="772"/>
      <c r="X14" s="771"/>
      <c r="Y14" s="926"/>
      <c r="Z14" s="774" t="s">
        <v>2527</v>
      </c>
      <c r="AA14" s="777" t="s">
        <v>2527</v>
      </c>
      <c r="AB14" s="774"/>
      <c r="AC14" s="774"/>
      <c r="AD14" s="774"/>
    </row>
    <row r="15" spans="1:34" ht="108" customHeight="1">
      <c r="A15" s="4014"/>
      <c r="B15" s="826">
        <v>5</v>
      </c>
      <c r="C15" s="4021"/>
      <c r="D15" s="4021"/>
      <c r="E15" s="4021"/>
      <c r="F15" s="4021"/>
      <c r="G15" s="4021"/>
      <c r="H15" s="4015" t="s">
        <v>2528</v>
      </c>
      <c r="I15" s="827"/>
      <c r="J15" s="827"/>
      <c r="K15" s="827"/>
      <c r="L15" s="827"/>
      <c r="M15" s="777" t="str">
        <f>IF(TEMPLATE_SPHERE="HEAT",T15,U15)</f>
        <v>Резерв мощности источников тепловой энергии, входящих в систему теплоснабжения, в течение одного квартала, в том числе:</v>
      </c>
      <c r="N15"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1"/>
      <c r="P15" s="772"/>
      <c r="Q15" s="772"/>
      <c r="R15" s="772"/>
      <c r="S15" s="771"/>
      <c r="T15" s="771" t="s">
        <v>2529</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2"/>
      <c r="W15" s="772"/>
      <c r="X15" s="771"/>
      <c r="Y15" s="926"/>
      <c r="Z15" s="774" t="s">
        <v>2530</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4"/>
      <c r="AC15" s="774"/>
      <c r="AD15" s="774"/>
    </row>
    <row r="16" spans="1:34" ht="108" customHeight="1">
      <c r="A16" s="826"/>
      <c r="B16" s="826">
        <v>6</v>
      </c>
      <c r="C16" s="4022"/>
      <c r="D16" s="4022"/>
      <c r="E16" s="4022"/>
      <c r="F16" s="4022"/>
      <c r="G16" s="4022"/>
      <c r="H16" s="4016"/>
      <c r="I16" s="888"/>
      <c r="J16" s="888"/>
      <c r="K16" s="888"/>
      <c r="L16" s="888"/>
      <c r="M16" s="819"/>
      <c r="N16"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1"/>
      <c r="P16" s="772"/>
      <c r="Q16" s="772"/>
      <c r="R16" s="772"/>
      <c r="S16" s="771"/>
      <c r="T16" s="771"/>
      <c r="U16" s="772"/>
      <c r="V16" s="772"/>
      <c r="W16" s="772"/>
      <c r="X16" s="771"/>
      <c r="Y16" s="926"/>
      <c r="Z16" s="774" t="s">
        <v>2530</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4"/>
      <c r="AC16" s="774"/>
      <c r="AD16" s="774"/>
    </row>
    <row r="17" spans="1:30" ht="9" customHeight="1">
      <c r="A17" s="826"/>
      <c r="B17" s="826"/>
      <c r="C17" s="826">
        <v>22</v>
      </c>
      <c r="D17" s="826">
        <v>21</v>
      </c>
      <c r="E17" s="826">
        <v>42</v>
      </c>
      <c r="F17" s="826">
        <v>63</v>
      </c>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row>
    <row r="18" spans="1:30" ht="27" customHeight="1">
      <c r="A18" s="773" t="s">
        <v>2156</v>
      </c>
      <c r="B18" s="826">
        <v>1</v>
      </c>
      <c r="C18" s="771" t="s">
        <v>2514</v>
      </c>
      <c r="D18" s="893" t="s">
        <v>2514</v>
      </c>
      <c r="E18" s="771" t="s">
        <v>2514</v>
      </c>
      <c r="F18" s="771" t="s">
        <v>2514</v>
      </c>
      <c r="G18" s="771"/>
      <c r="H18" s="928"/>
      <c r="I18" s="931">
        <f t="shared" ref="I18:I49" si="1">INDEX(TEMPLATE_NUMBER_POINT_FHD,B18,MATCH(TEMPLATE_SPHERE,TEMPLATE_SPHERE_LIST_FOR_NOTE,0))</f>
        <v>1</v>
      </c>
      <c r="J18" s="931"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1"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2">
        <f t="shared" ref="L18:L49" si="4">IF(I18=0,"",I18)</f>
        <v>1</v>
      </c>
      <c r="M18" s="772" t="str">
        <f t="shared" ref="M18:M49" si="5">IF(J18=0,"",J18)</f>
        <v>Выручка от регулируемого вида деятельности с распределением по видам деятельности</v>
      </c>
      <c r="N18" s="772" t="str">
        <f t="shared" ref="N18:N49" si="6">IF(K18=0,"",K18)</f>
        <v>Указывается выручка от регулируемого вида деятельности с распределением по видам деятельности.</v>
      </c>
      <c r="O18" s="883">
        <v>1</v>
      </c>
      <c r="P18" s="883">
        <v>1</v>
      </c>
      <c r="Q18" s="883">
        <v>1</v>
      </c>
      <c r="R18" s="883">
        <v>1</v>
      </c>
      <c r="S18" s="883"/>
      <c r="T18" s="890" t="s">
        <v>2531</v>
      </c>
      <c r="U18" s="774" t="s">
        <v>2532</v>
      </c>
      <c r="V18" s="774" t="s">
        <v>2533</v>
      </c>
      <c r="W18" s="774" t="s">
        <v>2534</v>
      </c>
      <c r="X18" s="771"/>
      <c r="Y18" s="926"/>
      <c r="Z18" s="774" t="s">
        <v>2535</v>
      </c>
      <c r="AA18" s="777" t="s">
        <v>2536</v>
      </c>
      <c r="AB18" s="777" t="s">
        <v>2536</v>
      </c>
      <c r="AC18" s="777" t="s">
        <v>2536</v>
      </c>
      <c r="AD18" s="774"/>
    </row>
    <row r="19" spans="1:30" ht="36" customHeight="1">
      <c r="A19" s="773"/>
      <c r="B19" s="826">
        <v>2</v>
      </c>
      <c r="C19" s="771" t="s">
        <v>2518</v>
      </c>
      <c r="D19" s="893" t="s">
        <v>2518</v>
      </c>
      <c r="E19" s="771" t="s">
        <v>2518</v>
      </c>
      <c r="F19" s="771" t="s">
        <v>2518</v>
      </c>
      <c r="G19" s="771"/>
      <c r="H19" s="928"/>
      <c r="I19" s="931">
        <f t="shared" si="1"/>
        <v>2</v>
      </c>
      <c r="J19" s="931" t="str">
        <f t="shared" si="2"/>
        <v>Себестоимость производимых товаров (оказываемых услуг) по регулируемому виду деятельности, включая:</v>
      </c>
      <c r="K19" s="931"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регулируемому виду деятельности, включая:</v>
      </c>
      <c r="N19" s="772" t="str">
        <f t="shared" si="6"/>
        <v>Указывается суммарная себестоимость производимых товаров.</v>
      </c>
      <c r="O19" s="883">
        <v>2</v>
      </c>
      <c r="P19" s="883">
        <v>2</v>
      </c>
      <c r="Q19" s="883">
        <v>2</v>
      </c>
      <c r="R19" s="883">
        <v>2</v>
      </c>
      <c r="S19" s="883"/>
      <c r="T19" s="890" t="s">
        <v>2537</v>
      </c>
      <c r="U19" s="774" t="s">
        <v>2538</v>
      </c>
      <c r="V19" s="774" t="s">
        <v>2539</v>
      </c>
      <c r="W19" s="774" t="s">
        <v>2540</v>
      </c>
      <c r="X19" s="771"/>
      <c r="Y19" s="926"/>
      <c r="Z19" s="774" t="s">
        <v>2541</v>
      </c>
      <c r="AA19" s="777" t="s">
        <v>2541</v>
      </c>
      <c r="AB19" s="777" t="s">
        <v>2541</v>
      </c>
      <c r="AC19" s="777" t="s">
        <v>2541</v>
      </c>
      <c r="AD19" s="774"/>
    </row>
    <row r="20" spans="1:30" ht="27" customHeight="1">
      <c r="A20" s="773"/>
      <c r="B20" s="826">
        <v>3</v>
      </c>
      <c r="C20" s="771">
        <v>1</v>
      </c>
      <c r="D20" s="893"/>
      <c r="E20" s="771"/>
      <c r="F20" s="771"/>
      <c r="G20" s="771"/>
      <c r="H20" s="928"/>
      <c r="I20" s="931" t="str">
        <f t="shared" si="1"/>
        <v>2.1</v>
      </c>
      <c r="J20" s="931" t="str">
        <f t="shared" si="2"/>
        <v>Расходы на приобретаемую тепловую энергию (мощность), теплоноситель</v>
      </c>
      <c r="K20" s="931">
        <f t="shared" si="3"/>
        <v>0</v>
      </c>
      <c r="L20" s="772" t="str">
        <f t="shared" si="4"/>
        <v>2.1</v>
      </c>
      <c r="M20" s="772" t="str">
        <f t="shared" si="5"/>
        <v>Расходы на приобретаемую тепловую энергию (мощность), теплоноситель</v>
      </c>
      <c r="N20" s="772" t="str">
        <f t="shared" si="6"/>
        <v/>
      </c>
      <c r="O20" s="883" t="s">
        <v>1029</v>
      </c>
      <c r="P20" s="883" t="s">
        <v>1029</v>
      </c>
      <c r="Q20" s="883" t="s">
        <v>1029</v>
      </c>
      <c r="R20" s="883" t="s">
        <v>1029</v>
      </c>
      <c r="S20" s="883"/>
      <c r="T20" s="890" t="s">
        <v>2542</v>
      </c>
      <c r="U20" s="774" t="s">
        <v>2543</v>
      </c>
      <c r="V20" s="774" t="s">
        <v>2544</v>
      </c>
      <c r="W20" s="774" t="s">
        <v>2545</v>
      </c>
      <c r="X20" s="771"/>
      <c r="Y20" s="926"/>
      <c r="Z20" s="774"/>
      <c r="AA20" s="777"/>
      <c r="AB20" s="774"/>
      <c r="AC20" s="774"/>
      <c r="AD20" s="774"/>
    </row>
    <row r="21" spans="1:30" ht="36" customHeight="1">
      <c r="A21" s="773"/>
      <c r="B21" s="826">
        <v>4</v>
      </c>
      <c r="C21" s="771">
        <v>2</v>
      </c>
      <c r="D21" s="893"/>
      <c r="E21" s="771"/>
      <c r="F21" s="771"/>
      <c r="G21" s="771"/>
      <c r="H21" s="928"/>
      <c r="I21" s="931" t="str">
        <f t="shared" si="1"/>
        <v>2.2</v>
      </c>
      <c r="J21" s="931"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1" t="str">
        <f t="shared" si="3"/>
        <v>Указываются суммарные расходы на приобретение топлива всех видов.</v>
      </c>
      <c r="L21" s="772" t="str">
        <f t="shared" si="4"/>
        <v>2.2</v>
      </c>
      <c r="M21" s="77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2" t="str">
        <f t="shared" si="6"/>
        <v>Указываются суммарные расходы на приобретение топлива всех видов.</v>
      </c>
      <c r="O21" s="883" t="s">
        <v>352</v>
      </c>
      <c r="P21" s="883"/>
      <c r="Q21" s="883"/>
      <c r="R21" s="883"/>
      <c r="S21" s="883"/>
      <c r="T21" s="890" t="s">
        <v>2546</v>
      </c>
      <c r="U21" s="774"/>
      <c r="V21" s="774"/>
      <c r="W21" s="774"/>
      <c r="X21" s="771"/>
      <c r="Y21" s="926"/>
      <c r="Z21" s="774" t="s">
        <v>2547</v>
      </c>
      <c r="AA21" s="777"/>
      <c r="AB21" s="774"/>
      <c r="AC21" s="774"/>
      <c r="AD21" s="774"/>
    </row>
    <row r="22" spans="1:30" ht="36" customHeight="1">
      <c r="A22" s="773"/>
      <c r="B22" s="826">
        <v>5</v>
      </c>
      <c r="C22" s="771">
        <v>3</v>
      </c>
      <c r="D22" s="893"/>
      <c r="E22" s="771"/>
      <c r="F22" s="771"/>
      <c r="G22" s="818"/>
      <c r="H22" s="884"/>
      <c r="I22" s="931">
        <f t="shared" si="1"/>
        <v>0</v>
      </c>
      <c r="J22" s="931">
        <f t="shared" si="2"/>
        <v>0</v>
      </c>
      <c r="K22" s="931">
        <f t="shared" si="3"/>
        <v>0</v>
      </c>
      <c r="L22" s="772" t="str">
        <f t="shared" si="4"/>
        <v/>
      </c>
      <c r="M22" s="772" t="str">
        <f t="shared" si="5"/>
        <v/>
      </c>
      <c r="N22" s="772" t="str">
        <f t="shared" si="6"/>
        <v/>
      </c>
      <c r="O22" s="883"/>
      <c r="P22" s="883"/>
      <c r="Q22" s="883" t="s">
        <v>352</v>
      </c>
      <c r="R22" s="883"/>
      <c r="S22" s="883"/>
      <c r="T22" s="890"/>
      <c r="U22" s="774"/>
      <c r="V22" s="774" t="s">
        <v>2548</v>
      </c>
      <c r="W22" s="774"/>
      <c r="X22" s="771"/>
      <c r="Y22" s="926"/>
      <c r="Z22" s="774"/>
      <c r="AA22" s="777"/>
      <c r="AB22" s="774"/>
      <c r="AC22" s="774"/>
      <c r="AD22" s="774"/>
    </row>
    <row r="23" spans="1:30" ht="27" customHeight="1">
      <c r="A23" s="773"/>
      <c r="B23" s="826">
        <v>6</v>
      </c>
      <c r="C23" s="771">
        <v>4</v>
      </c>
      <c r="D23" s="893"/>
      <c r="E23" s="771"/>
      <c r="F23" s="771"/>
      <c r="G23" s="818"/>
      <c r="H23" s="884"/>
      <c r="I23" s="931">
        <f t="shared" si="1"/>
        <v>0</v>
      </c>
      <c r="J23" s="931">
        <f t="shared" si="2"/>
        <v>0</v>
      </c>
      <c r="K23" s="931">
        <f t="shared" si="3"/>
        <v>0</v>
      </c>
      <c r="L23" s="772" t="str">
        <f t="shared" si="4"/>
        <v/>
      </c>
      <c r="M23" s="772" t="str">
        <f t="shared" si="5"/>
        <v/>
      </c>
      <c r="N23" s="772" t="str">
        <f t="shared" si="6"/>
        <v/>
      </c>
      <c r="O23" s="883"/>
      <c r="P23" s="883"/>
      <c r="Q23" s="883" t="s">
        <v>355</v>
      </c>
      <c r="R23" s="883"/>
      <c r="S23" s="883"/>
      <c r="T23" s="890"/>
      <c r="U23" s="774"/>
      <c r="V23" s="774" t="s">
        <v>2549</v>
      </c>
      <c r="W23" s="774"/>
      <c r="X23" s="771"/>
      <c r="Y23" s="926"/>
      <c r="Z23" s="774"/>
      <c r="AA23" s="777"/>
      <c r="AB23" s="774"/>
      <c r="AC23" s="774"/>
      <c r="AD23" s="774"/>
    </row>
    <row r="24" spans="1:30" ht="36" customHeight="1">
      <c r="A24" s="773"/>
      <c r="B24" s="826">
        <v>7</v>
      </c>
      <c r="C24" s="771">
        <v>5</v>
      </c>
      <c r="D24" s="893"/>
      <c r="E24" s="771"/>
      <c r="F24" s="771"/>
      <c r="G24" s="818"/>
      <c r="H24" s="884"/>
      <c r="I24" s="931">
        <f t="shared" si="1"/>
        <v>0</v>
      </c>
      <c r="J24" s="931">
        <f t="shared" si="2"/>
        <v>0</v>
      </c>
      <c r="K24" s="931">
        <f t="shared" si="3"/>
        <v>0</v>
      </c>
      <c r="L24" s="772" t="str">
        <f t="shared" si="4"/>
        <v/>
      </c>
      <c r="M24" s="772" t="str">
        <f t="shared" si="5"/>
        <v/>
      </c>
      <c r="N24" s="772" t="str">
        <f t="shared" si="6"/>
        <v/>
      </c>
      <c r="O24" s="883"/>
      <c r="P24" s="883"/>
      <c r="Q24" s="883" t="s">
        <v>1049</v>
      </c>
      <c r="R24" s="883"/>
      <c r="S24" s="883"/>
      <c r="T24" s="890"/>
      <c r="U24" s="774"/>
      <c r="V24" s="774" t="s">
        <v>2550</v>
      </c>
      <c r="W24" s="774"/>
      <c r="X24" s="771"/>
      <c r="Y24" s="926"/>
      <c r="Z24" s="774"/>
      <c r="AA24" s="777"/>
      <c r="AB24" s="774"/>
      <c r="AC24" s="774"/>
      <c r="AD24" s="774"/>
    </row>
    <row r="25" spans="1:30" ht="36" customHeight="1">
      <c r="A25" s="773"/>
      <c r="B25" s="826">
        <v>8</v>
      </c>
      <c r="C25" s="771">
        <v>6</v>
      </c>
      <c r="D25" s="893"/>
      <c r="E25" s="771"/>
      <c r="F25" s="771"/>
      <c r="G25" s="818"/>
      <c r="H25" s="884"/>
      <c r="I25" s="931" t="str">
        <f t="shared" si="1"/>
        <v>2.3</v>
      </c>
      <c r="J25" s="931" t="str">
        <f t="shared" si="2"/>
        <v>Расходы на приобретаемую электрическую энергию (мощность), используемую в технологическом процессе</v>
      </c>
      <c r="K25" s="931">
        <f t="shared" si="3"/>
        <v>0</v>
      </c>
      <c r="L25" s="772" t="str">
        <f t="shared" si="4"/>
        <v>2.3</v>
      </c>
      <c r="M25" s="772" t="str">
        <f t="shared" si="5"/>
        <v>Расходы на приобретаемую электрическую энергию (мощность), используемую в технологическом процессе</v>
      </c>
      <c r="N25" s="772" t="str">
        <f t="shared" si="6"/>
        <v/>
      </c>
      <c r="O25" s="883" t="s">
        <v>355</v>
      </c>
      <c r="P25" s="883" t="s">
        <v>352</v>
      </c>
      <c r="Q25" s="883" t="s">
        <v>1056</v>
      </c>
      <c r="R25" s="883" t="s">
        <v>352</v>
      </c>
      <c r="S25" s="883"/>
      <c r="T25" s="890" t="s">
        <v>2551</v>
      </c>
      <c r="U25" s="774" t="s">
        <v>2551</v>
      </c>
      <c r="V25" s="774" t="s">
        <v>2551</v>
      </c>
      <c r="W25" s="774" t="s">
        <v>2551</v>
      </c>
      <c r="X25" s="771"/>
      <c r="Y25" s="926"/>
      <c r="Z25" s="774"/>
      <c r="AA25" s="777"/>
      <c r="AB25" s="774"/>
      <c r="AC25" s="774"/>
      <c r="AD25" s="774"/>
    </row>
    <row r="26" spans="1:30" ht="18" customHeight="1">
      <c r="A26" s="773"/>
      <c r="B26" s="826">
        <v>9</v>
      </c>
      <c r="C26" s="771" t="s">
        <v>973</v>
      </c>
      <c r="D26" s="893"/>
      <c r="E26" s="771"/>
      <c r="F26" s="771"/>
      <c r="G26" s="818"/>
      <c r="H26" s="884"/>
      <c r="I26" s="931" t="str">
        <f t="shared" si="1"/>
        <v>2.3.1</v>
      </c>
      <c r="J26" s="931" t="str">
        <f t="shared" si="2"/>
        <v>Средневзвешенная стоимость 1 кВт.ч (с учетом мощности)</v>
      </c>
      <c r="K26" s="931">
        <f t="shared" si="3"/>
        <v>0</v>
      </c>
      <c r="L26" s="772" t="str">
        <f t="shared" si="4"/>
        <v>2.3.1</v>
      </c>
      <c r="M26" s="772" t="str">
        <f t="shared" si="5"/>
        <v>Средневзвешенная стоимость 1 кВт.ч (с учетом мощности)</v>
      </c>
      <c r="N26" s="772" t="str">
        <f t="shared" si="6"/>
        <v/>
      </c>
      <c r="O26" s="883" t="s">
        <v>1045</v>
      </c>
      <c r="P26" s="883" t="s">
        <v>1039</v>
      </c>
      <c r="Q26" s="883" t="s">
        <v>2552</v>
      </c>
      <c r="R26" s="883" t="s">
        <v>1039</v>
      </c>
      <c r="S26" s="883"/>
      <c r="T26" s="89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0" t="s">
        <v>2553</v>
      </c>
      <c r="V26" s="890" t="s">
        <v>2553</v>
      </c>
      <c r="W26" s="890" t="s">
        <v>2553</v>
      </c>
      <c r="X26" s="771"/>
      <c r="Y26" s="926"/>
      <c r="Z26" s="774"/>
      <c r="AA26" s="777"/>
      <c r="AB26" s="774"/>
      <c r="AC26" s="774"/>
      <c r="AD26" s="774"/>
    </row>
    <row r="27" spans="1:30" ht="18" customHeight="1">
      <c r="A27" s="773"/>
      <c r="B27" s="826">
        <v>10</v>
      </c>
      <c r="C27" s="771" t="s">
        <v>977</v>
      </c>
      <c r="D27" s="893"/>
      <c r="E27" s="771"/>
      <c r="F27" s="771"/>
      <c r="G27" s="818"/>
      <c r="H27" s="884"/>
      <c r="I27" s="931" t="str">
        <f t="shared" si="1"/>
        <v>2.3.2</v>
      </c>
      <c r="J27" s="931" t="str">
        <f t="shared" si="2"/>
        <v>Объём приобретения электрической энергии</v>
      </c>
      <c r="K27" s="931">
        <f t="shared" si="3"/>
        <v>0</v>
      </c>
      <c r="L27" s="772" t="str">
        <f t="shared" si="4"/>
        <v>2.3.2</v>
      </c>
      <c r="M27" s="772" t="str">
        <f t="shared" si="5"/>
        <v>Объём приобретения электрической энергии</v>
      </c>
      <c r="N27" s="772" t="str">
        <f t="shared" si="6"/>
        <v/>
      </c>
      <c r="O27" s="883" t="s">
        <v>1047</v>
      </c>
      <c r="P27" s="883" t="s">
        <v>1041</v>
      </c>
      <c r="Q27" s="883" t="s">
        <v>2554</v>
      </c>
      <c r="R27" s="883" t="s">
        <v>1041</v>
      </c>
      <c r="S27" s="883"/>
      <c r="T27" s="890" t="s">
        <v>2555</v>
      </c>
      <c r="U27" s="890" t="s">
        <v>2555</v>
      </c>
      <c r="V27" s="890" t="s">
        <v>2555</v>
      </c>
      <c r="W27" s="890" t="s">
        <v>2555</v>
      </c>
      <c r="X27" s="771"/>
      <c r="Y27" s="926"/>
      <c r="Z27" s="774"/>
      <c r="AA27" s="777"/>
      <c r="AB27" s="774"/>
      <c r="AC27" s="774"/>
      <c r="AD27" s="774"/>
    </row>
    <row r="28" spans="1:30" ht="27" customHeight="1">
      <c r="A28" s="773"/>
      <c r="B28" s="826">
        <v>11</v>
      </c>
      <c r="C28" s="771">
        <v>7</v>
      </c>
      <c r="D28" s="893"/>
      <c r="E28" s="771"/>
      <c r="F28" s="771"/>
      <c r="G28" s="818"/>
      <c r="H28" s="884"/>
      <c r="I28" s="931" t="str">
        <f t="shared" si="1"/>
        <v>2.4</v>
      </c>
      <c r="J28" s="931" t="str">
        <f t="shared" si="2"/>
        <v>Расходы на приобретение холодной воды, используемой в технологическом процессе</v>
      </c>
      <c r="K28" s="931">
        <f t="shared" si="3"/>
        <v>0</v>
      </c>
      <c r="L28" s="772" t="str">
        <f t="shared" si="4"/>
        <v>2.4</v>
      </c>
      <c r="M28" s="772" t="str">
        <f t="shared" si="5"/>
        <v>Расходы на приобретение холодной воды, используемой в технологическом процессе</v>
      </c>
      <c r="N28" s="772" t="str">
        <f t="shared" si="6"/>
        <v/>
      </c>
      <c r="O28" s="883" t="s">
        <v>1049</v>
      </c>
      <c r="P28" s="883"/>
      <c r="Q28" s="883"/>
      <c r="R28" s="883"/>
      <c r="S28" s="883"/>
      <c r="T28" s="890" t="s">
        <v>2556</v>
      </c>
      <c r="U28" s="774"/>
      <c r="V28" s="774"/>
      <c r="W28" s="774"/>
      <c r="X28" s="771"/>
      <c r="Y28" s="926"/>
      <c r="Z28" s="774"/>
      <c r="AA28" s="777"/>
      <c r="AB28" s="774"/>
      <c r="AC28" s="774"/>
      <c r="AD28" s="774"/>
    </row>
    <row r="29" spans="1:30" ht="27" customHeight="1">
      <c r="A29" s="773"/>
      <c r="B29" s="826">
        <v>12</v>
      </c>
      <c r="C29" s="771">
        <v>8</v>
      </c>
      <c r="D29" s="893"/>
      <c r="E29" s="771"/>
      <c r="F29" s="771"/>
      <c r="G29" s="818"/>
      <c r="H29" s="884"/>
      <c r="I29" s="931" t="str">
        <f t="shared" si="1"/>
        <v>2.5</v>
      </c>
      <c r="J29" s="931" t="str">
        <f t="shared" si="2"/>
        <v>Расходы на  химические реагенты, используемые в технологическом процессе</v>
      </c>
      <c r="K29" s="931">
        <f t="shared" si="3"/>
        <v>0</v>
      </c>
      <c r="L29" s="772" t="str">
        <f t="shared" si="4"/>
        <v>2.5</v>
      </c>
      <c r="M29" s="772" t="str">
        <f t="shared" si="5"/>
        <v>Расходы на  химические реагенты, используемые в технологическом процессе</v>
      </c>
      <c r="N29" s="772" t="str">
        <f t="shared" si="6"/>
        <v/>
      </c>
      <c r="O29" s="883" t="s">
        <v>1056</v>
      </c>
      <c r="P29" s="883" t="s">
        <v>355</v>
      </c>
      <c r="Q29" s="883"/>
      <c r="R29" s="883" t="s">
        <v>355</v>
      </c>
      <c r="S29" s="883"/>
      <c r="T29" s="89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4" t="s">
        <v>2557</v>
      </c>
      <c r="V29" s="774"/>
      <c r="W29" s="774" t="s">
        <v>2557</v>
      </c>
      <c r="X29" s="771"/>
      <c r="Y29" s="926"/>
      <c r="Z29" s="774"/>
      <c r="AA29" s="777"/>
      <c r="AB29" s="774"/>
      <c r="AC29" s="774"/>
      <c r="AD29" s="774"/>
    </row>
    <row r="30" spans="1:30" ht="54" customHeight="1">
      <c r="A30" s="773"/>
      <c r="B30" s="826">
        <v>13</v>
      </c>
      <c r="C30" s="771">
        <v>9</v>
      </c>
      <c r="D30" s="893"/>
      <c r="E30" s="771"/>
      <c r="F30" s="771"/>
      <c r="G30" s="818"/>
      <c r="H30" s="884"/>
      <c r="I30" s="931" t="str">
        <f t="shared" si="1"/>
        <v>2.6</v>
      </c>
      <c r="J30" s="93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1">
        <f t="shared" si="3"/>
        <v>0</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
      </c>
      <c r="O30" s="883" t="s">
        <v>1058</v>
      </c>
      <c r="P30" s="883" t="s">
        <v>1049</v>
      </c>
      <c r="Q30" s="883" t="s">
        <v>1058</v>
      </c>
      <c r="R30" s="883" t="s">
        <v>1049</v>
      </c>
      <c r="S30" s="883"/>
      <c r="T30" s="890" t="s">
        <v>2558</v>
      </c>
      <c r="U30" s="774" t="s">
        <v>2558</v>
      </c>
      <c r="V30" s="774" t="s">
        <v>2558</v>
      </c>
      <c r="W30" s="774" t="s">
        <v>2558</v>
      </c>
      <c r="X30" s="771"/>
      <c r="Y30" s="926"/>
      <c r="Z30" s="774"/>
      <c r="AA30" s="777" t="s">
        <v>2559</v>
      </c>
      <c r="AB30" s="777" t="s">
        <v>2559</v>
      </c>
      <c r="AC30" s="777" t="s">
        <v>2559</v>
      </c>
      <c r="AD30" s="774"/>
    </row>
    <row r="31" spans="1:30" ht="18" customHeight="1">
      <c r="A31" s="773"/>
      <c r="B31" s="826">
        <v>14</v>
      </c>
      <c r="C31" s="771" t="s">
        <v>2560</v>
      </c>
      <c r="D31" s="893"/>
      <c r="E31" s="771"/>
      <c r="F31" s="771"/>
      <c r="G31" s="818"/>
      <c r="H31" s="884"/>
      <c r="I31" s="931" t="str">
        <f t="shared" si="1"/>
        <v>2.6.1</v>
      </c>
      <c r="J31" s="931" t="str">
        <f t="shared" si="2"/>
        <v>Расходы на оплату труда основного производственного персонала</v>
      </c>
      <c r="K31" s="931">
        <f t="shared" si="3"/>
        <v>0</v>
      </c>
      <c r="L31" s="772" t="str">
        <f t="shared" si="4"/>
        <v>2.6.1</v>
      </c>
      <c r="M31" s="772" t="str">
        <f t="shared" si="5"/>
        <v>Расходы на оплату труда основного производственного персонала</v>
      </c>
      <c r="N31" s="772" t="str">
        <f t="shared" si="6"/>
        <v/>
      </c>
      <c r="O31" s="883" t="s">
        <v>2561</v>
      </c>
      <c r="P31" s="883" t="s">
        <v>1052</v>
      </c>
      <c r="Q31" s="883" t="s">
        <v>2561</v>
      </c>
      <c r="R31" s="883" t="s">
        <v>1052</v>
      </c>
      <c r="S31" s="883"/>
      <c r="T31" s="891" t="s">
        <v>2562</v>
      </c>
      <c r="U31" s="774" t="s">
        <v>2562</v>
      </c>
      <c r="V31" s="774" t="s">
        <v>2562</v>
      </c>
      <c r="W31" s="774" t="s">
        <v>2562</v>
      </c>
      <c r="X31" s="771"/>
      <c r="Y31" s="926"/>
      <c r="Z31" s="774"/>
      <c r="AA31" s="777"/>
      <c r="AB31" s="777"/>
      <c r="AC31" s="777"/>
      <c r="AD31" s="774"/>
    </row>
    <row r="32" spans="1:30" ht="36" customHeight="1">
      <c r="A32" s="773"/>
      <c r="B32" s="826">
        <v>15</v>
      </c>
      <c r="C32" s="771" t="s">
        <v>2563</v>
      </c>
      <c r="D32" s="893"/>
      <c r="E32" s="771"/>
      <c r="F32" s="771"/>
      <c r="G32" s="818"/>
      <c r="H32" s="884"/>
      <c r="I32" s="931" t="str">
        <f t="shared" si="1"/>
        <v>2.6.2</v>
      </c>
      <c r="J32" s="931"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1">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2564</v>
      </c>
      <c r="P32" s="883" t="s">
        <v>1054</v>
      </c>
      <c r="Q32" s="883" t="s">
        <v>2564</v>
      </c>
      <c r="R32" s="883" t="s">
        <v>1054</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4" t="s">
        <v>2565</v>
      </c>
      <c r="V32" s="774" t="s">
        <v>2565</v>
      </c>
      <c r="W32" s="774" t="s">
        <v>2565</v>
      </c>
      <c r="X32" s="771"/>
      <c r="Y32" s="926"/>
      <c r="Z32" s="774"/>
      <c r="AA32" s="777"/>
      <c r="AB32" s="777"/>
      <c r="AC32" s="777"/>
      <c r="AD32" s="774"/>
    </row>
    <row r="33" spans="1:30" ht="45" customHeight="1">
      <c r="A33" s="773"/>
      <c r="B33" s="826">
        <v>16</v>
      </c>
      <c r="C33" s="771">
        <v>10</v>
      </c>
      <c r="D33" s="893"/>
      <c r="E33" s="771"/>
      <c r="F33" s="771"/>
      <c r="G33" s="818"/>
      <c r="H33" s="884"/>
      <c r="I33" s="931" t="str">
        <f t="shared" si="1"/>
        <v>2.7</v>
      </c>
      <c r="J33" s="93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1">
        <f t="shared" si="3"/>
        <v>0</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
      </c>
      <c r="O33" s="883" t="s">
        <v>1060</v>
      </c>
      <c r="P33" s="883" t="s">
        <v>1056</v>
      </c>
      <c r="Q33" s="883" t="s">
        <v>1060</v>
      </c>
      <c r="R33" s="883" t="s">
        <v>1056</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4" t="s">
        <v>2566</v>
      </c>
      <c r="V33" s="774" t="s">
        <v>2566</v>
      </c>
      <c r="W33" s="774" t="s">
        <v>2567</v>
      </c>
      <c r="X33" s="771"/>
      <c r="Y33" s="926"/>
      <c r="Z33" s="774"/>
      <c r="AA33" s="777" t="s">
        <v>2568</v>
      </c>
      <c r="AB33" s="777" t="s">
        <v>2568</v>
      </c>
      <c r="AC33" s="777" t="s">
        <v>2568</v>
      </c>
      <c r="AD33" s="774"/>
    </row>
    <row r="34" spans="1:30" ht="27" customHeight="1">
      <c r="A34" s="773"/>
      <c r="B34" s="826">
        <v>17</v>
      </c>
      <c r="C34" s="771" t="s">
        <v>2569</v>
      </c>
      <c r="D34" s="893"/>
      <c r="E34" s="771"/>
      <c r="F34" s="771"/>
      <c r="G34" s="818"/>
      <c r="H34" s="884"/>
      <c r="I34" s="931" t="str">
        <f t="shared" si="1"/>
        <v>2.7.1</v>
      </c>
      <c r="J34" s="931" t="str">
        <f t="shared" si="2"/>
        <v>Расходы на оплату труда административно-управленческого персонала</v>
      </c>
      <c r="K34" s="931">
        <f t="shared" si="3"/>
        <v>0</v>
      </c>
      <c r="L34" s="772" t="str">
        <f t="shared" si="4"/>
        <v>2.7.1</v>
      </c>
      <c r="M34" s="772" t="str">
        <f t="shared" si="5"/>
        <v>Расходы на оплату труда административно-управленческого персонала</v>
      </c>
      <c r="N34" s="772" t="str">
        <f t="shared" si="6"/>
        <v/>
      </c>
      <c r="O34" s="883" t="s">
        <v>2570</v>
      </c>
      <c r="P34" s="883" t="s">
        <v>2552</v>
      </c>
      <c r="Q34" s="883" t="s">
        <v>2570</v>
      </c>
      <c r="R34" s="883" t="s">
        <v>2552</v>
      </c>
      <c r="S34" s="883"/>
      <c r="T34" s="892" t="s">
        <v>2571</v>
      </c>
      <c r="U34" s="774" t="s">
        <v>2571</v>
      </c>
      <c r="V34" s="774" t="s">
        <v>2571</v>
      </c>
      <c r="W34" s="774" t="s">
        <v>2572</v>
      </c>
      <c r="X34" s="771"/>
      <c r="Y34" s="926"/>
      <c r="Z34" s="774"/>
      <c r="AA34" s="777"/>
      <c r="AB34" s="774"/>
      <c r="AC34" s="774"/>
      <c r="AD34" s="774"/>
    </row>
    <row r="35" spans="1:30" ht="45" customHeight="1">
      <c r="A35" s="773"/>
      <c r="B35" s="826">
        <v>18</v>
      </c>
      <c r="C35" s="771" t="s">
        <v>2573</v>
      </c>
      <c r="D35" s="893"/>
      <c r="E35" s="771"/>
      <c r="F35" s="771"/>
      <c r="G35" s="818"/>
      <c r="H35" s="884"/>
      <c r="I35" s="931" t="str">
        <f t="shared" si="1"/>
        <v>2.7.2</v>
      </c>
      <c r="J35" s="93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1">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2574</v>
      </c>
      <c r="P35" s="883" t="s">
        <v>2554</v>
      </c>
      <c r="Q35" s="883" t="s">
        <v>2574</v>
      </c>
      <c r="R35" s="883" t="s">
        <v>2554</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4" t="s">
        <v>2575</v>
      </c>
      <c r="V35" s="774" t="s">
        <v>2575</v>
      </c>
      <c r="W35" s="774" t="s">
        <v>2575</v>
      </c>
      <c r="X35" s="771"/>
      <c r="Y35" s="926"/>
      <c r="Z35" s="774"/>
      <c r="AA35" s="777"/>
      <c r="AB35" s="774"/>
      <c r="AC35" s="774"/>
      <c r="AD35" s="774"/>
    </row>
    <row r="36" spans="1:30" ht="18" customHeight="1">
      <c r="A36" s="773"/>
      <c r="B36" s="826">
        <v>19</v>
      </c>
      <c r="C36" s="771">
        <v>11</v>
      </c>
      <c r="D36" s="893"/>
      <c r="E36" s="771"/>
      <c r="F36" s="771"/>
      <c r="G36" s="818"/>
      <c r="H36" s="884"/>
      <c r="I36" s="931" t="str">
        <f t="shared" si="1"/>
        <v>2.8</v>
      </c>
      <c r="J36" s="931" t="str">
        <f t="shared" si="2"/>
        <v>Расходы на амортизацию основных средств и нематериальных активов</v>
      </c>
      <c r="K36" s="931">
        <f t="shared" si="3"/>
        <v>0</v>
      </c>
      <c r="L36" s="772" t="str">
        <f t="shared" si="4"/>
        <v>2.8</v>
      </c>
      <c r="M36" s="772" t="str">
        <f t="shared" si="5"/>
        <v>Расходы на амортизацию основных средств и нематериальных активов</v>
      </c>
      <c r="N36" s="772" t="str">
        <f t="shared" si="6"/>
        <v/>
      </c>
      <c r="O36" s="883" t="s">
        <v>1062</v>
      </c>
      <c r="P36" s="883" t="s">
        <v>1058</v>
      </c>
      <c r="Q36" s="883" t="s">
        <v>1062</v>
      </c>
      <c r="R36" s="883" t="s">
        <v>1058</v>
      </c>
      <c r="S36" s="883"/>
      <c r="T36" s="890" t="s">
        <v>2576</v>
      </c>
      <c r="U36" s="774" t="s">
        <v>2576</v>
      </c>
      <c r="V36" s="774" t="s">
        <v>2576</v>
      </c>
      <c r="W36" s="774" t="s">
        <v>2576</v>
      </c>
      <c r="X36" s="771"/>
      <c r="Y36" s="926"/>
      <c r="Z36" s="774"/>
      <c r="AA36" s="777"/>
      <c r="AB36" s="774"/>
      <c r="AC36" s="774"/>
      <c r="AD36" s="774"/>
    </row>
    <row r="37" spans="1:30" ht="18" customHeight="1">
      <c r="A37" s="773"/>
      <c r="B37" s="826">
        <v>20</v>
      </c>
      <c r="C37" s="771" t="s">
        <v>2577</v>
      </c>
      <c r="D37" s="893"/>
      <c r="E37" s="771"/>
      <c r="F37" s="771"/>
      <c r="G37" s="818"/>
      <c r="H37" s="884"/>
      <c r="I37" s="931" t="str">
        <f t="shared" si="1"/>
        <v>2.8.1</v>
      </c>
      <c r="J37" s="931" t="str">
        <f t="shared" si="2"/>
        <v>Расходы на амортизацию основных средств</v>
      </c>
      <c r="K37" s="931">
        <f t="shared" si="3"/>
        <v>0</v>
      </c>
      <c r="L37" s="772" t="str">
        <f t="shared" si="4"/>
        <v>2.8.1</v>
      </c>
      <c r="M37" s="772" t="str">
        <f t="shared" si="5"/>
        <v>Расходы на амортизацию основных средств</v>
      </c>
      <c r="N37" s="772" t="str">
        <f t="shared" si="6"/>
        <v/>
      </c>
      <c r="O37" s="883" t="s">
        <v>2578</v>
      </c>
      <c r="P37" s="883" t="s">
        <v>2561</v>
      </c>
      <c r="Q37" s="883" t="s">
        <v>2578</v>
      </c>
      <c r="R37" s="883" t="s">
        <v>2561</v>
      </c>
      <c r="S37" s="883"/>
      <c r="T37" s="890" t="s">
        <v>2579</v>
      </c>
      <c r="U37" s="774" t="s">
        <v>2579</v>
      </c>
      <c r="V37" s="774" t="s">
        <v>2579</v>
      </c>
      <c r="W37" s="774" t="s">
        <v>2579</v>
      </c>
      <c r="X37" s="771"/>
      <c r="Y37" s="926"/>
      <c r="Z37" s="774"/>
      <c r="AA37" s="777"/>
      <c r="AB37" s="774"/>
      <c r="AC37" s="774"/>
      <c r="AD37" s="774"/>
    </row>
    <row r="38" spans="1:30" ht="18" customHeight="1">
      <c r="A38" s="773"/>
      <c r="B38" s="826">
        <v>21</v>
      </c>
      <c r="C38" s="771" t="s">
        <v>2580</v>
      </c>
      <c r="D38" s="893"/>
      <c r="E38" s="771"/>
      <c r="F38" s="771"/>
      <c r="G38" s="818"/>
      <c r="H38" s="884"/>
      <c r="I38" s="931" t="str">
        <f t="shared" si="1"/>
        <v>2.8.2</v>
      </c>
      <c r="J38" s="931" t="str">
        <f t="shared" si="2"/>
        <v>Расходы на амортизацию нематериальных активов</v>
      </c>
      <c r="K38" s="931">
        <f t="shared" si="3"/>
        <v>0</v>
      </c>
      <c r="L38" s="772" t="str">
        <f t="shared" si="4"/>
        <v>2.8.2</v>
      </c>
      <c r="M38" s="772" t="str">
        <f t="shared" si="5"/>
        <v>Расходы на амортизацию нематериальных активов</v>
      </c>
      <c r="N38" s="772" t="str">
        <f t="shared" si="6"/>
        <v/>
      </c>
      <c r="O38" s="883" t="s">
        <v>2581</v>
      </c>
      <c r="P38" s="883" t="s">
        <v>2564</v>
      </c>
      <c r="Q38" s="883" t="s">
        <v>2581</v>
      </c>
      <c r="R38" s="883" t="s">
        <v>2564</v>
      </c>
      <c r="S38" s="883"/>
      <c r="T38" s="890" t="s">
        <v>2582</v>
      </c>
      <c r="U38" s="774" t="s">
        <v>2582</v>
      </c>
      <c r="V38" s="774" t="s">
        <v>2582</v>
      </c>
      <c r="W38" s="774" t="s">
        <v>2582</v>
      </c>
      <c r="X38" s="771"/>
      <c r="Y38" s="926"/>
      <c r="Z38" s="774"/>
      <c r="AA38" s="777"/>
      <c r="AB38" s="774"/>
      <c r="AC38" s="774"/>
      <c r="AD38" s="774"/>
    </row>
    <row r="39" spans="1:30" ht="36" customHeight="1">
      <c r="A39" s="773"/>
      <c r="B39" s="826">
        <v>22</v>
      </c>
      <c r="C39" s="771">
        <v>12</v>
      </c>
      <c r="D39" s="893"/>
      <c r="E39" s="771"/>
      <c r="F39" s="771"/>
      <c r="G39" s="818"/>
      <c r="H39" s="884"/>
      <c r="I39" s="931" t="str">
        <f t="shared" si="1"/>
        <v>2.9</v>
      </c>
      <c r="J39" s="931" t="str">
        <f t="shared" si="2"/>
        <v>Расходы на аренду имущества, используемого для осуществления регулируемого вида деятельности</v>
      </c>
      <c r="K39" s="931">
        <f t="shared" si="3"/>
        <v>0</v>
      </c>
      <c r="L39" s="772" t="str">
        <f t="shared" si="4"/>
        <v>2.9</v>
      </c>
      <c r="M39" s="772" t="str">
        <f t="shared" si="5"/>
        <v>Расходы на аренду имущества, используемого для осуществления регулируемого вида деятельности</v>
      </c>
      <c r="N39" s="772" t="str">
        <f t="shared" si="6"/>
        <v/>
      </c>
      <c r="O39" s="883" t="s">
        <v>1066</v>
      </c>
      <c r="P39" s="883" t="s">
        <v>1060</v>
      </c>
      <c r="Q39" s="883" t="s">
        <v>1066</v>
      </c>
      <c r="R39" s="883" t="s">
        <v>1060</v>
      </c>
      <c r="S39" s="883"/>
      <c r="T39" s="890" t="s">
        <v>2583</v>
      </c>
      <c r="U39" s="774" t="s">
        <v>2584</v>
      </c>
      <c r="V39" s="774" t="s">
        <v>2585</v>
      </c>
      <c r="W39" s="774" t="s">
        <v>2586</v>
      </c>
      <c r="X39" s="771"/>
      <c r="Y39" s="926"/>
      <c r="Z39" s="774"/>
      <c r="AA39" s="777"/>
      <c r="AB39" s="774"/>
      <c r="AC39" s="774"/>
      <c r="AD39" s="774"/>
    </row>
    <row r="40" spans="1:30" ht="18" customHeight="1">
      <c r="A40" s="773"/>
      <c r="B40" s="826">
        <v>23</v>
      </c>
      <c r="C40" s="771">
        <v>13</v>
      </c>
      <c r="D40" s="893"/>
      <c r="E40" s="771"/>
      <c r="F40" s="771"/>
      <c r="G40" s="771"/>
      <c r="H40" s="821"/>
      <c r="I40" s="931" t="str">
        <f t="shared" si="1"/>
        <v>2.10</v>
      </c>
      <c r="J40" s="931" t="str">
        <f t="shared" si="2"/>
        <v>Общепроизводственные расходы, в том числе:</v>
      </c>
      <c r="K40" s="931"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1118</v>
      </c>
      <c r="P40" s="883" t="s">
        <v>1062</v>
      </c>
      <c r="Q40" s="883" t="s">
        <v>1118</v>
      </c>
      <c r="R40" s="883" t="s">
        <v>1062</v>
      </c>
      <c r="S40" s="883"/>
      <c r="T40" s="771" t="s">
        <v>2587</v>
      </c>
      <c r="U40" s="771" t="s">
        <v>2587</v>
      </c>
      <c r="V40" s="771" t="s">
        <v>2587</v>
      </c>
      <c r="W40" s="771" t="s">
        <v>2587</v>
      </c>
      <c r="X40" s="771"/>
      <c r="Y40" s="926"/>
      <c r="Z40" s="774" t="s">
        <v>2588</v>
      </c>
      <c r="AA40" s="777" t="s">
        <v>2588</v>
      </c>
      <c r="AB40" s="777" t="s">
        <v>2588</v>
      </c>
      <c r="AC40" s="777" t="s">
        <v>2588</v>
      </c>
      <c r="AD40" s="774"/>
    </row>
    <row r="41" spans="1:30" ht="27" customHeight="1">
      <c r="A41" s="773"/>
      <c r="B41" s="826">
        <v>24</v>
      </c>
      <c r="C41" s="771" t="s">
        <v>2589</v>
      </c>
      <c r="D41" s="893"/>
      <c r="E41" s="771"/>
      <c r="F41" s="771"/>
      <c r="G41" s="771"/>
      <c r="H41" s="818"/>
      <c r="I41" s="931" t="str">
        <f t="shared" si="1"/>
        <v>2.10.1</v>
      </c>
      <c r="J41" s="931" t="str">
        <f t="shared" si="2"/>
        <v>Расходы на текущий ремонт</v>
      </c>
      <c r="K41" s="931"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2590</v>
      </c>
      <c r="P41" s="883" t="s">
        <v>2578</v>
      </c>
      <c r="Q41" s="883" t="s">
        <v>2590</v>
      </c>
      <c r="R41" s="883" t="s">
        <v>2578</v>
      </c>
      <c r="S41" s="883"/>
      <c r="T41" s="771" t="s">
        <v>2591</v>
      </c>
      <c r="U41" s="771" t="s">
        <v>2591</v>
      </c>
      <c r="V41" s="771" t="s">
        <v>2591</v>
      </c>
      <c r="W41" s="771" t="s">
        <v>2591</v>
      </c>
      <c r="X41" s="771"/>
      <c r="Y41" s="926"/>
      <c r="Z41" s="774" t="s">
        <v>2592</v>
      </c>
      <c r="AA41" s="774" t="s">
        <v>2592</v>
      </c>
      <c r="AB41" s="774" t="s">
        <v>2592</v>
      </c>
      <c r="AC41" s="774" t="s">
        <v>2592</v>
      </c>
      <c r="AD41" s="774"/>
    </row>
    <row r="42" spans="1:30" ht="27" customHeight="1">
      <c r="A42" s="773"/>
      <c r="B42" s="826">
        <v>25</v>
      </c>
      <c r="C42" s="771" t="s">
        <v>2593</v>
      </c>
      <c r="D42" s="893"/>
      <c r="E42" s="771"/>
      <c r="F42" s="771"/>
      <c r="G42" s="771"/>
      <c r="H42" s="818"/>
      <c r="I42" s="931" t="str">
        <f t="shared" si="1"/>
        <v>2.10.2</v>
      </c>
      <c r="J42" s="931" t="str">
        <f t="shared" si="2"/>
        <v>Расходы на капитальный ремонт</v>
      </c>
      <c r="K42" s="931"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2594</v>
      </c>
      <c r="P42" s="883" t="s">
        <v>2581</v>
      </c>
      <c r="Q42" s="883" t="s">
        <v>2594</v>
      </c>
      <c r="R42" s="883" t="s">
        <v>2581</v>
      </c>
      <c r="S42" s="883"/>
      <c r="T42" s="771" t="s">
        <v>2595</v>
      </c>
      <c r="U42" s="771" t="s">
        <v>2595</v>
      </c>
      <c r="V42" s="771" t="s">
        <v>2595</v>
      </c>
      <c r="W42" s="771" t="s">
        <v>2595</v>
      </c>
      <c r="X42" s="771"/>
      <c r="Y42" s="926"/>
      <c r="Z42" s="774" t="s">
        <v>2596</v>
      </c>
      <c r="AA42" s="774" t="s">
        <v>2596</v>
      </c>
      <c r="AB42" s="774" t="s">
        <v>2596</v>
      </c>
      <c r="AC42" s="774" t="s">
        <v>2596</v>
      </c>
      <c r="AD42" s="774"/>
    </row>
    <row r="43" spans="1:30" ht="18" customHeight="1">
      <c r="A43" s="773"/>
      <c r="B43" s="826">
        <v>26</v>
      </c>
      <c r="C43" s="771">
        <v>14</v>
      </c>
      <c r="D43" s="893"/>
      <c r="E43" s="771"/>
      <c r="F43" s="771"/>
      <c r="G43" s="771"/>
      <c r="H43" s="818"/>
      <c r="I43" s="931" t="str">
        <f t="shared" si="1"/>
        <v>2.11</v>
      </c>
      <c r="J43" s="931" t="str">
        <f t="shared" si="2"/>
        <v>Общехозяйственные расходы, в том числе:</v>
      </c>
      <c r="K43" s="931"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2597</v>
      </c>
      <c r="P43" s="883" t="s">
        <v>1066</v>
      </c>
      <c r="Q43" s="883" t="s">
        <v>2597</v>
      </c>
      <c r="R43" s="883" t="s">
        <v>1066</v>
      </c>
      <c r="S43" s="883"/>
      <c r="T43" s="771" t="s">
        <v>2598</v>
      </c>
      <c r="U43" s="771" t="s">
        <v>2598</v>
      </c>
      <c r="V43" s="771" t="s">
        <v>2598</v>
      </c>
      <c r="W43" s="771" t="s">
        <v>2598</v>
      </c>
      <c r="X43" s="771"/>
      <c r="Y43" s="926"/>
      <c r="Z43" s="774" t="s">
        <v>2599</v>
      </c>
      <c r="AA43" s="774" t="s">
        <v>2599</v>
      </c>
      <c r="AB43" s="774" t="s">
        <v>2599</v>
      </c>
      <c r="AC43" s="774" t="s">
        <v>2599</v>
      </c>
      <c r="AD43" s="774"/>
    </row>
    <row r="44" spans="1:30" ht="27" customHeight="1">
      <c r="A44" s="773"/>
      <c r="B44" s="826">
        <v>27</v>
      </c>
      <c r="C44" s="771" t="s">
        <v>2600</v>
      </c>
      <c r="D44" s="893"/>
      <c r="E44" s="771"/>
      <c r="F44" s="771"/>
      <c r="G44" s="771"/>
      <c r="H44" s="818"/>
      <c r="I44" s="931" t="str">
        <f t="shared" si="1"/>
        <v>2.11.1</v>
      </c>
      <c r="J44" s="931" t="str">
        <f t="shared" si="2"/>
        <v>Расходы на текущий ремонт</v>
      </c>
      <c r="K44" s="931"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2601</v>
      </c>
      <c r="P44" s="883" t="s">
        <v>1069</v>
      </c>
      <c r="Q44" s="883" t="s">
        <v>2601</v>
      </c>
      <c r="R44" s="883" t="s">
        <v>1069</v>
      </c>
      <c r="S44" s="883"/>
      <c r="T44" s="771" t="s">
        <v>2591</v>
      </c>
      <c r="U44" s="771" t="s">
        <v>2591</v>
      </c>
      <c r="V44" s="771" t="s">
        <v>2591</v>
      </c>
      <c r="W44" s="771" t="s">
        <v>2591</v>
      </c>
      <c r="X44" s="771"/>
      <c r="Y44" s="926"/>
      <c r="Z44" s="774" t="s">
        <v>2602</v>
      </c>
      <c r="AA44" s="774" t="s">
        <v>2602</v>
      </c>
      <c r="AB44" s="774" t="s">
        <v>2602</v>
      </c>
      <c r="AC44" s="774" t="s">
        <v>2602</v>
      </c>
      <c r="AD44" s="774"/>
    </row>
    <row r="45" spans="1:30" ht="27" customHeight="1">
      <c r="A45" s="773"/>
      <c r="B45" s="826">
        <v>28</v>
      </c>
      <c r="C45" s="771" t="s">
        <v>2603</v>
      </c>
      <c r="D45" s="893"/>
      <c r="E45" s="771"/>
      <c r="F45" s="771"/>
      <c r="G45" s="771"/>
      <c r="H45" s="818"/>
      <c r="I45" s="931" t="str">
        <f t="shared" si="1"/>
        <v>2.11.2</v>
      </c>
      <c r="J45" s="931" t="str">
        <f t="shared" si="2"/>
        <v>Расходы на капитальный ремонт</v>
      </c>
      <c r="K45" s="931"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2604</v>
      </c>
      <c r="P45" s="883" t="s">
        <v>1072</v>
      </c>
      <c r="Q45" s="883" t="s">
        <v>2604</v>
      </c>
      <c r="R45" s="883" t="s">
        <v>1072</v>
      </c>
      <c r="S45" s="883"/>
      <c r="T45" s="771" t="s">
        <v>2595</v>
      </c>
      <c r="U45" s="771" t="s">
        <v>2595</v>
      </c>
      <c r="V45" s="771" t="s">
        <v>2595</v>
      </c>
      <c r="W45" s="771" t="s">
        <v>2595</v>
      </c>
      <c r="X45" s="771"/>
      <c r="Y45" s="926"/>
      <c r="Z45" s="774" t="s">
        <v>2605</v>
      </c>
      <c r="AA45" s="774" t="s">
        <v>2605</v>
      </c>
      <c r="AB45" s="774" t="s">
        <v>2605</v>
      </c>
      <c r="AC45" s="774" t="s">
        <v>2605</v>
      </c>
      <c r="AD45" s="774"/>
    </row>
    <row r="46" spans="1:30" ht="54" customHeight="1">
      <c r="A46" s="773"/>
      <c r="B46" s="826">
        <v>29</v>
      </c>
      <c r="C46" s="771">
        <v>15</v>
      </c>
      <c r="D46" s="893"/>
      <c r="E46" s="771"/>
      <c r="F46" s="771"/>
      <c r="G46" s="771"/>
      <c r="H46" s="818"/>
      <c r="I46" s="931" t="str">
        <f t="shared" si="1"/>
        <v>2.12</v>
      </c>
      <c r="J46" s="931" t="str">
        <f t="shared" si="2"/>
        <v>Расходы на капитальный и текущий ремонт основных средств</v>
      </c>
      <c r="K46" s="931"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2606</v>
      </c>
      <c r="P46" s="883" t="s">
        <v>1118</v>
      </c>
      <c r="Q46" s="883" t="s">
        <v>2606</v>
      </c>
      <c r="R46" s="883" t="s">
        <v>1118</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1" t="s">
        <v>2607</v>
      </c>
      <c r="V46" s="771" t="s">
        <v>2607</v>
      </c>
      <c r="W46" s="771" t="s">
        <v>2607</v>
      </c>
      <c r="X46" s="771"/>
      <c r="Y46" s="926"/>
      <c r="Z46" s="774" t="s">
        <v>2608</v>
      </c>
      <c r="AA46" s="774" t="s">
        <v>2609</v>
      </c>
      <c r="AB46" s="774" t="s">
        <v>2609</v>
      </c>
      <c r="AC46" s="774" t="s">
        <v>2609</v>
      </c>
      <c r="AD46" s="774"/>
    </row>
    <row r="47" spans="1:30" ht="54" customHeight="1">
      <c r="A47" s="773"/>
      <c r="B47" s="826">
        <v>30</v>
      </c>
      <c r="C47" s="771" t="s">
        <v>2610</v>
      </c>
      <c r="D47" s="893"/>
      <c r="E47" s="771"/>
      <c r="F47" s="771"/>
      <c r="G47" s="771"/>
      <c r="H47" s="818"/>
      <c r="I47" s="931" t="str">
        <f t="shared" si="1"/>
        <v>2.12.1</v>
      </c>
      <c r="J47" s="93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1">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2611</v>
      </c>
      <c r="P47" s="883" t="s">
        <v>2590</v>
      </c>
      <c r="Q47" s="883" t="s">
        <v>2611</v>
      </c>
      <c r="R47" s="883" t="s">
        <v>2590</v>
      </c>
      <c r="S47" s="883"/>
      <c r="T47" s="771" t="s">
        <v>2612</v>
      </c>
      <c r="U47" s="771" t="s">
        <v>2612</v>
      </c>
      <c r="V47" s="771" t="s">
        <v>2612</v>
      </c>
      <c r="W47" s="771" t="s">
        <v>2612</v>
      </c>
      <c r="X47" s="771"/>
      <c r="Y47" s="926"/>
      <c r="Z47" s="774"/>
      <c r="AA47" s="777"/>
      <c r="AB47" s="777"/>
      <c r="AC47" s="777"/>
      <c r="AD47" s="774"/>
    </row>
    <row r="48" spans="1:30" ht="54" customHeight="1">
      <c r="A48" s="773"/>
      <c r="B48" s="826">
        <v>31</v>
      </c>
      <c r="C48" s="771">
        <v>16</v>
      </c>
      <c r="D48" s="893"/>
      <c r="E48" s="771"/>
      <c r="F48" s="771"/>
      <c r="G48" s="771"/>
      <c r="H48" s="818"/>
      <c r="I48" s="931">
        <f t="shared" si="1"/>
        <v>0</v>
      </c>
      <c r="J48" s="931">
        <f t="shared" si="2"/>
        <v>0</v>
      </c>
      <c r="K48" s="931">
        <f t="shared" si="3"/>
        <v>0</v>
      </c>
      <c r="L48" s="772" t="str">
        <f t="shared" si="4"/>
        <v/>
      </c>
      <c r="M48" s="772" t="str">
        <f t="shared" si="5"/>
        <v/>
      </c>
      <c r="N48" s="772" t="str">
        <f t="shared" si="6"/>
        <v/>
      </c>
      <c r="O48" s="883"/>
      <c r="P48" s="883" t="s">
        <v>2597</v>
      </c>
      <c r="Q48" s="883" t="s">
        <v>2613</v>
      </c>
      <c r="R48" s="883" t="s">
        <v>2597</v>
      </c>
      <c r="S48" s="883"/>
      <c r="T48" s="771"/>
      <c r="U48" s="771" t="s">
        <v>2614</v>
      </c>
      <c r="V48" s="771" t="s">
        <v>2615</v>
      </c>
      <c r="W48" s="771" t="s">
        <v>2615</v>
      </c>
      <c r="X48" s="771"/>
      <c r="Y48" s="926"/>
      <c r="Z48" s="774"/>
      <c r="AA48" s="777" t="s">
        <v>2609</v>
      </c>
      <c r="AB48" s="777" t="s">
        <v>2609</v>
      </c>
      <c r="AC48" s="777" t="s">
        <v>2609</v>
      </c>
      <c r="AD48" s="774"/>
    </row>
    <row r="49" spans="1:30" ht="54" customHeight="1">
      <c r="A49" s="773"/>
      <c r="B49" s="826">
        <v>32</v>
      </c>
      <c r="C49" s="771" t="s">
        <v>2616</v>
      </c>
      <c r="D49" s="893"/>
      <c r="E49" s="771"/>
      <c r="F49" s="771"/>
      <c r="G49" s="771"/>
      <c r="H49" s="818"/>
      <c r="I49" s="931">
        <f t="shared" si="1"/>
        <v>0</v>
      </c>
      <c r="J49" s="931">
        <f t="shared" si="2"/>
        <v>0</v>
      </c>
      <c r="K49" s="931">
        <f t="shared" si="3"/>
        <v>0</v>
      </c>
      <c r="L49" s="772" t="str">
        <f t="shared" si="4"/>
        <v/>
      </c>
      <c r="M49" s="772" t="str">
        <f t="shared" si="5"/>
        <v/>
      </c>
      <c r="N49" s="772" t="str">
        <f t="shared" si="6"/>
        <v/>
      </c>
      <c r="O49" s="883"/>
      <c r="P49" s="883" t="s">
        <v>2601</v>
      </c>
      <c r="Q49" s="883" t="s">
        <v>2617</v>
      </c>
      <c r="R49" s="883" t="s">
        <v>2601</v>
      </c>
      <c r="S49" s="883"/>
      <c r="T49" s="771"/>
      <c r="U49" s="771" t="s">
        <v>2612</v>
      </c>
      <c r="V49" s="771" t="s">
        <v>2612</v>
      </c>
      <c r="W49" s="771" t="s">
        <v>2612</v>
      </c>
      <c r="X49" s="771"/>
      <c r="Y49" s="926"/>
      <c r="Z49" s="774"/>
      <c r="AA49" s="777"/>
      <c r="AB49" s="777"/>
      <c r="AC49" s="777"/>
      <c r="AD49" s="774"/>
    </row>
    <row r="50" spans="1:30" ht="126" customHeight="1">
      <c r="A50" s="773"/>
      <c r="B50" s="826">
        <v>33</v>
      </c>
      <c r="C50" s="771">
        <v>17</v>
      </c>
      <c r="D50" s="893"/>
      <c r="E50" s="771"/>
      <c r="F50" s="771"/>
      <c r="G50" s="771"/>
      <c r="H50" s="818"/>
      <c r="I50" s="931" t="str">
        <f t="shared" ref="I50:I81" si="7">INDEX(TEMPLATE_NUMBER_POINT_FHD,B50,MATCH(TEMPLATE_SPHERE,TEMPLATE_SPHERE_LIST_FOR_NOTE,0))</f>
        <v>2.13</v>
      </c>
      <c r="J50" s="931"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2" t="str">
        <f t="shared" ref="L50:L81" si="10">IF(I50=0,"",I50)</f>
        <v>2.13</v>
      </c>
      <c r="M50" s="77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3" t="s">
        <v>2613</v>
      </c>
      <c r="P50" s="883" t="s">
        <v>2606</v>
      </c>
      <c r="Q50" s="883" t="s">
        <v>2618</v>
      </c>
      <c r="R50" s="883" t="s">
        <v>2606</v>
      </c>
      <c r="S50" s="883"/>
      <c r="T50" s="771" t="s">
        <v>2619</v>
      </c>
      <c r="U50" s="771" t="s">
        <v>2620</v>
      </c>
      <c r="V50" s="771" t="s">
        <v>2621</v>
      </c>
      <c r="W50" s="771" t="s">
        <v>2622</v>
      </c>
      <c r="X50" s="771"/>
      <c r="Y50" s="926"/>
      <c r="Z50" s="774" t="s">
        <v>2623</v>
      </c>
      <c r="AA50" s="777" t="s">
        <v>2624</v>
      </c>
      <c r="AB50" s="777" t="s">
        <v>2624</v>
      </c>
      <c r="AC50" s="777" t="s">
        <v>2624</v>
      </c>
      <c r="AD50" s="774"/>
    </row>
    <row r="51" spans="1:30" ht="27" customHeight="1">
      <c r="A51" s="773"/>
      <c r="B51" s="826">
        <v>34</v>
      </c>
      <c r="C51" s="771" t="s">
        <v>2625</v>
      </c>
      <c r="D51" s="893"/>
      <c r="E51" s="771"/>
      <c r="F51" s="771"/>
      <c r="G51" s="771"/>
      <c r="H51" s="818"/>
      <c r="I51" s="931" t="str">
        <f t="shared" si="7"/>
        <v>3</v>
      </c>
      <c r="J51" s="931" t="str">
        <f t="shared" si="8"/>
        <v>Валовая прибыль (убытки) от реализации товаров и оказания услуг по регулируемому виду деятельности</v>
      </c>
      <c r="K51" s="931">
        <f t="shared" si="9"/>
        <v>0</v>
      </c>
      <c r="L51" s="772" t="str">
        <f t="shared" si="10"/>
        <v>3</v>
      </c>
      <c r="M51" s="772" t="str">
        <f t="shared" si="11"/>
        <v>Валовая прибыль (убытки) от реализации товаров и оказания услуг по регулируемому виду деятельности</v>
      </c>
      <c r="N51" s="772" t="str">
        <f t="shared" si="12"/>
        <v/>
      </c>
      <c r="O51" s="883" t="s">
        <v>78</v>
      </c>
      <c r="P51" s="883"/>
      <c r="Q51" s="883"/>
      <c r="R51" s="883"/>
      <c r="S51" s="883"/>
      <c r="T51" s="771" t="s">
        <v>2626</v>
      </c>
      <c r="U51" s="771"/>
      <c r="V51" s="771"/>
      <c r="W51" s="771"/>
      <c r="X51" s="771"/>
      <c r="Y51" s="926"/>
      <c r="Z51" s="774"/>
      <c r="AA51" s="777"/>
      <c r="AB51" s="777"/>
      <c r="AC51" s="777"/>
      <c r="AD51" s="774"/>
    </row>
    <row r="52" spans="1:30" ht="36" customHeight="1">
      <c r="A52" s="773"/>
      <c r="B52" s="826">
        <v>35</v>
      </c>
      <c r="C52" s="771" t="s">
        <v>2522</v>
      </c>
      <c r="D52" s="893" t="s">
        <v>2522</v>
      </c>
      <c r="E52" s="771" t="s">
        <v>2522</v>
      </c>
      <c r="F52" s="771" t="s">
        <v>2522</v>
      </c>
      <c r="G52" s="771"/>
      <c r="H52" s="818"/>
      <c r="I52" s="931" t="str">
        <f t="shared" si="7"/>
        <v>4</v>
      </c>
      <c r="J52" s="931" t="str">
        <f t="shared" si="8"/>
        <v>Чистая прибыль, полученная от регулируемого вида деятельности, в том числе:</v>
      </c>
      <c r="K52" s="931" t="str">
        <f t="shared" si="9"/>
        <v>Указывается общая сумма чистой прибыли, полученной от регулируемого вида деятельности.</v>
      </c>
      <c r="L52" s="772" t="str">
        <f t="shared" si="10"/>
        <v>4</v>
      </c>
      <c r="M52" s="772" t="str">
        <f t="shared" si="11"/>
        <v>Чистая прибыль, полученная от регулируемого вида деятельности, в том числе:</v>
      </c>
      <c r="N52" s="772" t="str">
        <f t="shared" si="12"/>
        <v>Указывается общая сумма чистой прибыли, полученной от регулируемого вида деятельности.</v>
      </c>
      <c r="O52" s="883" t="s">
        <v>79</v>
      </c>
      <c r="P52" s="883" t="s">
        <v>78</v>
      </c>
      <c r="Q52" s="883" t="s">
        <v>78</v>
      </c>
      <c r="R52" s="883" t="s">
        <v>78</v>
      </c>
      <c r="S52" s="883"/>
      <c r="T52" s="771" t="s">
        <v>2627</v>
      </c>
      <c r="U52" s="771" t="s">
        <v>2628</v>
      </c>
      <c r="V52" s="771" t="s">
        <v>2629</v>
      </c>
      <c r="W52" s="771" t="s">
        <v>2630</v>
      </c>
      <c r="X52" s="771"/>
      <c r="Y52" s="926"/>
      <c r="Z52" s="774" t="s">
        <v>1076</v>
      </c>
      <c r="AA52" s="777" t="s">
        <v>1076</v>
      </c>
      <c r="AB52" s="777" t="s">
        <v>1076</v>
      </c>
      <c r="AC52" s="777" t="s">
        <v>1076</v>
      </c>
      <c r="AD52" s="774"/>
    </row>
    <row r="53" spans="1:30" ht="36" customHeight="1">
      <c r="A53" s="773"/>
      <c r="B53" s="826">
        <v>36</v>
      </c>
      <c r="C53" s="771">
        <v>1</v>
      </c>
      <c r="D53" s="893"/>
      <c r="E53" s="771"/>
      <c r="F53" s="771"/>
      <c r="G53" s="771"/>
      <c r="H53" s="818"/>
      <c r="I53" s="931" t="str">
        <f t="shared" si="7"/>
        <v>4.1</v>
      </c>
      <c r="J53" s="93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1">
        <f t="shared" si="9"/>
        <v>0</v>
      </c>
      <c r="L53" s="772" t="str">
        <f t="shared" si="10"/>
        <v>4.1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1080</v>
      </c>
      <c r="P53" s="883" t="s">
        <v>369</v>
      </c>
      <c r="Q53" s="883" t="s">
        <v>369</v>
      </c>
      <c r="R53" s="883" t="s">
        <v>369</v>
      </c>
      <c r="S53" s="883"/>
      <c r="T53" s="771" t="s">
        <v>2631</v>
      </c>
      <c r="U53" s="771" t="s">
        <v>2631</v>
      </c>
      <c r="V53" s="771" t="s">
        <v>2631</v>
      </c>
      <c r="W53" s="771" t="s">
        <v>2631</v>
      </c>
      <c r="X53" s="771"/>
      <c r="Y53" s="926"/>
      <c r="Z53" s="774"/>
      <c r="AA53" s="777"/>
      <c r="AB53" s="774"/>
      <c r="AC53" s="774"/>
      <c r="AD53" s="774"/>
    </row>
    <row r="54" spans="1:30" ht="18" customHeight="1">
      <c r="A54" s="773"/>
      <c r="B54" s="826">
        <v>37</v>
      </c>
      <c r="C54" s="771" t="s">
        <v>2528</v>
      </c>
      <c r="D54" s="893" t="s">
        <v>2528</v>
      </c>
      <c r="E54" s="771" t="s">
        <v>2528</v>
      </c>
      <c r="F54" s="771" t="s">
        <v>2528</v>
      </c>
      <c r="G54" s="771"/>
      <c r="H54" s="818"/>
      <c r="I54" s="931" t="str">
        <f t="shared" si="7"/>
        <v>5</v>
      </c>
      <c r="J54" s="931" t="str">
        <f t="shared" si="8"/>
        <v>Изменение стоимости основных фондов, в том числе:</v>
      </c>
      <c r="K54" s="931" t="str">
        <f t="shared" si="9"/>
        <v>Указывается общее изменение стоимости основных фондов.</v>
      </c>
      <c r="L54" s="772" t="str">
        <f t="shared" si="10"/>
        <v>5</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100</v>
      </c>
      <c r="P54" s="883" t="s">
        <v>79</v>
      </c>
      <c r="Q54" s="883" t="s">
        <v>79</v>
      </c>
      <c r="R54" s="883" t="s">
        <v>79</v>
      </c>
      <c r="S54" s="883"/>
      <c r="T54" s="771" t="s">
        <v>1078</v>
      </c>
      <c r="U54" s="771" t="s">
        <v>1078</v>
      </c>
      <c r="V54" s="771" t="s">
        <v>1078</v>
      </c>
      <c r="W54" s="771" t="s">
        <v>1078</v>
      </c>
      <c r="X54" s="771"/>
      <c r="Y54" s="926"/>
      <c r="Z54" s="774" t="s">
        <v>1079</v>
      </c>
      <c r="AA54" s="774" t="s">
        <v>1079</v>
      </c>
      <c r="AB54" s="774" t="s">
        <v>1079</v>
      </c>
      <c r="AC54" s="774" t="s">
        <v>1079</v>
      </c>
      <c r="AD54" s="774"/>
    </row>
    <row r="55" spans="1:30" ht="36" customHeight="1">
      <c r="A55" s="773"/>
      <c r="B55" s="826">
        <v>38</v>
      </c>
      <c r="C55" s="771">
        <v>1</v>
      </c>
      <c r="D55" s="893"/>
      <c r="E55" s="771"/>
      <c r="F55" s="771"/>
      <c r="G55" s="771"/>
      <c r="H55" s="818"/>
      <c r="I55" s="931" t="str">
        <f t="shared" si="7"/>
        <v>5.1</v>
      </c>
      <c r="J55" s="931" t="str">
        <f t="shared" si="8"/>
        <v>Изменение стоимости основных фондов за счет:</v>
      </c>
      <c r="K55" s="931" t="str">
        <f t="shared" si="9"/>
        <v>Указываются общее изменение стоимости основных фондов за счет их ввода в эксплуатацию и вывода из эксплуатации.</v>
      </c>
      <c r="L55" s="772" t="str">
        <f t="shared" si="10"/>
        <v>5.1</v>
      </c>
      <c r="M55" s="772" t="str">
        <f t="shared" si="11"/>
        <v>Изменение стоимости основных фондов за счет:</v>
      </c>
      <c r="N55" s="772" t="str">
        <f t="shared" si="12"/>
        <v>Указываются общее изменение стоимости основных фондов за счет их ввода в эксплуатацию и вывода из эксплуатации.</v>
      </c>
      <c r="O55" s="883" t="s">
        <v>358</v>
      </c>
      <c r="P55" s="883" t="s">
        <v>1080</v>
      </c>
      <c r="Q55" s="883" t="s">
        <v>1080</v>
      </c>
      <c r="R55" s="883" t="s">
        <v>1080</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1" t="s">
        <v>2632</v>
      </c>
      <c r="V55" s="771" t="s">
        <v>2632</v>
      </c>
      <c r="W55" s="771" t="s">
        <v>2632</v>
      </c>
      <c r="X55" s="771"/>
      <c r="Y55" s="926"/>
      <c r="Z55" s="774" t="s">
        <v>2633</v>
      </c>
      <c r="AA55" s="774" t="s">
        <v>2633</v>
      </c>
      <c r="AB55" s="774" t="s">
        <v>2633</v>
      </c>
      <c r="AC55" s="774" t="s">
        <v>2633</v>
      </c>
      <c r="AD55" s="774"/>
    </row>
    <row r="56" spans="1:30" ht="27" customHeight="1">
      <c r="A56" s="773"/>
      <c r="B56" s="826">
        <v>39</v>
      </c>
      <c r="C56" s="771" t="s">
        <v>1540</v>
      </c>
      <c r="D56" s="893"/>
      <c r="E56" s="771"/>
      <c r="F56" s="771"/>
      <c r="G56" s="771"/>
      <c r="H56" s="818"/>
      <c r="I56" s="931" t="str">
        <f t="shared" si="7"/>
        <v>5.1.1</v>
      </c>
      <c r="J56" s="931" t="str">
        <f t="shared" si="8"/>
        <v>Изменения стоимости основных фондов за счет их ввода в эксплуатацию</v>
      </c>
      <c r="K56" s="931" t="str">
        <f t="shared" si="9"/>
        <v>Указываются изменение стоимости основных фондов за счет их ввода в эксплуатацию.</v>
      </c>
      <c r="L56" s="772" t="str">
        <f t="shared" si="10"/>
        <v>5.1.1</v>
      </c>
      <c r="M56" s="772" t="str">
        <f t="shared" si="11"/>
        <v>Изменения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1661</v>
      </c>
      <c r="P56" s="883" t="s">
        <v>1083</v>
      </c>
      <c r="Q56" s="883" t="s">
        <v>1083</v>
      </c>
      <c r="R56" s="883" t="s">
        <v>1083</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1" t="s">
        <v>2634</v>
      </c>
      <c r="V56" s="771" t="s">
        <v>2634</v>
      </c>
      <c r="W56" s="771" t="s">
        <v>2634</v>
      </c>
      <c r="X56" s="771"/>
      <c r="Y56" s="926"/>
      <c r="Z56" s="774" t="s">
        <v>1085</v>
      </c>
      <c r="AA56" s="774" t="s">
        <v>1085</v>
      </c>
      <c r="AB56" s="774" t="s">
        <v>1085</v>
      </c>
      <c r="AC56" s="774" t="s">
        <v>1085</v>
      </c>
      <c r="AD56" s="774"/>
    </row>
    <row r="57" spans="1:30" ht="27" customHeight="1">
      <c r="A57" s="773"/>
      <c r="B57" s="826">
        <v>40</v>
      </c>
      <c r="C57" s="771" t="s">
        <v>1542</v>
      </c>
      <c r="D57" s="893"/>
      <c r="E57" s="771"/>
      <c r="F57" s="771"/>
      <c r="G57" s="771"/>
      <c r="H57" s="818"/>
      <c r="I57" s="931" t="str">
        <f t="shared" si="7"/>
        <v>5.1.2</v>
      </c>
      <c r="J57" s="931" t="str">
        <f t="shared" si="8"/>
        <v>Изменения стоимости основных фондов за счет их вывода в эксплуатацию</v>
      </c>
      <c r="K57" s="931" t="str">
        <f t="shared" si="9"/>
        <v>Указываются изменение стоимости основных фондов за счет их вывода из эксплуатации.</v>
      </c>
      <c r="L57" s="772" t="str">
        <f t="shared" si="10"/>
        <v>5.1.2</v>
      </c>
      <c r="M57" s="772" t="str">
        <f t="shared" si="11"/>
        <v>Изменения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2635</v>
      </c>
      <c r="P57" s="883" t="s">
        <v>1086</v>
      </c>
      <c r="Q57" s="883" t="s">
        <v>1086</v>
      </c>
      <c r="R57" s="883" t="s">
        <v>1086</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1" t="s">
        <v>2636</v>
      </c>
      <c r="V57" s="771" t="s">
        <v>2636</v>
      </c>
      <c r="W57" s="771" t="s">
        <v>2636</v>
      </c>
      <c r="X57" s="771"/>
      <c r="Y57" s="926"/>
      <c r="Z57" s="774" t="s">
        <v>1088</v>
      </c>
      <c r="AA57" s="774" t="s">
        <v>1088</v>
      </c>
      <c r="AB57" s="774" t="s">
        <v>1088</v>
      </c>
      <c r="AC57" s="774" t="s">
        <v>1088</v>
      </c>
      <c r="AD57" s="774"/>
    </row>
    <row r="58" spans="1:30" ht="18" customHeight="1">
      <c r="A58" s="773"/>
      <c r="B58" s="826">
        <v>41</v>
      </c>
      <c r="C58" s="771">
        <v>2</v>
      </c>
      <c r="D58" s="893"/>
      <c r="E58" s="771"/>
      <c r="F58" s="771"/>
      <c r="G58" s="771"/>
      <c r="H58" s="818"/>
      <c r="I58" s="931" t="str">
        <f t="shared" si="7"/>
        <v>5.2</v>
      </c>
      <c r="J58" s="931" t="str">
        <f t="shared" si="8"/>
        <v>Изменение стоимости основных фондов за счет их переоценки</v>
      </c>
      <c r="K58" s="931">
        <f t="shared" si="9"/>
        <v>0</v>
      </c>
      <c r="L58" s="772" t="str">
        <f t="shared" si="10"/>
        <v>5.2</v>
      </c>
      <c r="M58" s="772" t="str">
        <f t="shared" si="11"/>
        <v>Изменение стоимости основных фондов за счет их переоценки</v>
      </c>
      <c r="N58" s="772" t="str">
        <f t="shared" si="12"/>
        <v/>
      </c>
      <c r="O58" s="883" t="s">
        <v>1222</v>
      </c>
      <c r="P58" s="883" t="s">
        <v>1124</v>
      </c>
      <c r="Q58" s="883" t="s">
        <v>1124</v>
      </c>
      <c r="R58" s="883" t="s">
        <v>1124</v>
      </c>
      <c r="S58" s="883"/>
      <c r="T58" s="77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1" t="s">
        <v>2637</v>
      </c>
      <c r="V58" s="771" t="s">
        <v>2637</v>
      </c>
      <c r="W58" s="771" t="s">
        <v>2637</v>
      </c>
      <c r="X58" s="771"/>
      <c r="Y58" s="926"/>
      <c r="Z58" s="774"/>
      <c r="AA58" s="777"/>
      <c r="AB58" s="774"/>
      <c r="AC58" s="774"/>
      <c r="AD58" s="774"/>
    </row>
    <row r="59" spans="1:30" ht="36" customHeight="1">
      <c r="A59" s="773"/>
      <c r="B59" s="826">
        <v>42</v>
      </c>
      <c r="C59" s="771">
        <v>3</v>
      </c>
      <c r="D59" s="893" t="s">
        <v>2625</v>
      </c>
      <c r="E59" s="771" t="s">
        <v>2625</v>
      </c>
      <c r="F59" s="771" t="s">
        <v>2625</v>
      </c>
      <c r="G59" s="771"/>
      <c r="H59" s="818"/>
      <c r="I59" s="931">
        <f t="shared" si="7"/>
        <v>0</v>
      </c>
      <c r="J59" s="931">
        <f t="shared" si="8"/>
        <v>0</v>
      </c>
      <c r="K59" s="931">
        <f t="shared" si="9"/>
        <v>0</v>
      </c>
      <c r="L59" s="772" t="str">
        <f t="shared" si="10"/>
        <v/>
      </c>
      <c r="M59" s="772" t="str">
        <f t="shared" si="11"/>
        <v/>
      </c>
      <c r="N59" s="772" t="str">
        <f t="shared" si="12"/>
        <v/>
      </c>
      <c r="O59" s="883"/>
      <c r="P59" s="883" t="s">
        <v>100</v>
      </c>
      <c r="Q59" s="883" t="s">
        <v>100</v>
      </c>
      <c r="R59" s="883" t="s">
        <v>100</v>
      </c>
      <c r="S59" s="883"/>
      <c r="T59" s="771"/>
      <c r="U59" s="771" t="s">
        <v>2638</v>
      </c>
      <c r="V59" s="771" t="s">
        <v>2639</v>
      </c>
      <c r="W59" s="771" t="s">
        <v>2640</v>
      </c>
      <c r="X59" s="771"/>
      <c r="Y59" s="926"/>
      <c r="Z59" s="774"/>
      <c r="AA59" s="777"/>
      <c r="AB59" s="774"/>
      <c r="AC59" s="774"/>
      <c r="AD59" s="774"/>
    </row>
    <row r="60" spans="1:30" ht="81" customHeight="1">
      <c r="A60" s="773"/>
      <c r="B60" s="826">
        <v>43</v>
      </c>
      <c r="C60" s="771" t="s">
        <v>2641</v>
      </c>
      <c r="D60" s="893" t="s">
        <v>2641</v>
      </c>
      <c r="E60" s="771" t="s">
        <v>2641</v>
      </c>
      <c r="F60" s="771" t="s">
        <v>2641</v>
      </c>
      <c r="G60" s="771"/>
      <c r="H60" s="818"/>
      <c r="I60" s="931" t="str">
        <f t="shared" si="7"/>
        <v>6</v>
      </c>
      <c r="J60" s="931" t="str">
        <f t="shared" si="8"/>
        <v>Годовая бухгалтерская (финансовая) отчетность, включая бухгалтерский баланс и приложения к нему</v>
      </c>
      <c r="K60" s="931"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3" t="s">
        <v>80</v>
      </c>
      <c r="P60" s="883" t="s">
        <v>80</v>
      </c>
      <c r="Q60" s="883" t="s">
        <v>80</v>
      </c>
      <c r="R60" s="883" t="s">
        <v>80</v>
      </c>
      <c r="S60" s="883"/>
      <c r="T60" s="771" t="s">
        <v>950</v>
      </c>
      <c r="U60" s="771" t="s">
        <v>950</v>
      </c>
      <c r="V60" s="771" t="s">
        <v>950</v>
      </c>
      <c r="W60" s="771" t="s">
        <v>950</v>
      </c>
      <c r="X60" s="771"/>
      <c r="Y60" s="926"/>
      <c r="Z60" s="774" t="s">
        <v>2642</v>
      </c>
      <c r="AA60" s="777" t="s">
        <v>2643</v>
      </c>
      <c r="AB60" s="774" t="s">
        <v>2644</v>
      </c>
      <c r="AC60" s="774" t="s">
        <v>2643</v>
      </c>
      <c r="AD60" s="774"/>
    </row>
    <row r="61" spans="1:30" ht="9" customHeight="1">
      <c r="A61" s="773"/>
      <c r="B61" s="826">
        <v>44</v>
      </c>
      <c r="C61" s="771"/>
      <c r="D61" s="893" t="s">
        <v>2645</v>
      </c>
      <c r="E61" s="771"/>
      <c r="F61" s="771"/>
      <c r="G61" s="771"/>
      <c r="H61" s="818"/>
      <c r="I61" s="931">
        <f t="shared" si="7"/>
        <v>0</v>
      </c>
      <c r="J61" s="931">
        <f t="shared" si="8"/>
        <v>0</v>
      </c>
      <c r="K61" s="931">
        <f t="shared" si="9"/>
        <v>0</v>
      </c>
      <c r="L61" s="772" t="str">
        <f t="shared" si="10"/>
        <v/>
      </c>
      <c r="M61" s="772" t="str">
        <f t="shared" si="11"/>
        <v/>
      </c>
      <c r="N61" s="772" t="str">
        <f t="shared" si="12"/>
        <v/>
      </c>
      <c r="O61" s="883"/>
      <c r="P61" s="883" t="s">
        <v>81</v>
      </c>
      <c r="Q61" s="883"/>
      <c r="R61" s="883"/>
      <c r="S61" s="883"/>
      <c r="T61" s="771"/>
      <c r="U61" s="771" t="s">
        <v>2646</v>
      </c>
      <c r="V61" s="771"/>
      <c r="W61" s="771"/>
      <c r="X61" s="771"/>
      <c r="Y61" s="926"/>
      <c r="Z61" s="774"/>
      <c r="AA61" s="777"/>
      <c r="AB61" s="774"/>
      <c r="AC61" s="774"/>
      <c r="AD61" s="774"/>
    </row>
    <row r="62" spans="1:30" ht="9" customHeight="1">
      <c r="A62" s="773"/>
      <c r="B62" s="826">
        <v>45</v>
      </c>
      <c r="C62" s="771"/>
      <c r="D62" s="893" t="s">
        <v>2647</v>
      </c>
      <c r="E62" s="771"/>
      <c r="F62" s="771"/>
      <c r="G62" s="771"/>
      <c r="H62" s="818"/>
      <c r="I62" s="931">
        <f t="shared" si="7"/>
        <v>0</v>
      </c>
      <c r="J62" s="931">
        <f t="shared" si="8"/>
        <v>0</v>
      </c>
      <c r="K62" s="931">
        <f t="shared" si="9"/>
        <v>0</v>
      </c>
      <c r="L62" s="772" t="str">
        <f t="shared" si="10"/>
        <v/>
      </c>
      <c r="M62" s="772" t="str">
        <f t="shared" si="11"/>
        <v/>
      </c>
      <c r="N62" s="772" t="str">
        <f t="shared" si="12"/>
        <v/>
      </c>
      <c r="O62" s="883"/>
      <c r="P62" s="883" t="s">
        <v>110</v>
      </c>
      <c r="Q62" s="883"/>
      <c r="R62" s="883"/>
      <c r="S62" s="883"/>
      <c r="T62" s="771"/>
      <c r="U62" s="771" t="s">
        <v>2648</v>
      </c>
      <c r="V62" s="771"/>
      <c r="W62" s="771"/>
      <c r="X62" s="771"/>
      <c r="Y62" s="926"/>
      <c r="Z62" s="774"/>
      <c r="AA62" s="777"/>
      <c r="AB62" s="774"/>
      <c r="AC62" s="774"/>
      <c r="AD62" s="774"/>
    </row>
    <row r="63" spans="1:30" ht="18" customHeight="1">
      <c r="A63" s="773"/>
      <c r="B63" s="826">
        <v>46</v>
      </c>
      <c r="C63" s="771"/>
      <c r="D63" s="893" t="s">
        <v>2649</v>
      </c>
      <c r="E63" s="771"/>
      <c r="F63" s="771"/>
      <c r="G63" s="771"/>
      <c r="H63" s="818"/>
      <c r="I63" s="931">
        <f t="shared" si="7"/>
        <v>0</v>
      </c>
      <c r="J63" s="931">
        <f t="shared" si="8"/>
        <v>0</v>
      </c>
      <c r="K63" s="931">
        <f t="shared" si="9"/>
        <v>0</v>
      </c>
      <c r="L63" s="772" t="str">
        <f t="shared" si="10"/>
        <v/>
      </c>
      <c r="M63" s="772" t="str">
        <f t="shared" si="11"/>
        <v/>
      </c>
      <c r="N63" s="772" t="str">
        <f t="shared" si="12"/>
        <v/>
      </c>
      <c r="O63" s="883"/>
      <c r="P63" s="883" t="s">
        <v>114</v>
      </c>
      <c r="Q63" s="883"/>
      <c r="R63" s="883"/>
      <c r="S63" s="883"/>
      <c r="T63" s="771"/>
      <c r="U63" s="771" t="s">
        <v>2650</v>
      </c>
      <c r="V63" s="771"/>
      <c r="W63" s="771"/>
      <c r="X63" s="771"/>
      <c r="Y63" s="926"/>
      <c r="Z63" s="774"/>
      <c r="AA63" s="777"/>
      <c r="AB63" s="774"/>
      <c r="AC63" s="774"/>
      <c r="AD63" s="774"/>
    </row>
    <row r="64" spans="1:30" ht="18" customHeight="1">
      <c r="A64" s="773"/>
      <c r="B64" s="826">
        <v>47</v>
      </c>
      <c r="C64" s="771"/>
      <c r="D64" s="893" t="s">
        <v>2651</v>
      </c>
      <c r="E64" s="771"/>
      <c r="F64" s="771"/>
      <c r="G64" s="771"/>
      <c r="H64" s="818"/>
      <c r="I64" s="931">
        <f t="shared" si="7"/>
        <v>0</v>
      </c>
      <c r="J64" s="931">
        <f t="shared" si="8"/>
        <v>0</v>
      </c>
      <c r="K64" s="931">
        <f t="shared" si="9"/>
        <v>0</v>
      </c>
      <c r="L64" s="772" t="str">
        <f t="shared" si="10"/>
        <v/>
      </c>
      <c r="M64" s="772" t="str">
        <f t="shared" si="11"/>
        <v/>
      </c>
      <c r="N64" s="772" t="str">
        <f t="shared" si="12"/>
        <v/>
      </c>
      <c r="O64" s="883"/>
      <c r="P64" s="883" t="s">
        <v>118</v>
      </c>
      <c r="Q64" s="883"/>
      <c r="R64" s="883"/>
      <c r="S64" s="883"/>
      <c r="T64" s="771"/>
      <c r="U64" s="771" t="s">
        <v>2652</v>
      </c>
      <c r="V64" s="771"/>
      <c r="W64" s="771"/>
      <c r="X64" s="771"/>
      <c r="Y64" s="926"/>
      <c r="Z64" s="774"/>
      <c r="AA64" s="777" t="s">
        <v>2653</v>
      </c>
      <c r="AB64" s="774"/>
      <c r="AC64" s="774"/>
      <c r="AD64" s="774"/>
    </row>
    <row r="65" spans="1:30" ht="18" customHeight="1">
      <c r="A65" s="773"/>
      <c r="B65" s="826">
        <v>48</v>
      </c>
      <c r="C65" s="771"/>
      <c r="D65" s="893"/>
      <c r="E65" s="771"/>
      <c r="F65" s="771"/>
      <c r="G65" s="771"/>
      <c r="H65" s="818"/>
      <c r="I65" s="931">
        <f t="shared" si="7"/>
        <v>0</v>
      </c>
      <c r="J65" s="931">
        <f t="shared" si="8"/>
        <v>0</v>
      </c>
      <c r="K65" s="931">
        <f t="shared" si="9"/>
        <v>0</v>
      </c>
      <c r="L65" s="772" t="str">
        <f t="shared" si="10"/>
        <v/>
      </c>
      <c r="M65" s="772" t="str">
        <f t="shared" si="11"/>
        <v/>
      </c>
      <c r="N65" s="772" t="str">
        <f t="shared" si="12"/>
        <v/>
      </c>
      <c r="O65" s="883"/>
      <c r="P65" s="883" t="s">
        <v>2569</v>
      </c>
      <c r="Q65" s="883"/>
      <c r="R65" s="883"/>
      <c r="S65" s="883"/>
      <c r="T65" s="771"/>
      <c r="U65" s="771" t="s">
        <v>2654</v>
      </c>
      <c r="V65" s="771"/>
      <c r="W65" s="771"/>
      <c r="X65" s="771"/>
      <c r="Y65" s="926"/>
      <c r="Z65" s="774"/>
      <c r="AA65" s="777"/>
      <c r="AB65" s="774"/>
      <c r="AC65" s="774"/>
      <c r="AD65" s="774"/>
    </row>
    <row r="66" spans="1:30" ht="18" customHeight="1">
      <c r="A66" s="773"/>
      <c r="B66" s="826">
        <v>49</v>
      </c>
      <c r="C66" s="771"/>
      <c r="D66" s="893"/>
      <c r="E66" s="771"/>
      <c r="F66" s="771"/>
      <c r="G66" s="771"/>
      <c r="H66" s="818"/>
      <c r="I66" s="931">
        <f t="shared" si="7"/>
        <v>0</v>
      </c>
      <c r="J66" s="931">
        <f t="shared" si="8"/>
        <v>0</v>
      </c>
      <c r="K66" s="931">
        <f t="shared" si="9"/>
        <v>0</v>
      </c>
      <c r="L66" s="772" t="str">
        <f t="shared" si="10"/>
        <v/>
      </c>
      <c r="M66" s="772" t="str">
        <f t="shared" si="11"/>
        <v/>
      </c>
      <c r="N66" s="772" t="str">
        <f t="shared" si="12"/>
        <v/>
      </c>
      <c r="O66" s="883"/>
      <c r="P66" s="883" t="s">
        <v>2573</v>
      </c>
      <c r="Q66" s="883"/>
      <c r="R66" s="883"/>
      <c r="S66" s="883"/>
      <c r="T66" s="771"/>
      <c r="U66" s="771" t="s">
        <v>2655</v>
      </c>
      <c r="V66" s="771"/>
      <c r="W66" s="771"/>
      <c r="X66" s="771"/>
      <c r="Y66" s="926"/>
      <c r="Z66" s="774"/>
      <c r="AA66" s="777"/>
      <c r="AB66" s="774"/>
      <c r="AC66" s="774"/>
      <c r="AD66" s="774"/>
    </row>
    <row r="67" spans="1:30" ht="27" customHeight="1">
      <c r="A67" s="773"/>
      <c r="B67" s="826">
        <v>50</v>
      </c>
      <c r="C67" s="771"/>
      <c r="D67" s="893"/>
      <c r="E67" s="771"/>
      <c r="F67" s="771"/>
      <c r="G67" s="771"/>
      <c r="H67" s="818"/>
      <c r="I67" s="931">
        <f t="shared" si="7"/>
        <v>0</v>
      </c>
      <c r="J67" s="931">
        <f t="shared" si="8"/>
        <v>0</v>
      </c>
      <c r="K67" s="931">
        <f t="shared" si="9"/>
        <v>0</v>
      </c>
      <c r="L67" s="772" t="str">
        <f t="shared" si="10"/>
        <v/>
      </c>
      <c r="M67" s="772" t="str">
        <f t="shared" si="11"/>
        <v/>
      </c>
      <c r="N67" s="772" t="str">
        <f t="shared" si="12"/>
        <v/>
      </c>
      <c r="O67" s="883"/>
      <c r="P67" s="883" t="s">
        <v>2656</v>
      </c>
      <c r="Q67" s="883"/>
      <c r="R67" s="883"/>
      <c r="S67" s="883"/>
      <c r="T67" s="771"/>
      <c r="U67" s="771" t="s">
        <v>2657</v>
      </c>
      <c r="V67" s="771"/>
      <c r="W67" s="771"/>
      <c r="X67" s="771"/>
      <c r="Y67" s="926"/>
      <c r="Z67" s="774"/>
      <c r="AA67" s="777"/>
      <c r="AB67" s="774"/>
      <c r="AC67" s="774"/>
      <c r="AD67" s="774"/>
    </row>
    <row r="68" spans="1:30" ht="27" customHeight="1">
      <c r="A68" s="773"/>
      <c r="B68" s="826">
        <v>51</v>
      </c>
      <c r="C68" s="771"/>
      <c r="D68" s="893"/>
      <c r="E68" s="771"/>
      <c r="F68" s="771"/>
      <c r="G68" s="771"/>
      <c r="H68" s="818"/>
      <c r="I68" s="931">
        <f t="shared" si="7"/>
        <v>0</v>
      </c>
      <c r="J68" s="931">
        <f t="shared" si="8"/>
        <v>0</v>
      </c>
      <c r="K68" s="931">
        <f t="shared" si="9"/>
        <v>0</v>
      </c>
      <c r="L68" s="772" t="str">
        <f t="shared" si="10"/>
        <v/>
      </c>
      <c r="M68" s="772" t="str">
        <f t="shared" si="11"/>
        <v/>
      </c>
      <c r="N68" s="772" t="str">
        <f t="shared" si="12"/>
        <v/>
      </c>
      <c r="O68" s="883"/>
      <c r="P68" s="883" t="s">
        <v>2658</v>
      </c>
      <c r="Q68" s="883"/>
      <c r="R68" s="883"/>
      <c r="S68" s="883"/>
      <c r="T68" s="771"/>
      <c r="U68" s="771" t="s">
        <v>2659</v>
      </c>
      <c r="V68" s="771"/>
      <c r="W68" s="771"/>
      <c r="X68" s="771"/>
      <c r="Y68" s="926"/>
      <c r="Z68" s="774"/>
      <c r="AA68" s="777"/>
      <c r="AB68" s="774"/>
      <c r="AC68" s="774"/>
      <c r="AD68" s="774"/>
    </row>
    <row r="69" spans="1:30" ht="9" customHeight="1">
      <c r="A69" s="773"/>
      <c r="B69" s="826">
        <v>52</v>
      </c>
      <c r="C69" s="771"/>
      <c r="D69" s="893" t="s">
        <v>2660</v>
      </c>
      <c r="E69" s="771"/>
      <c r="F69" s="771"/>
      <c r="G69" s="771"/>
      <c r="H69" s="818"/>
      <c r="I69" s="931">
        <f t="shared" si="7"/>
        <v>0</v>
      </c>
      <c r="J69" s="931">
        <f t="shared" si="8"/>
        <v>0</v>
      </c>
      <c r="K69" s="931">
        <f t="shared" si="9"/>
        <v>0</v>
      </c>
      <c r="L69" s="772" t="str">
        <f t="shared" si="10"/>
        <v/>
      </c>
      <c r="M69" s="772" t="str">
        <f t="shared" si="11"/>
        <v/>
      </c>
      <c r="N69" s="772" t="str">
        <f t="shared" si="12"/>
        <v/>
      </c>
      <c r="O69" s="883"/>
      <c r="P69" s="883" t="s">
        <v>122</v>
      </c>
      <c r="Q69" s="883"/>
      <c r="R69" s="883"/>
      <c r="S69" s="883"/>
      <c r="T69" s="771"/>
      <c r="U69" s="771" t="s">
        <v>2661</v>
      </c>
      <c r="V69" s="771"/>
      <c r="W69" s="771"/>
      <c r="X69" s="771"/>
      <c r="Y69" s="926"/>
      <c r="Z69" s="774"/>
      <c r="AA69" s="777"/>
      <c r="AB69" s="774"/>
      <c r="AC69" s="774"/>
      <c r="AD69" s="774"/>
    </row>
    <row r="70" spans="1:30" ht="27" customHeight="1">
      <c r="A70" s="773"/>
      <c r="B70" s="826">
        <v>53</v>
      </c>
      <c r="C70" s="771"/>
      <c r="D70" s="893"/>
      <c r="E70" s="771" t="s">
        <v>2645</v>
      </c>
      <c r="F70" s="771"/>
      <c r="G70" s="771"/>
      <c r="H70" s="818"/>
      <c r="I70" s="931">
        <f t="shared" si="7"/>
        <v>0</v>
      </c>
      <c r="J70" s="931">
        <f t="shared" si="8"/>
        <v>0</v>
      </c>
      <c r="K70" s="931">
        <f t="shared" si="9"/>
        <v>0</v>
      </c>
      <c r="L70" s="772" t="str">
        <f t="shared" si="10"/>
        <v/>
      </c>
      <c r="M70" s="772" t="str">
        <f t="shared" si="11"/>
        <v/>
      </c>
      <c r="N70" s="772" t="str">
        <f t="shared" si="12"/>
        <v/>
      </c>
      <c r="O70" s="883"/>
      <c r="P70" s="883"/>
      <c r="Q70" s="883" t="s">
        <v>81</v>
      </c>
      <c r="R70" s="883"/>
      <c r="S70" s="883"/>
      <c r="T70" s="771"/>
      <c r="U70" s="771"/>
      <c r="V70" s="771" t="s">
        <v>2662</v>
      </c>
      <c r="W70" s="771"/>
      <c r="X70" s="771"/>
      <c r="Y70" s="926"/>
      <c r="Z70" s="774"/>
      <c r="AA70" s="777"/>
      <c r="AB70" s="774"/>
      <c r="AC70" s="774"/>
      <c r="AD70" s="774"/>
    </row>
    <row r="71" spans="1:30" ht="36" customHeight="1">
      <c r="A71" s="773"/>
      <c r="B71" s="826">
        <v>54</v>
      </c>
      <c r="C71" s="771"/>
      <c r="D71" s="893"/>
      <c r="E71" s="771" t="s">
        <v>2647</v>
      </c>
      <c r="F71" s="771"/>
      <c r="G71" s="771"/>
      <c r="H71" s="818"/>
      <c r="I71" s="931">
        <f t="shared" si="7"/>
        <v>0</v>
      </c>
      <c r="J71" s="931">
        <f t="shared" si="8"/>
        <v>0</v>
      </c>
      <c r="K71" s="931">
        <f t="shared" si="9"/>
        <v>0</v>
      </c>
      <c r="L71" s="772" t="str">
        <f t="shared" si="10"/>
        <v/>
      </c>
      <c r="M71" s="772" t="str">
        <f t="shared" si="11"/>
        <v/>
      </c>
      <c r="N71" s="772" t="str">
        <f t="shared" si="12"/>
        <v/>
      </c>
      <c r="O71" s="883"/>
      <c r="P71" s="883"/>
      <c r="Q71" s="883" t="s">
        <v>110</v>
      </c>
      <c r="R71" s="883"/>
      <c r="S71" s="883"/>
      <c r="T71" s="771"/>
      <c r="U71" s="771"/>
      <c r="V71" s="771" t="s">
        <v>2663</v>
      </c>
      <c r="W71" s="771"/>
      <c r="X71" s="771"/>
      <c r="Y71" s="926"/>
      <c r="Z71" s="774"/>
      <c r="AA71" s="777"/>
      <c r="AB71" s="774"/>
      <c r="AC71" s="774"/>
      <c r="AD71" s="774"/>
    </row>
    <row r="72" spans="1:30" ht="27" customHeight="1">
      <c r="A72" s="773"/>
      <c r="B72" s="826">
        <v>55</v>
      </c>
      <c r="C72" s="771"/>
      <c r="D72" s="893"/>
      <c r="E72" s="771" t="s">
        <v>2649</v>
      </c>
      <c r="F72" s="771"/>
      <c r="G72" s="771"/>
      <c r="H72" s="818"/>
      <c r="I72" s="931">
        <f t="shared" si="7"/>
        <v>0</v>
      </c>
      <c r="J72" s="931">
        <f t="shared" si="8"/>
        <v>0</v>
      </c>
      <c r="K72" s="931">
        <f t="shared" si="9"/>
        <v>0</v>
      </c>
      <c r="L72" s="772" t="str">
        <f t="shared" si="10"/>
        <v/>
      </c>
      <c r="M72" s="772" t="str">
        <f t="shared" si="11"/>
        <v/>
      </c>
      <c r="N72" s="772" t="str">
        <f t="shared" si="12"/>
        <v/>
      </c>
      <c r="O72" s="883"/>
      <c r="P72" s="883"/>
      <c r="Q72" s="883" t="s">
        <v>114</v>
      </c>
      <c r="R72" s="883"/>
      <c r="S72" s="883"/>
      <c r="T72" s="771"/>
      <c r="U72" s="771"/>
      <c r="V72" s="771" t="s">
        <v>2664</v>
      </c>
      <c r="W72" s="771"/>
      <c r="X72" s="771"/>
      <c r="Y72" s="926"/>
      <c r="Z72" s="774"/>
      <c r="AA72" s="777"/>
      <c r="AB72" s="774"/>
      <c r="AC72" s="774"/>
      <c r="AD72" s="774"/>
    </row>
    <row r="73" spans="1:30" ht="36" customHeight="1">
      <c r="A73" s="773"/>
      <c r="B73" s="826">
        <v>56</v>
      </c>
      <c r="C73" s="771"/>
      <c r="D73" s="893"/>
      <c r="E73" s="771" t="s">
        <v>2651</v>
      </c>
      <c r="F73" s="771"/>
      <c r="G73" s="771"/>
      <c r="H73" s="818"/>
      <c r="I73" s="931">
        <f t="shared" si="7"/>
        <v>0</v>
      </c>
      <c r="J73" s="931">
        <f t="shared" si="8"/>
        <v>0</v>
      </c>
      <c r="K73" s="931">
        <f t="shared" si="9"/>
        <v>0</v>
      </c>
      <c r="L73" s="772" t="str">
        <f t="shared" si="10"/>
        <v/>
      </c>
      <c r="M73" s="772" t="str">
        <f t="shared" si="11"/>
        <v/>
      </c>
      <c r="N73" s="772" t="str">
        <f t="shared" si="12"/>
        <v/>
      </c>
      <c r="O73" s="883"/>
      <c r="P73" s="883"/>
      <c r="Q73" s="883" t="s">
        <v>118</v>
      </c>
      <c r="R73" s="883"/>
      <c r="S73" s="883"/>
      <c r="T73" s="771"/>
      <c r="U73" s="771"/>
      <c r="V73" s="771" t="s">
        <v>2665</v>
      </c>
      <c r="W73" s="771"/>
      <c r="X73" s="771"/>
      <c r="Y73" s="926"/>
      <c r="Z73" s="774"/>
      <c r="AA73" s="777"/>
      <c r="AB73" s="774"/>
      <c r="AC73" s="774"/>
      <c r="AD73" s="774"/>
    </row>
    <row r="74" spans="1:30" ht="18" customHeight="1">
      <c r="A74" s="773"/>
      <c r="B74" s="826">
        <v>57</v>
      </c>
      <c r="C74" s="771"/>
      <c r="D74" s="893"/>
      <c r="E74" s="771" t="s">
        <v>2660</v>
      </c>
      <c r="F74" s="771"/>
      <c r="G74" s="771"/>
      <c r="H74" s="818"/>
      <c r="I74" s="931">
        <f t="shared" si="7"/>
        <v>0</v>
      </c>
      <c r="J74" s="931">
        <f t="shared" si="8"/>
        <v>0</v>
      </c>
      <c r="K74" s="931">
        <f t="shared" si="9"/>
        <v>0</v>
      </c>
      <c r="L74" s="772" t="str">
        <f t="shared" si="10"/>
        <v/>
      </c>
      <c r="M74" s="772" t="str">
        <f t="shared" si="11"/>
        <v/>
      </c>
      <c r="N74" s="772" t="str">
        <f t="shared" si="12"/>
        <v/>
      </c>
      <c r="O74" s="883"/>
      <c r="P74" s="883"/>
      <c r="Q74" s="883" t="s">
        <v>122</v>
      </c>
      <c r="R74" s="883"/>
      <c r="S74" s="883"/>
      <c r="T74" s="771"/>
      <c r="U74" s="771"/>
      <c r="V74" s="771" t="s">
        <v>2666</v>
      </c>
      <c r="W74" s="771"/>
      <c r="X74" s="771"/>
      <c r="Y74" s="926"/>
      <c r="Z74" s="774"/>
      <c r="AA74" s="777"/>
      <c r="AB74" s="774"/>
      <c r="AC74" s="774"/>
      <c r="AD74" s="774"/>
    </row>
    <row r="75" spans="1:30" ht="18" customHeight="1">
      <c r="A75" s="773"/>
      <c r="B75" s="826">
        <v>58</v>
      </c>
      <c r="C75" s="771"/>
      <c r="D75" s="893"/>
      <c r="E75" s="771"/>
      <c r="F75" s="771" t="s">
        <v>2645</v>
      </c>
      <c r="G75" s="771"/>
      <c r="H75" s="818"/>
      <c r="I75" s="931">
        <f t="shared" si="7"/>
        <v>0</v>
      </c>
      <c r="J75" s="931">
        <f t="shared" si="8"/>
        <v>0</v>
      </c>
      <c r="K75" s="931">
        <f t="shared" si="9"/>
        <v>0</v>
      </c>
      <c r="L75" s="772" t="str">
        <f t="shared" si="10"/>
        <v/>
      </c>
      <c r="M75" s="772" t="str">
        <f t="shared" si="11"/>
        <v/>
      </c>
      <c r="N75" s="772" t="str">
        <f t="shared" si="12"/>
        <v/>
      </c>
      <c r="O75" s="883"/>
      <c r="P75" s="883"/>
      <c r="Q75" s="883"/>
      <c r="R75" s="883" t="s">
        <v>81</v>
      </c>
      <c r="S75" s="883"/>
      <c r="T75" s="771"/>
      <c r="U75" s="771"/>
      <c r="V75" s="771"/>
      <c r="W75" s="771" t="s">
        <v>2667</v>
      </c>
      <c r="X75" s="771"/>
      <c r="Y75" s="926"/>
      <c r="Z75" s="774"/>
      <c r="AA75" s="777"/>
      <c r="AB75" s="774"/>
      <c r="AC75" s="774"/>
      <c r="AD75" s="774"/>
    </row>
    <row r="76" spans="1:30" ht="36" customHeight="1">
      <c r="A76" s="773"/>
      <c r="B76" s="826">
        <v>59</v>
      </c>
      <c r="C76" s="771"/>
      <c r="D76" s="893"/>
      <c r="E76" s="771"/>
      <c r="F76" s="771" t="s">
        <v>2647</v>
      </c>
      <c r="G76" s="771"/>
      <c r="H76" s="818"/>
      <c r="I76" s="931">
        <f t="shared" si="7"/>
        <v>0</v>
      </c>
      <c r="J76" s="931">
        <f t="shared" si="8"/>
        <v>0</v>
      </c>
      <c r="K76" s="931">
        <f t="shared" si="9"/>
        <v>0</v>
      </c>
      <c r="L76" s="772" t="str">
        <f t="shared" si="10"/>
        <v/>
      </c>
      <c r="M76" s="772" t="str">
        <f t="shared" si="11"/>
        <v/>
      </c>
      <c r="N76" s="772" t="str">
        <f t="shared" si="12"/>
        <v/>
      </c>
      <c r="O76" s="883"/>
      <c r="P76" s="883"/>
      <c r="Q76" s="883"/>
      <c r="R76" s="883" t="s">
        <v>110</v>
      </c>
      <c r="S76" s="883"/>
      <c r="T76" s="771"/>
      <c r="U76" s="771"/>
      <c r="V76" s="771"/>
      <c r="W76" s="771" t="s">
        <v>2668</v>
      </c>
      <c r="X76" s="771"/>
      <c r="Y76" s="926"/>
      <c r="Z76" s="774"/>
      <c r="AA76" s="777"/>
      <c r="AB76" s="774"/>
      <c r="AC76" s="774"/>
      <c r="AD76" s="774"/>
    </row>
    <row r="77" spans="1:30" ht="18" customHeight="1">
      <c r="A77" s="773"/>
      <c r="B77" s="826">
        <v>60</v>
      </c>
      <c r="C77" s="771"/>
      <c r="D77" s="893"/>
      <c r="E77" s="771"/>
      <c r="F77" s="771" t="s">
        <v>2649</v>
      </c>
      <c r="G77" s="771"/>
      <c r="H77" s="818"/>
      <c r="I77" s="931">
        <f t="shared" si="7"/>
        <v>0</v>
      </c>
      <c r="J77" s="931">
        <f t="shared" si="8"/>
        <v>0</v>
      </c>
      <c r="K77" s="931">
        <f t="shared" si="9"/>
        <v>0</v>
      </c>
      <c r="L77" s="772" t="str">
        <f t="shared" si="10"/>
        <v/>
      </c>
      <c r="M77" s="772" t="str">
        <f t="shared" si="11"/>
        <v/>
      </c>
      <c r="N77" s="772" t="str">
        <f t="shared" si="12"/>
        <v/>
      </c>
      <c r="O77" s="883"/>
      <c r="P77" s="883"/>
      <c r="Q77" s="883"/>
      <c r="R77" s="883" t="s">
        <v>114</v>
      </c>
      <c r="S77" s="883"/>
      <c r="T77" s="771"/>
      <c r="U77" s="771"/>
      <c r="V77" s="771"/>
      <c r="W77" s="771" t="s">
        <v>2669</v>
      </c>
      <c r="X77" s="771"/>
      <c r="Y77" s="926"/>
      <c r="Z77" s="774"/>
      <c r="AA77" s="777"/>
      <c r="AB77" s="774"/>
      <c r="AC77" s="774"/>
      <c r="AD77" s="774"/>
    </row>
    <row r="78" spans="1:30" ht="72" customHeight="1">
      <c r="A78" s="773"/>
      <c r="B78" s="826">
        <v>61</v>
      </c>
      <c r="C78" s="771" t="s">
        <v>2645</v>
      </c>
      <c r="D78" s="893"/>
      <c r="E78" s="771"/>
      <c r="F78" s="771"/>
      <c r="G78" s="771"/>
      <c r="H78" s="818"/>
      <c r="I78" s="931" t="str">
        <f t="shared" si="7"/>
        <v>7</v>
      </c>
      <c r="J78" s="931"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1"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2" t="str">
        <f t="shared" si="10"/>
        <v>7</v>
      </c>
      <c r="M78" s="77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3" t="s">
        <v>81</v>
      </c>
      <c r="P78" s="883"/>
      <c r="Q78" s="883"/>
      <c r="R78" s="883"/>
      <c r="S78" s="883"/>
      <c r="T78" s="771" t="s">
        <v>955</v>
      </c>
      <c r="U78" s="771"/>
      <c r="V78" s="771"/>
      <c r="W78" s="771"/>
      <c r="X78" s="771"/>
      <c r="Y78" s="926"/>
      <c r="Z78" s="774" t="s">
        <v>2670</v>
      </c>
      <c r="AA78" s="777"/>
      <c r="AB78" s="774"/>
      <c r="AC78" s="774"/>
      <c r="AD78" s="774"/>
    </row>
    <row r="79" spans="1:30" ht="36" customHeight="1">
      <c r="A79" s="773"/>
      <c r="B79" s="826">
        <v>62</v>
      </c>
      <c r="C79" s="771" t="s">
        <v>2647</v>
      </c>
      <c r="D79" s="893"/>
      <c r="E79" s="771"/>
      <c r="F79" s="771"/>
      <c r="G79" s="771"/>
      <c r="H79" s="818"/>
      <c r="I79" s="931" t="str">
        <f t="shared" si="7"/>
        <v>8</v>
      </c>
      <c r="J79" s="931" t="str">
        <f t="shared" si="8"/>
        <v>Тепловая нагрузка по договорам, заключенным в рамках осуществления регулируемых видов деятельности</v>
      </c>
      <c r="K79" s="931"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2" t="str">
        <f t="shared" si="10"/>
        <v>8</v>
      </c>
      <c r="M79" s="772" t="str">
        <f t="shared" si="11"/>
        <v>Тепловая нагрузка по договорам, заключенным в рамках осуществления регулируемых видов деятельности</v>
      </c>
      <c r="N79" s="77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3" t="s">
        <v>110</v>
      </c>
      <c r="P79" s="883"/>
      <c r="Q79" s="883"/>
      <c r="R79" s="883"/>
      <c r="S79" s="883"/>
      <c r="T79" s="771" t="s">
        <v>2671</v>
      </c>
      <c r="U79" s="771"/>
      <c r="V79" s="771"/>
      <c r="W79" s="771"/>
      <c r="X79" s="771"/>
      <c r="Y79" s="926"/>
      <c r="Z79" s="774" t="s">
        <v>2672</v>
      </c>
      <c r="AA79" s="777"/>
      <c r="AB79" s="774"/>
      <c r="AC79" s="774"/>
      <c r="AD79" s="774"/>
    </row>
    <row r="80" spans="1:30" ht="45" customHeight="1">
      <c r="A80" s="773"/>
      <c r="B80" s="826">
        <v>63</v>
      </c>
      <c r="C80" s="771" t="s">
        <v>2649</v>
      </c>
      <c r="D80" s="893"/>
      <c r="E80" s="771"/>
      <c r="F80" s="771"/>
      <c r="G80" s="771"/>
      <c r="H80" s="818"/>
      <c r="I80" s="931" t="str">
        <f t="shared" si="7"/>
        <v>9</v>
      </c>
      <c r="J80" s="931" t="str">
        <f t="shared" si="8"/>
        <v>Объем вырабатываемой регулируемой организацией тепловой энергии в рамках осуществления регулируемых видов деятельности</v>
      </c>
      <c r="K80" s="931"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2" t="str">
        <f t="shared" si="10"/>
        <v>9</v>
      </c>
      <c r="M80" s="772" t="str">
        <f t="shared" si="11"/>
        <v>Объем вырабатываемой регулируемой организацией тепловой энергии в рамках осуществления регулируемых видов деятельности</v>
      </c>
      <c r="N80" s="77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3" t="s">
        <v>114</v>
      </c>
      <c r="P80" s="883"/>
      <c r="Q80" s="883"/>
      <c r="R80" s="883"/>
      <c r="S80" s="883"/>
      <c r="T80" s="771" t="s">
        <v>2673</v>
      </c>
      <c r="U80" s="771"/>
      <c r="V80" s="771"/>
      <c r="W80" s="771"/>
      <c r="X80" s="771"/>
      <c r="Y80" s="926"/>
      <c r="Z80" s="774" t="s">
        <v>2674</v>
      </c>
      <c r="AA80" s="777"/>
      <c r="AB80" s="774"/>
      <c r="AC80" s="774"/>
      <c r="AD80" s="774"/>
    </row>
    <row r="81" spans="1:30" ht="36" customHeight="1">
      <c r="A81" s="773"/>
      <c r="B81" s="826">
        <v>64</v>
      </c>
      <c r="C81" s="771" t="s">
        <v>2651</v>
      </c>
      <c r="D81" s="893"/>
      <c r="E81" s="771"/>
      <c r="F81" s="771"/>
      <c r="G81" s="771"/>
      <c r="H81" s="818"/>
      <c r="I81" s="931" t="str">
        <f t="shared" si="7"/>
        <v>9.1</v>
      </c>
      <c r="J81" s="931" t="str">
        <f t="shared" si="8"/>
        <v>Объем приобретаемой регулируемой организацией тепловой энергии в рамках осуществления регулируемых видов деятельности</v>
      </c>
      <c r="K81" s="931" t="str">
        <f t="shared" si="9"/>
        <v>Информация указывается только едиными теплоснабжающими организациями.</v>
      </c>
      <c r="L81" s="772" t="str">
        <f t="shared" si="10"/>
        <v>9.1</v>
      </c>
      <c r="M81" s="772" t="str">
        <f t="shared" si="11"/>
        <v>Объем приобретаемой регулируемой организацией тепловой энергии в рамках осуществления регулируемых видов деятельности</v>
      </c>
      <c r="N81" s="772" t="str">
        <f t="shared" si="12"/>
        <v>Информация указывается только едиными теплоснабжающими организациями.</v>
      </c>
      <c r="O81" s="883" t="s">
        <v>2560</v>
      </c>
      <c r="P81" s="883"/>
      <c r="Q81" s="883"/>
      <c r="R81" s="883"/>
      <c r="S81" s="883"/>
      <c r="T81" s="771" t="s">
        <v>2675</v>
      </c>
      <c r="U81" s="771"/>
      <c r="V81" s="771"/>
      <c r="W81" s="771"/>
      <c r="X81" s="771"/>
      <c r="Y81" s="926"/>
      <c r="Z81" s="774" t="s">
        <v>2676</v>
      </c>
      <c r="AA81" s="777"/>
      <c r="AB81" s="774"/>
      <c r="AC81" s="774"/>
      <c r="AD81" s="774"/>
    </row>
    <row r="82" spans="1:30" ht="90" customHeight="1">
      <c r="A82" s="773"/>
      <c r="B82" s="826">
        <v>65</v>
      </c>
      <c r="C82" s="771" t="s">
        <v>2660</v>
      </c>
      <c r="D82" s="893"/>
      <c r="E82" s="771"/>
      <c r="F82" s="771"/>
      <c r="G82" s="771"/>
      <c r="H82" s="818"/>
      <c r="I82" s="931" t="str">
        <f t="shared" ref="I82:I101" si="13">INDEX(TEMPLATE_NUMBER_POINT_FHD,B82,MATCH(TEMPLATE_SPHERE,TEMPLATE_SPHERE_LIST_FOR_NOTE,0))</f>
        <v>10</v>
      </c>
      <c r="J82" s="931"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1"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2" t="str">
        <f t="shared" ref="L82:L101" si="16">IF(I82=0,"",I82)</f>
        <v>10</v>
      </c>
      <c r="M82" s="77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3" t="s">
        <v>118</v>
      </c>
      <c r="P82" s="883"/>
      <c r="Q82" s="883"/>
      <c r="R82" s="883"/>
      <c r="S82" s="883"/>
      <c r="T82" s="771" t="s">
        <v>2677</v>
      </c>
      <c r="U82" s="771"/>
      <c r="V82" s="771"/>
      <c r="W82" s="771"/>
      <c r="X82" s="771"/>
      <c r="Y82" s="926"/>
      <c r="Z82" s="774" t="s">
        <v>2678</v>
      </c>
      <c r="AA82" s="777"/>
      <c r="AB82" s="774"/>
      <c r="AC82" s="774"/>
      <c r="AD82" s="774"/>
    </row>
    <row r="83" spans="1:30" ht="9" customHeight="1">
      <c r="A83" s="773"/>
      <c r="B83" s="826">
        <v>66</v>
      </c>
      <c r="C83" s="771"/>
      <c r="D83" s="893"/>
      <c r="E83" s="771"/>
      <c r="F83" s="771"/>
      <c r="G83" s="771"/>
      <c r="H83" s="818"/>
      <c r="I83" s="931" t="str">
        <f t="shared" si="13"/>
        <v>10.1</v>
      </c>
      <c r="J83" s="931" t="str">
        <f t="shared" si="14"/>
        <v xml:space="preserve">По приборам учёта </v>
      </c>
      <c r="K83" s="931">
        <f t="shared" si="15"/>
        <v>0</v>
      </c>
      <c r="L83" s="772" t="str">
        <f t="shared" si="16"/>
        <v>10.1</v>
      </c>
      <c r="M83" s="772" t="str">
        <f t="shared" si="17"/>
        <v xml:space="preserve">По приборам учёта </v>
      </c>
      <c r="N83" s="772" t="str">
        <f t="shared" si="18"/>
        <v/>
      </c>
      <c r="O83" s="883" t="s">
        <v>2569</v>
      </c>
      <c r="P83" s="883"/>
      <c r="Q83" s="883"/>
      <c r="R83" s="883"/>
      <c r="S83" s="883"/>
      <c r="T83" s="771" t="s">
        <v>2679</v>
      </c>
      <c r="U83" s="771"/>
      <c r="V83" s="771"/>
      <c r="W83" s="771"/>
      <c r="X83" s="771"/>
      <c r="Y83" s="926"/>
      <c r="Z83" s="774"/>
      <c r="AA83" s="777"/>
      <c r="AB83" s="774"/>
      <c r="AC83" s="774"/>
      <c r="AD83" s="774"/>
    </row>
    <row r="84" spans="1:30" ht="54" customHeight="1">
      <c r="A84" s="773"/>
      <c r="B84" s="826">
        <v>67</v>
      </c>
      <c r="C84" s="771"/>
      <c r="D84" s="893"/>
      <c r="E84" s="771"/>
      <c r="F84" s="771"/>
      <c r="G84" s="771"/>
      <c r="H84" s="818"/>
      <c r="I84" s="931" t="str">
        <f t="shared" si="13"/>
        <v>10.1.1</v>
      </c>
      <c r="J84" s="931"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1">
        <f t="shared" si="15"/>
        <v>0</v>
      </c>
      <c r="L84" s="772" t="str">
        <f t="shared" si="16"/>
        <v>10.1.1</v>
      </c>
      <c r="M84" s="77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2" t="str">
        <f t="shared" si="18"/>
        <v/>
      </c>
      <c r="O84" s="883" t="s">
        <v>2680</v>
      </c>
      <c r="P84" s="883"/>
      <c r="Q84" s="883"/>
      <c r="R84" s="883"/>
      <c r="S84" s="883"/>
      <c r="T84" s="771" t="s">
        <v>2681</v>
      </c>
      <c r="U84" s="771"/>
      <c r="V84" s="771"/>
      <c r="W84" s="771"/>
      <c r="X84" s="771"/>
      <c r="Y84" s="926"/>
      <c r="Z84" s="774"/>
      <c r="AA84" s="777"/>
      <c r="AB84" s="774"/>
      <c r="AC84" s="774"/>
      <c r="AD84" s="774"/>
    </row>
    <row r="85" spans="1:30" ht="9" customHeight="1">
      <c r="A85" s="773"/>
      <c r="B85" s="826">
        <v>68</v>
      </c>
      <c r="C85" s="771"/>
      <c r="D85" s="893"/>
      <c r="E85" s="771"/>
      <c r="F85" s="771"/>
      <c r="G85" s="771"/>
      <c r="H85" s="818"/>
      <c r="I85" s="931" t="str">
        <f t="shared" si="13"/>
        <v>10.2</v>
      </c>
      <c r="J85" s="931" t="str">
        <f t="shared" si="14"/>
        <v>Расчётным путём</v>
      </c>
      <c r="K85" s="931">
        <f t="shared" si="15"/>
        <v>0</v>
      </c>
      <c r="L85" s="772" t="str">
        <f t="shared" si="16"/>
        <v>10.2</v>
      </c>
      <c r="M85" s="772" t="str">
        <f t="shared" si="17"/>
        <v>Расчётным путём</v>
      </c>
      <c r="N85" s="772" t="str">
        <f t="shared" si="18"/>
        <v/>
      </c>
      <c r="O85" s="883" t="s">
        <v>2573</v>
      </c>
      <c r="P85" s="883"/>
      <c r="Q85" s="883"/>
      <c r="R85" s="883"/>
      <c r="S85" s="883"/>
      <c r="T85" s="771" t="s">
        <v>2682</v>
      </c>
      <c r="U85" s="771"/>
      <c r="V85" s="771"/>
      <c r="W85" s="771"/>
      <c r="X85" s="771"/>
      <c r="Y85" s="926"/>
      <c r="Z85" s="774"/>
      <c r="AA85" s="777"/>
      <c r="AB85" s="774"/>
      <c r="AC85" s="774"/>
      <c r="AD85" s="774"/>
    </row>
    <row r="86" spans="1:30" ht="27" customHeight="1">
      <c r="A86" s="773"/>
      <c r="B86" s="826">
        <v>69</v>
      </c>
      <c r="C86" s="771"/>
      <c r="D86" s="893"/>
      <c r="E86" s="771"/>
      <c r="F86" s="771"/>
      <c r="G86" s="771"/>
      <c r="H86" s="818"/>
      <c r="I86" s="931" t="str">
        <f t="shared" si="13"/>
        <v>10.3</v>
      </c>
      <c r="J86" s="931" t="str">
        <f t="shared" si="14"/>
        <v>По нормативам потребления коммунальных услуг и нормативам потребления коммунальных ресурсов</v>
      </c>
      <c r="K86" s="931">
        <f t="shared" si="15"/>
        <v>0</v>
      </c>
      <c r="L86" s="772" t="str">
        <f t="shared" si="16"/>
        <v>10.3</v>
      </c>
      <c r="M86" s="772" t="str">
        <f t="shared" si="17"/>
        <v>По нормативам потребления коммунальных услуг и нормативам потребления коммунальных ресурсов</v>
      </c>
      <c r="N86" s="772" t="str">
        <f t="shared" si="18"/>
        <v/>
      </c>
      <c r="O86" s="883" t="s">
        <v>2683</v>
      </c>
      <c r="P86" s="883"/>
      <c r="Q86" s="883"/>
      <c r="R86" s="883"/>
      <c r="S86" s="883"/>
      <c r="T86" s="771" t="s">
        <v>2684</v>
      </c>
      <c r="U86" s="771"/>
      <c r="V86" s="771"/>
      <c r="W86" s="771"/>
      <c r="X86" s="771"/>
      <c r="Y86" s="926"/>
      <c r="Z86" s="774"/>
      <c r="AA86" s="777"/>
      <c r="AB86" s="774"/>
      <c r="AC86" s="774"/>
      <c r="AD86" s="774"/>
    </row>
    <row r="87" spans="1:30" ht="36" customHeight="1">
      <c r="A87" s="773"/>
      <c r="B87" s="826">
        <v>70</v>
      </c>
      <c r="C87" s="771" t="s">
        <v>2685</v>
      </c>
      <c r="D87" s="893"/>
      <c r="E87" s="771"/>
      <c r="F87" s="771"/>
      <c r="G87" s="771"/>
      <c r="H87" s="818"/>
      <c r="I87" s="931" t="str">
        <f t="shared" si="13"/>
        <v>11</v>
      </c>
      <c r="J87" s="931"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1">
        <f t="shared" si="15"/>
        <v>0</v>
      </c>
      <c r="L87" s="772" t="str">
        <f t="shared" si="16"/>
        <v>11</v>
      </c>
      <c r="M87" s="77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2" t="str">
        <f t="shared" si="18"/>
        <v/>
      </c>
      <c r="O87" s="883" t="s">
        <v>122</v>
      </c>
      <c r="P87" s="883"/>
      <c r="Q87" s="883"/>
      <c r="R87" s="883"/>
      <c r="S87" s="883"/>
      <c r="T87" s="771" t="s">
        <v>2686</v>
      </c>
      <c r="U87" s="771"/>
      <c r="V87" s="771"/>
      <c r="W87" s="771"/>
      <c r="X87" s="771"/>
      <c r="Y87" s="926"/>
      <c r="Z87" s="774"/>
      <c r="AA87" s="777"/>
      <c r="AB87" s="774"/>
      <c r="AC87" s="774"/>
      <c r="AD87" s="774"/>
    </row>
    <row r="88" spans="1:30" ht="18" customHeight="1">
      <c r="A88" s="773"/>
      <c r="B88" s="826">
        <v>71</v>
      </c>
      <c r="C88" s="771" t="s">
        <v>2687</v>
      </c>
      <c r="D88" s="893"/>
      <c r="E88" s="771"/>
      <c r="F88" s="771"/>
      <c r="G88" s="771"/>
      <c r="H88" s="818"/>
      <c r="I88" s="931" t="str">
        <f t="shared" si="13"/>
        <v>12</v>
      </c>
      <c r="J88" s="931" t="str">
        <f t="shared" si="14"/>
        <v>Фактический объем потерь при передаче тепловой энергии</v>
      </c>
      <c r="K88" s="931">
        <f t="shared" si="15"/>
        <v>0</v>
      </c>
      <c r="L88" s="772" t="str">
        <f t="shared" si="16"/>
        <v>12</v>
      </c>
      <c r="M88" s="772" t="str">
        <f t="shared" si="17"/>
        <v>Фактический объем потерь при передаче тепловой энергии</v>
      </c>
      <c r="N88" s="772" t="str">
        <f t="shared" si="18"/>
        <v/>
      </c>
      <c r="O88" s="883" t="s">
        <v>126</v>
      </c>
      <c r="P88" s="883"/>
      <c r="Q88" s="883"/>
      <c r="R88" s="883"/>
      <c r="S88" s="883"/>
      <c r="T88" s="771" t="s">
        <v>987</v>
      </c>
      <c r="U88" s="771"/>
      <c r="V88" s="771"/>
      <c r="W88" s="771"/>
      <c r="X88" s="771"/>
      <c r="Y88" s="926"/>
      <c r="Z88" s="774"/>
      <c r="AA88" s="777"/>
      <c r="AB88" s="774"/>
      <c r="AC88" s="774"/>
      <c r="AD88" s="774"/>
    </row>
    <row r="89" spans="1:30" ht="18" customHeight="1">
      <c r="A89" s="773"/>
      <c r="B89" s="826">
        <v>72</v>
      </c>
      <c r="C89" s="771" t="s">
        <v>2688</v>
      </c>
      <c r="D89" s="893" t="s">
        <v>2685</v>
      </c>
      <c r="E89" s="771" t="s">
        <v>2685</v>
      </c>
      <c r="F89" s="771" t="s">
        <v>2651</v>
      </c>
      <c r="G89" s="771"/>
      <c r="H89" s="818"/>
      <c r="I89" s="931" t="str">
        <f t="shared" si="13"/>
        <v>13</v>
      </c>
      <c r="J89" s="931" t="str">
        <f t="shared" si="14"/>
        <v>Среднесписочная численность основного производственного персонала</v>
      </c>
      <c r="K89" s="931">
        <f t="shared" si="15"/>
        <v>0</v>
      </c>
      <c r="L89" s="772" t="str">
        <f t="shared" si="16"/>
        <v>13</v>
      </c>
      <c r="M89" s="772" t="str">
        <f t="shared" si="17"/>
        <v>Среднесписочная численность основного производственного персонала</v>
      </c>
      <c r="N89" s="772" t="str">
        <f t="shared" si="18"/>
        <v/>
      </c>
      <c r="O89" s="883" t="s">
        <v>130</v>
      </c>
      <c r="P89" s="883" t="s">
        <v>126</v>
      </c>
      <c r="Q89" s="883" t="s">
        <v>126</v>
      </c>
      <c r="R89" s="883" t="s">
        <v>118</v>
      </c>
      <c r="S89" s="883"/>
      <c r="T89" s="771" t="s">
        <v>995</v>
      </c>
      <c r="U89" s="771" t="s">
        <v>995</v>
      </c>
      <c r="V89" s="771" t="s">
        <v>995</v>
      </c>
      <c r="W89" s="771" t="s">
        <v>995</v>
      </c>
      <c r="X89" s="771"/>
      <c r="Y89" s="926"/>
      <c r="Z89" s="774"/>
      <c r="AA89" s="777"/>
      <c r="AB89" s="774"/>
      <c r="AC89" s="774"/>
      <c r="AD89" s="774"/>
    </row>
    <row r="90" spans="1:30" ht="27" customHeight="1">
      <c r="A90" s="773"/>
      <c r="B90" s="826">
        <v>73</v>
      </c>
      <c r="C90" s="771" t="s">
        <v>2689</v>
      </c>
      <c r="D90" s="893"/>
      <c r="E90" s="771"/>
      <c r="F90" s="771"/>
      <c r="G90" s="771"/>
      <c r="H90" s="818"/>
      <c r="I90" s="931" t="str">
        <f t="shared" si="13"/>
        <v>14</v>
      </c>
      <c r="J90" s="931" t="str">
        <f t="shared" si="14"/>
        <v>Среднесписочная численность административно-управленческого персонала</v>
      </c>
      <c r="K90" s="931">
        <f t="shared" si="15"/>
        <v>0</v>
      </c>
      <c r="L90" s="772" t="str">
        <f t="shared" si="16"/>
        <v>14</v>
      </c>
      <c r="M90" s="772" t="str">
        <f t="shared" si="17"/>
        <v>Среднесписочная численность административно-управленческого персонала</v>
      </c>
      <c r="N90" s="772" t="str">
        <f t="shared" si="18"/>
        <v/>
      </c>
      <c r="O90" s="883" t="s">
        <v>134</v>
      </c>
      <c r="P90" s="883"/>
      <c r="Q90" s="883"/>
      <c r="R90" s="883"/>
      <c r="S90" s="883"/>
      <c r="T90" s="771" t="s">
        <v>997</v>
      </c>
      <c r="U90" s="771"/>
      <c r="V90" s="771"/>
      <c r="W90" s="771"/>
      <c r="X90" s="771"/>
      <c r="Y90" s="926"/>
      <c r="Z90" s="774"/>
      <c r="AA90" s="777"/>
      <c r="AB90" s="774"/>
      <c r="AC90" s="774"/>
      <c r="AD90" s="774"/>
    </row>
    <row r="91" spans="1:30" ht="18" customHeight="1">
      <c r="A91" s="773"/>
      <c r="B91" s="826">
        <v>74</v>
      </c>
      <c r="C91" s="771"/>
      <c r="D91" s="893" t="s">
        <v>2687</v>
      </c>
      <c r="E91" s="771" t="s">
        <v>2687</v>
      </c>
      <c r="F91" s="771"/>
      <c r="G91" s="771"/>
      <c r="H91" s="818"/>
      <c r="I91" s="931">
        <f t="shared" si="13"/>
        <v>0</v>
      </c>
      <c r="J91" s="931">
        <f t="shared" si="14"/>
        <v>0</v>
      </c>
      <c r="K91" s="931">
        <f t="shared" si="15"/>
        <v>0</v>
      </c>
      <c r="L91" s="772" t="str">
        <f t="shared" si="16"/>
        <v/>
      </c>
      <c r="M91" s="772" t="str">
        <f t="shared" si="17"/>
        <v/>
      </c>
      <c r="N91" s="772" t="str">
        <f t="shared" si="18"/>
        <v/>
      </c>
      <c r="O91" s="883"/>
      <c r="P91" s="883" t="s">
        <v>130</v>
      </c>
      <c r="Q91" s="883" t="s">
        <v>130</v>
      </c>
      <c r="R91" s="883"/>
      <c r="S91" s="883"/>
      <c r="T91" s="771"/>
      <c r="U91" s="771" t="s">
        <v>2690</v>
      </c>
      <c r="V91" s="771" t="s">
        <v>2690</v>
      </c>
      <c r="W91" s="771"/>
      <c r="X91" s="771"/>
      <c r="Y91" s="926"/>
      <c r="Z91" s="774"/>
      <c r="AA91" s="777"/>
      <c r="AB91" s="774"/>
      <c r="AC91" s="774"/>
      <c r="AD91" s="774"/>
    </row>
    <row r="92" spans="1:30" ht="27" customHeight="1">
      <c r="A92" s="773"/>
      <c r="B92" s="826">
        <v>75</v>
      </c>
      <c r="C92" s="771"/>
      <c r="D92" s="893" t="s">
        <v>2688</v>
      </c>
      <c r="E92" s="771"/>
      <c r="F92" s="771"/>
      <c r="G92" s="771"/>
      <c r="H92" s="818"/>
      <c r="I92" s="931">
        <f t="shared" si="13"/>
        <v>0</v>
      </c>
      <c r="J92" s="931">
        <f t="shared" si="14"/>
        <v>0</v>
      </c>
      <c r="K92" s="931">
        <f t="shared" si="15"/>
        <v>0</v>
      </c>
      <c r="L92" s="772" t="str">
        <f t="shared" si="16"/>
        <v/>
      </c>
      <c r="M92" s="772" t="str">
        <f t="shared" si="17"/>
        <v/>
      </c>
      <c r="N92" s="772" t="str">
        <f t="shared" si="18"/>
        <v/>
      </c>
      <c r="O92" s="883"/>
      <c r="P92" s="883" t="s">
        <v>134</v>
      </c>
      <c r="Q92" s="883"/>
      <c r="R92" s="883"/>
      <c r="S92" s="883"/>
      <c r="T92" s="771"/>
      <c r="U92" s="771" t="s">
        <v>2691</v>
      </c>
      <c r="V92" s="771"/>
      <c r="W92" s="771"/>
      <c r="X92" s="771"/>
      <c r="Y92" s="926"/>
      <c r="Z92" s="774"/>
      <c r="AA92" s="777" t="s">
        <v>2692</v>
      </c>
      <c r="AB92" s="774"/>
      <c r="AC92" s="774"/>
      <c r="AD92" s="774"/>
    </row>
    <row r="93" spans="1:30" ht="27" customHeight="1">
      <c r="A93" s="773"/>
      <c r="B93" s="826">
        <v>76</v>
      </c>
      <c r="C93" s="771"/>
      <c r="D93" s="893"/>
      <c r="E93" s="771"/>
      <c r="F93" s="771"/>
      <c r="G93" s="771"/>
      <c r="H93" s="818"/>
      <c r="I93" s="931">
        <f t="shared" si="13"/>
        <v>0</v>
      </c>
      <c r="J93" s="931">
        <f t="shared" si="14"/>
        <v>0</v>
      </c>
      <c r="K93" s="931">
        <f t="shared" si="15"/>
        <v>0</v>
      </c>
      <c r="L93" s="772" t="str">
        <f t="shared" si="16"/>
        <v/>
      </c>
      <c r="M93" s="772" t="str">
        <f t="shared" si="17"/>
        <v/>
      </c>
      <c r="N93" s="772" t="str">
        <f t="shared" si="18"/>
        <v/>
      </c>
      <c r="O93" s="883"/>
      <c r="P93" s="883" t="s">
        <v>2600</v>
      </c>
      <c r="Q93" s="883"/>
      <c r="R93" s="883"/>
      <c r="S93" s="883"/>
      <c r="T93" s="771"/>
      <c r="U93" s="771" t="s">
        <v>2693</v>
      </c>
      <c r="V93" s="771"/>
      <c r="W93" s="771"/>
      <c r="X93" s="771"/>
      <c r="Y93" s="926"/>
      <c r="Z93" s="774"/>
      <c r="AA93" s="777" t="s">
        <v>2694</v>
      </c>
      <c r="AB93" s="774"/>
      <c r="AC93" s="774"/>
      <c r="AD93" s="774"/>
    </row>
    <row r="94" spans="1:30" ht="45" customHeight="1">
      <c r="A94" s="773"/>
      <c r="B94" s="826">
        <v>77</v>
      </c>
      <c r="C94" s="771"/>
      <c r="D94" s="893" t="s">
        <v>2689</v>
      </c>
      <c r="E94" s="771"/>
      <c r="F94" s="771"/>
      <c r="G94" s="771"/>
      <c r="H94" s="818"/>
      <c r="I94" s="931">
        <f t="shared" si="13"/>
        <v>0</v>
      </c>
      <c r="J94" s="931">
        <f t="shared" si="14"/>
        <v>0</v>
      </c>
      <c r="K94" s="931">
        <f t="shared" si="15"/>
        <v>0</v>
      </c>
      <c r="L94" s="772" t="str">
        <f t="shared" si="16"/>
        <v/>
      </c>
      <c r="M94" s="772" t="str">
        <f t="shared" si="17"/>
        <v/>
      </c>
      <c r="N94" s="772" t="str">
        <f t="shared" si="18"/>
        <v/>
      </c>
      <c r="O94" s="883"/>
      <c r="P94" s="883" t="s">
        <v>138</v>
      </c>
      <c r="Q94" s="883"/>
      <c r="R94" s="883"/>
      <c r="S94" s="883"/>
      <c r="T94" s="771"/>
      <c r="U94" s="771" t="s">
        <v>2695</v>
      </c>
      <c r="V94" s="771"/>
      <c r="W94" s="771"/>
      <c r="X94" s="771"/>
      <c r="Y94" s="926"/>
      <c r="Z94" s="774"/>
      <c r="AA94" s="777" t="s">
        <v>2696</v>
      </c>
      <c r="AB94" s="774"/>
      <c r="AC94" s="774"/>
      <c r="AD94" s="774"/>
    </row>
    <row r="95" spans="1:30" ht="99" customHeight="1">
      <c r="A95" s="773"/>
      <c r="B95" s="826">
        <v>78</v>
      </c>
      <c r="C95" s="771" t="s">
        <v>2697</v>
      </c>
      <c r="D95" s="893"/>
      <c r="E95" s="771"/>
      <c r="F95" s="771"/>
      <c r="G95" s="771"/>
      <c r="H95" s="818"/>
      <c r="I95" s="931" t="str">
        <f t="shared" si="13"/>
        <v>15</v>
      </c>
      <c r="J95" s="931"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1">
        <f t="shared" si="15"/>
        <v>0</v>
      </c>
      <c r="L95" s="772" t="str">
        <f t="shared" si="16"/>
        <v>15</v>
      </c>
      <c r="M95" s="77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2" t="str">
        <f t="shared" si="18"/>
        <v/>
      </c>
      <c r="O95" s="883" t="s">
        <v>138</v>
      </c>
      <c r="P95" s="883"/>
      <c r="Q95" s="883"/>
      <c r="R95" s="883"/>
      <c r="S95" s="883"/>
      <c r="T95" s="771" t="s">
        <v>2698</v>
      </c>
      <c r="U95" s="771"/>
      <c r="V95" s="771"/>
      <c r="W95" s="771"/>
      <c r="X95" s="771"/>
      <c r="Y95" s="926"/>
      <c r="Z95" s="774"/>
      <c r="AA95" s="777"/>
      <c r="AB95" s="774"/>
      <c r="AC95" s="774"/>
      <c r="AD95" s="774"/>
    </row>
    <row r="96" spans="1:30" ht="99" customHeight="1">
      <c r="A96" s="773"/>
      <c r="B96" s="826">
        <v>79</v>
      </c>
      <c r="C96" s="771" t="s">
        <v>1670</v>
      </c>
      <c r="D96" s="893"/>
      <c r="E96" s="771"/>
      <c r="F96" s="771"/>
      <c r="G96" s="771"/>
      <c r="H96" s="818"/>
      <c r="I96" s="931" t="str">
        <f t="shared" si="13"/>
        <v>16</v>
      </c>
      <c r="J96" s="931"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1"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2" t="str">
        <f t="shared" si="16"/>
        <v>16</v>
      </c>
      <c r="M96" s="77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3" t="s">
        <v>142</v>
      </c>
      <c r="P96" s="883"/>
      <c r="Q96" s="883"/>
      <c r="R96" s="883"/>
      <c r="S96" s="883"/>
      <c r="T96" s="771" t="s">
        <v>2699</v>
      </c>
      <c r="U96" s="771"/>
      <c r="V96" s="771"/>
      <c r="W96" s="771"/>
      <c r="X96" s="771"/>
      <c r="Y96" s="926"/>
      <c r="Z96" s="774" t="s">
        <v>2700</v>
      </c>
      <c r="AA96" s="777"/>
      <c r="AB96" s="774"/>
      <c r="AC96" s="774"/>
      <c r="AD96" s="774"/>
    </row>
    <row r="97" spans="1:30" ht="63" customHeight="1">
      <c r="A97" s="773"/>
      <c r="B97" s="826">
        <v>80</v>
      </c>
      <c r="C97" s="771" t="s">
        <v>2701</v>
      </c>
      <c r="D97" s="893"/>
      <c r="E97" s="771"/>
      <c r="F97" s="771"/>
      <c r="G97" s="771"/>
      <c r="H97" s="818"/>
      <c r="I97" s="931" t="str">
        <f t="shared" si="13"/>
        <v>17</v>
      </c>
      <c r="J97" s="931"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1" t="str">
        <f t="shared" si="15"/>
        <v>Регулируемыми организациями указывается информация с по договорам, заключенным в рамках осуществления регулируемой деятельности.</v>
      </c>
      <c r="L97" s="772" t="str">
        <f t="shared" si="16"/>
        <v>17</v>
      </c>
      <c r="M97" s="77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2" t="str">
        <f t="shared" si="18"/>
        <v>Регулируемыми организациями указывается информация с по договорам, заключенным в рамках осуществления регулируемой деятельности.</v>
      </c>
      <c r="O97" s="883" t="s">
        <v>91</v>
      </c>
      <c r="P97" s="883"/>
      <c r="Q97" s="883"/>
      <c r="R97" s="883"/>
      <c r="S97" s="883"/>
      <c r="T97" s="771" t="s">
        <v>2702</v>
      </c>
      <c r="U97" s="771"/>
      <c r="V97" s="771"/>
      <c r="W97" s="771"/>
      <c r="X97" s="771"/>
      <c r="Y97" s="926"/>
      <c r="Z97" s="774" t="s">
        <v>2703</v>
      </c>
      <c r="AA97" s="777"/>
      <c r="AB97" s="774"/>
      <c r="AC97" s="774"/>
      <c r="AD97" s="774"/>
    </row>
    <row r="98" spans="1:30" ht="63" customHeight="1">
      <c r="A98" s="773"/>
      <c r="B98" s="826">
        <v>81</v>
      </c>
      <c r="C98" s="771" t="s">
        <v>2704</v>
      </c>
      <c r="D98" s="893"/>
      <c r="E98" s="771"/>
      <c r="F98" s="771"/>
      <c r="G98" s="771"/>
      <c r="H98" s="818"/>
      <c r="I98" s="931" t="str">
        <f t="shared" si="13"/>
        <v>18</v>
      </c>
      <c r="J98" s="931"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1" t="str">
        <f t="shared" si="15"/>
        <v>Регулируемыми организациями указывается информация с по договорам, заключенным в рамках осуществления регулируемой деятельности.</v>
      </c>
      <c r="L98" s="772" t="str">
        <f t="shared" si="16"/>
        <v>18</v>
      </c>
      <c r="M98" s="77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2" t="str">
        <f t="shared" si="18"/>
        <v>Регулируемыми организациями указывается информация с по договорам, заключенным в рамках осуществления регулируемой деятельности.</v>
      </c>
      <c r="O98" s="883" t="s">
        <v>149</v>
      </c>
      <c r="P98" s="883"/>
      <c r="Q98" s="883"/>
      <c r="R98" s="883"/>
      <c r="S98" s="883"/>
      <c r="T98" s="771" t="s">
        <v>2705</v>
      </c>
      <c r="U98" s="771"/>
      <c r="V98" s="771"/>
      <c r="W98" s="771"/>
      <c r="X98" s="771"/>
      <c r="Y98" s="926"/>
      <c r="Z98" s="774" t="s">
        <v>2703</v>
      </c>
      <c r="AA98" s="777"/>
      <c r="AB98" s="774"/>
      <c r="AC98" s="774"/>
      <c r="AD98" s="774"/>
    </row>
    <row r="99" spans="1:30" ht="90" customHeight="1">
      <c r="A99" s="773"/>
      <c r="B99" s="826">
        <v>82</v>
      </c>
      <c r="C99" s="771" t="s">
        <v>2706</v>
      </c>
      <c r="D99" s="893"/>
      <c r="E99" s="771"/>
      <c r="F99" s="771"/>
      <c r="G99" s="771"/>
      <c r="H99" s="818"/>
      <c r="I99" s="931" t="str">
        <f t="shared" si="13"/>
        <v>19</v>
      </c>
      <c r="J99" s="931"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1" t="str">
        <f t="shared" si="15"/>
        <v>Указывается ссылка на документ, предварительно загруженный в хранилище файлов ФГИС ЕИАС.</v>
      </c>
      <c r="L99" s="772" t="str">
        <f t="shared" si="16"/>
        <v>19</v>
      </c>
      <c r="M99" s="77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2" t="str">
        <f t="shared" si="18"/>
        <v>Указывается ссылка на документ, предварительно загруженный в хранилище файлов ФГИС ЕИАС.</v>
      </c>
      <c r="O99" s="883" t="s">
        <v>153</v>
      </c>
      <c r="P99" s="883"/>
      <c r="Q99" s="883"/>
      <c r="R99" s="883"/>
      <c r="S99" s="883"/>
      <c r="T99" s="771" t="s">
        <v>2707</v>
      </c>
      <c r="U99" s="771"/>
      <c r="V99" s="771"/>
      <c r="W99" s="771"/>
      <c r="X99" s="771"/>
      <c r="Y99" s="926"/>
      <c r="Z99" s="774" t="s">
        <v>952</v>
      </c>
      <c r="AA99" s="777"/>
      <c r="AB99" s="774"/>
      <c r="AC99" s="774"/>
      <c r="AD99" s="774"/>
    </row>
    <row r="100" spans="1:30" ht="27" customHeight="1">
      <c r="A100" s="773"/>
      <c r="B100" s="826">
        <v>83</v>
      </c>
      <c r="C100" s="771"/>
      <c r="D100" s="893"/>
      <c r="E100" s="771"/>
      <c r="F100" s="771"/>
      <c r="G100" s="771"/>
      <c r="H100" s="818"/>
      <c r="I100" s="931" t="str">
        <f t="shared" si="13"/>
        <v>19.1</v>
      </c>
      <c r="J100" s="931" t="str">
        <f t="shared" si="14"/>
        <v>Информация о показателях физического износа объектов теплоснабжения</v>
      </c>
      <c r="K100" s="931" t="str">
        <f t="shared" si="15"/>
        <v>Указывается ссылка на документ, предварительно загруженный в хранилище файлов ФГИС ЕИАС.</v>
      </c>
      <c r="L100" s="772" t="str">
        <f t="shared" si="16"/>
        <v>19.1</v>
      </c>
      <c r="M100" s="772" t="str">
        <f t="shared" si="17"/>
        <v>Информация о показателях физического износа объектов теплоснабжения</v>
      </c>
      <c r="N100" s="772" t="str">
        <f t="shared" si="18"/>
        <v>Указывается ссылка на документ, предварительно загруженный в хранилище файлов ФГИС ЕИАС.</v>
      </c>
      <c r="O100" s="883" t="s">
        <v>2708</v>
      </c>
      <c r="P100" s="883"/>
      <c r="Q100" s="883"/>
      <c r="R100" s="883"/>
      <c r="S100" s="883"/>
      <c r="T100" s="771" t="s">
        <v>2709</v>
      </c>
      <c r="U100" s="771"/>
      <c r="V100" s="771"/>
      <c r="W100" s="771"/>
      <c r="X100" s="771"/>
      <c r="Y100" s="926"/>
      <c r="Z100" s="774" t="s">
        <v>952</v>
      </c>
      <c r="AA100" s="777"/>
      <c r="AB100" s="774"/>
      <c r="AC100" s="774"/>
      <c r="AD100" s="774"/>
    </row>
    <row r="101" spans="1:30" ht="27" customHeight="1">
      <c r="A101" s="773"/>
      <c r="B101" s="826">
        <v>84</v>
      </c>
      <c r="C101" s="771"/>
      <c r="D101" s="893"/>
      <c r="E101" s="771"/>
      <c r="F101" s="771"/>
      <c r="G101" s="771"/>
      <c r="H101" s="818"/>
      <c r="I101" s="931" t="str">
        <f t="shared" si="13"/>
        <v>19.2</v>
      </c>
      <c r="J101" s="931" t="str">
        <f t="shared" si="14"/>
        <v>Информация о показателях энергетической эффективности объектов теплоснабжения</v>
      </c>
      <c r="K101" s="931" t="str">
        <f t="shared" si="15"/>
        <v>Указывается ссылка на документ, предварительно загруженный в хранилище файлов ФГИС ЕИАС.</v>
      </c>
      <c r="L101" s="772" t="str">
        <f t="shared" si="16"/>
        <v>19.2</v>
      </c>
      <c r="M101" s="772" t="str">
        <f t="shared" si="17"/>
        <v>Информация о показателях энергетической эффективности объектов теплоснабжения</v>
      </c>
      <c r="N101" s="772" t="str">
        <f t="shared" si="18"/>
        <v>Указывается ссылка на документ, предварительно загруженный в хранилище файлов ФГИС ЕИАС.</v>
      </c>
      <c r="O101" s="883" t="s">
        <v>2710</v>
      </c>
      <c r="P101" s="883"/>
      <c r="Q101" s="883"/>
      <c r="R101" s="883"/>
      <c r="S101" s="883"/>
      <c r="T101" s="771" t="s">
        <v>2711</v>
      </c>
      <c r="U101" s="771"/>
      <c r="V101" s="771"/>
      <c r="W101" s="771"/>
      <c r="X101" s="771"/>
      <c r="Y101" s="926"/>
      <c r="Z101" s="774" t="s">
        <v>952</v>
      </c>
      <c r="AA101" s="777"/>
      <c r="AB101" s="774"/>
      <c r="AC101" s="774"/>
      <c r="AD101" s="774"/>
    </row>
    <row r="102" spans="1:30" ht="9" customHeight="1">
      <c r="A102" s="773"/>
      <c r="B102" s="773"/>
      <c r="C102" s="771"/>
      <c r="D102" s="771"/>
      <c r="E102" s="771"/>
      <c r="F102" s="771"/>
      <c r="G102" s="771"/>
      <c r="H102" s="818"/>
      <c r="I102" s="818"/>
      <c r="J102" s="818"/>
      <c r="K102" s="818"/>
      <c r="L102" s="818"/>
      <c r="M102" s="771"/>
      <c r="N102" s="817"/>
      <c r="O102" s="883"/>
      <c r="P102" s="883"/>
      <c r="Q102" s="883"/>
      <c r="R102" s="883"/>
      <c r="S102" s="771"/>
      <c r="T102" s="771"/>
      <c r="U102" s="771"/>
      <c r="V102" s="771"/>
      <c r="W102" s="771"/>
      <c r="X102" s="771"/>
      <c r="Y102" s="926"/>
      <c r="Z102" s="774"/>
      <c r="AA102" s="777"/>
      <c r="AB102" s="774"/>
      <c r="AC102" s="774"/>
      <c r="AD102" s="774"/>
    </row>
    <row r="103" spans="1:30" ht="9" customHeight="1">
      <c r="A103" s="773"/>
      <c r="B103" s="773"/>
      <c r="C103" s="771"/>
      <c r="D103" s="771"/>
      <c r="E103" s="771"/>
      <c r="F103" s="771"/>
      <c r="G103" s="771"/>
      <c r="H103" s="818"/>
      <c r="I103" s="818"/>
      <c r="J103" s="818"/>
      <c r="K103" s="818"/>
      <c r="L103" s="818"/>
      <c r="M103" s="771"/>
      <c r="N103" s="817"/>
      <c r="O103" s="883"/>
      <c r="P103" s="883"/>
      <c r="Q103" s="883"/>
      <c r="R103" s="883"/>
      <c r="S103" s="771"/>
      <c r="T103" s="771"/>
      <c r="U103" s="771"/>
      <c r="V103" s="771"/>
      <c r="W103" s="771"/>
      <c r="X103" s="771"/>
      <c r="Y103" s="926"/>
      <c r="Z103" s="774"/>
      <c r="AA103" s="777"/>
      <c r="AB103" s="774"/>
      <c r="AC103" s="774"/>
      <c r="AD103" s="774"/>
    </row>
    <row r="104" spans="1:30" ht="9" customHeight="1">
      <c r="A104" s="773"/>
      <c r="B104" s="773"/>
      <c r="C104" s="771"/>
      <c r="D104" s="771"/>
      <c r="E104" s="771"/>
      <c r="F104" s="771"/>
      <c r="G104" s="771"/>
      <c r="H104" s="818"/>
      <c r="I104" s="818"/>
      <c r="J104" s="818"/>
      <c r="K104" s="818"/>
      <c r="L104" s="818"/>
      <c r="M104" s="771"/>
      <c r="N104" s="817"/>
      <c r="O104" s="883"/>
      <c r="P104" s="883"/>
      <c r="Q104" s="883"/>
      <c r="R104" s="883"/>
      <c r="S104" s="771"/>
      <c r="T104" s="771"/>
      <c r="U104" s="771"/>
      <c r="V104" s="771"/>
      <c r="W104" s="771"/>
      <c r="X104" s="771"/>
      <c r="Y104" s="926"/>
      <c r="Z104" s="774"/>
      <c r="AA104" s="777"/>
      <c r="AB104" s="774"/>
      <c r="AC104" s="774"/>
      <c r="AD104" s="774"/>
    </row>
    <row r="105" spans="1:30" ht="9" customHeight="1">
      <c r="A105" s="773"/>
      <c r="B105" s="773"/>
      <c r="C105" s="771"/>
      <c r="D105" s="771"/>
      <c r="E105" s="771"/>
      <c r="F105" s="771"/>
      <c r="G105" s="771"/>
      <c r="H105" s="818"/>
      <c r="I105" s="818"/>
      <c r="J105" s="818"/>
      <c r="K105" s="818"/>
      <c r="L105" s="818"/>
      <c r="M105" s="771"/>
      <c r="N105" s="817"/>
      <c r="O105" s="883"/>
      <c r="P105" s="883"/>
      <c r="Q105" s="883"/>
      <c r="R105" s="883"/>
      <c r="S105" s="771"/>
      <c r="T105" s="771"/>
      <c r="U105" s="771"/>
      <c r="V105" s="771"/>
      <c r="W105" s="771"/>
      <c r="X105" s="771"/>
      <c r="Y105" s="926"/>
      <c r="Z105" s="774"/>
      <c r="AA105" s="777"/>
      <c r="AB105" s="774"/>
      <c r="AC105" s="774"/>
      <c r="AD105" s="774"/>
    </row>
    <row r="106" spans="1:30" ht="9" customHeight="1">
      <c r="A106" s="773"/>
      <c r="B106" s="773"/>
      <c r="C106" s="771"/>
      <c r="D106" s="771"/>
      <c r="E106" s="771"/>
      <c r="F106" s="771"/>
      <c r="G106" s="771"/>
      <c r="H106" s="818"/>
      <c r="I106" s="818"/>
      <c r="J106" s="818"/>
      <c r="K106" s="818"/>
      <c r="L106" s="818"/>
      <c r="M106" s="771"/>
      <c r="N106" s="817"/>
      <c r="O106" s="883"/>
      <c r="P106" s="883"/>
      <c r="Q106" s="883"/>
      <c r="R106" s="883"/>
      <c r="S106" s="771"/>
      <c r="T106" s="771"/>
      <c r="U106" s="771"/>
      <c r="V106" s="771"/>
      <c r="W106" s="771"/>
      <c r="X106" s="771"/>
      <c r="Y106" s="926"/>
      <c r="Z106" s="774"/>
      <c r="AA106" s="777"/>
      <c r="AB106" s="774"/>
      <c r="AC106" s="774"/>
      <c r="AD106" s="774"/>
    </row>
    <row r="107" spans="1:30" ht="9" customHeight="1">
      <c r="A107" s="773"/>
      <c r="B107" s="773"/>
      <c r="C107" s="771"/>
      <c r="D107" s="771"/>
      <c r="E107" s="771"/>
      <c r="F107" s="771"/>
      <c r="G107" s="771"/>
      <c r="H107" s="818"/>
      <c r="I107" s="818"/>
      <c r="J107" s="818"/>
      <c r="K107" s="818"/>
      <c r="L107" s="818"/>
      <c r="M107" s="771"/>
      <c r="N107" s="817"/>
      <c r="O107" s="883"/>
      <c r="P107" s="883"/>
      <c r="Q107" s="883"/>
      <c r="R107" s="883"/>
      <c r="S107" s="771"/>
      <c r="T107" s="771"/>
      <c r="U107" s="771"/>
      <c r="V107" s="771"/>
      <c r="W107" s="771"/>
      <c r="X107" s="771"/>
      <c r="Y107" s="926"/>
      <c r="Z107" s="774"/>
      <c r="AA107" s="777"/>
      <c r="AB107" s="774"/>
      <c r="AC107" s="774"/>
      <c r="AD107" s="774"/>
    </row>
    <row r="108" spans="1:30" ht="9" customHeight="1">
      <c r="A108" s="773"/>
      <c r="B108" s="773"/>
      <c r="C108" s="771"/>
      <c r="D108" s="771"/>
      <c r="E108" s="771"/>
      <c r="F108" s="771"/>
      <c r="G108" s="771"/>
      <c r="H108" s="818"/>
      <c r="I108" s="818"/>
      <c r="J108" s="818"/>
      <c r="K108" s="818"/>
      <c r="L108" s="818"/>
      <c r="M108" s="771"/>
      <c r="N108" s="817"/>
      <c r="O108" s="883"/>
      <c r="P108" s="883"/>
      <c r="Q108" s="883"/>
      <c r="R108" s="883"/>
      <c r="S108" s="771"/>
      <c r="T108" s="771"/>
      <c r="U108" s="771"/>
      <c r="V108" s="771"/>
      <c r="W108" s="771"/>
      <c r="X108" s="771"/>
      <c r="Y108" s="926"/>
      <c r="Z108" s="774"/>
      <c r="AA108" s="777"/>
      <c r="AB108" s="774"/>
      <c r="AC108" s="774"/>
      <c r="AD108" s="774"/>
    </row>
    <row r="109" spans="1:30" ht="9" customHeight="1">
      <c r="A109" s="773"/>
      <c r="B109" s="773"/>
      <c r="C109" s="771"/>
      <c r="D109" s="771"/>
      <c r="E109" s="771"/>
      <c r="F109" s="771"/>
      <c r="G109" s="771"/>
      <c r="H109" s="818"/>
      <c r="I109" s="818"/>
      <c r="J109" s="818"/>
      <c r="K109" s="818"/>
      <c r="L109" s="818"/>
      <c r="M109" s="771"/>
      <c r="N109" s="817"/>
      <c r="O109" s="883"/>
      <c r="P109" s="883"/>
      <c r="Q109" s="883"/>
      <c r="R109" s="883"/>
      <c r="S109" s="771"/>
      <c r="T109" s="771"/>
      <c r="U109" s="771"/>
      <c r="V109" s="771"/>
      <c r="W109" s="771"/>
      <c r="X109" s="771"/>
      <c r="Y109" s="926"/>
      <c r="Z109" s="774"/>
      <c r="AA109" s="777"/>
      <c r="AB109" s="774"/>
      <c r="AC109" s="774"/>
      <c r="AD109" s="774"/>
    </row>
    <row r="110" spans="1:30" ht="9" customHeight="1">
      <c r="A110" s="773"/>
      <c r="B110" s="773"/>
      <c r="C110" s="771"/>
      <c r="D110" s="771"/>
      <c r="E110" s="771"/>
      <c r="F110" s="771"/>
      <c r="G110" s="771"/>
      <c r="H110" s="818"/>
      <c r="I110" s="818"/>
      <c r="J110" s="818"/>
      <c r="K110" s="818"/>
      <c r="L110" s="818"/>
      <c r="M110" s="771"/>
      <c r="N110" s="817"/>
      <c r="O110" s="883"/>
      <c r="P110" s="883"/>
      <c r="Q110" s="883"/>
      <c r="R110" s="883"/>
      <c r="S110" s="771"/>
      <c r="T110" s="771"/>
      <c r="U110" s="771"/>
      <c r="V110" s="771"/>
      <c r="W110" s="771"/>
      <c r="X110" s="771"/>
      <c r="Y110" s="926"/>
      <c r="Z110" s="774"/>
      <c r="AA110" s="777"/>
      <c r="AB110" s="774"/>
      <c r="AC110" s="774"/>
      <c r="AD110" s="774"/>
    </row>
    <row r="111" spans="1:30" ht="9" customHeight="1">
      <c r="A111" s="773"/>
      <c r="B111" s="773"/>
      <c r="C111" s="771"/>
      <c r="D111" s="771"/>
      <c r="E111" s="771"/>
      <c r="F111" s="771"/>
      <c r="G111" s="771"/>
      <c r="H111" s="818"/>
      <c r="I111" s="818"/>
      <c r="J111" s="818"/>
      <c r="K111" s="818"/>
      <c r="L111" s="818"/>
      <c r="M111" s="771"/>
      <c r="N111" s="817"/>
      <c r="O111" s="883"/>
      <c r="P111" s="883"/>
      <c r="Q111" s="883"/>
      <c r="R111" s="883"/>
      <c r="S111" s="771"/>
      <c r="T111" s="771"/>
      <c r="U111" s="771"/>
      <c r="V111" s="771"/>
      <c r="W111" s="771"/>
      <c r="X111" s="771"/>
      <c r="Y111" s="926"/>
      <c r="Z111" s="774"/>
      <c r="AA111" s="777"/>
      <c r="AB111" s="774"/>
      <c r="AC111" s="774"/>
      <c r="AD111" s="774"/>
    </row>
    <row r="112" spans="1:30" ht="9" customHeight="1">
      <c r="A112" s="773"/>
      <c r="B112" s="773"/>
      <c r="C112" s="771"/>
      <c r="D112" s="771"/>
      <c r="E112" s="771"/>
      <c r="F112" s="771"/>
      <c r="G112" s="771"/>
      <c r="H112" s="818"/>
      <c r="I112" s="818"/>
      <c r="J112" s="818"/>
      <c r="K112" s="818"/>
      <c r="L112" s="818"/>
      <c r="M112" s="771"/>
      <c r="N112" s="817"/>
      <c r="O112" s="883"/>
      <c r="P112" s="883"/>
      <c r="Q112" s="883"/>
      <c r="R112" s="883"/>
      <c r="S112" s="771"/>
      <c r="T112" s="771"/>
      <c r="U112" s="771"/>
      <c r="V112" s="771"/>
      <c r="W112" s="771"/>
      <c r="X112" s="771"/>
      <c r="Y112" s="926"/>
      <c r="Z112" s="774"/>
      <c r="AA112" s="777"/>
      <c r="AB112" s="774"/>
      <c r="AC112" s="774"/>
      <c r="AD112" s="774"/>
    </row>
    <row r="113" spans="1:30" ht="9" customHeight="1">
      <c r="A113" s="773"/>
      <c r="B113" s="773"/>
      <c r="C113" s="771"/>
      <c r="D113" s="771"/>
      <c r="E113" s="771"/>
      <c r="F113" s="771"/>
      <c r="G113" s="771"/>
      <c r="H113" s="818"/>
      <c r="I113" s="818"/>
      <c r="J113" s="818"/>
      <c r="K113" s="818"/>
      <c r="L113" s="818"/>
      <c r="M113" s="771"/>
      <c r="N113" s="817"/>
      <c r="O113" s="883"/>
      <c r="P113" s="883"/>
      <c r="Q113" s="883"/>
      <c r="R113" s="883"/>
      <c r="S113" s="771"/>
      <c r="T113" s="771"/>
      <c r="U113" s="771"/>
      <c r="V113" s="771"/>
      <c r="W113" s="771"/>
      <c r="X113" s="771"/>
      <c r="Y113" s="926"/>
      <c r="Z113" s="774"/>
      <c r="AA113" s="777"/>
      <c r="AB113" s="774"/>
      <c r="AC113" s="774"/>
      <c r="AD113" s="774"/>
    </row>
    <row r="114" spans="1:30" ht="9" customHeight="1">
      <c r="A114" s="773"/>
      <c r="B114" s="773"/>
      <c r="C114" s="771"/>
      <c r="D114" s="771"/>
      <c r="E114" s="771"/>
      <c r="F114" s="771"/>
      <c r="G114" s="771"/>
      <c r="H114" s="818"/>
      <c r="I114" s="818"/>
      <c r="J114" s="818"/>
      <c r="K114" s="818"/>
      <c r="L114" s="818"/>
      <c r="M114" s="771"/>
      <c r="N114" s="817"/>
      <c r="O114" s="883"/>
      <c r="P114" s="883"/>
      <c r="Q114" s="883"/>
      <c r="R114" s="883"/>
      <c r="S114" s="771"/>
      <c r="T114" s="771"/>
      <c r="U114" s="771"/>
      <c r="V114" s="771"/>
      <c r="W114" s="771"/>
      <c r="X114" s="771"/>
      <c r="Y114" s="926"/>
      <c r="Z114" s="774"/>
      <c r="AA114" s="777"/>
      <c r="AB114" s="774"/>
      <c r="AC114" s="774"/>
      <c r="AD114" s="774"/>
    </row>
    <row r="115" spans="1:30" ht="9" customHeight="1">
      <c r="A115" s="773"/>
      <c r="B115" s="773"/>
      <c r="C115" s="771"/>
      <c r="D115" s="771"/>
      <c r="E115" s="771"/>
      <c r="F115" s="771"/>
      <c r="G115" s="771"/>
      <c r="H115" s="818"/>
      <c r="I115" s="818"/>
      <c r="J115" s="818"/>
      <c r="K115" s="818"/>
      <c r="L115" s="818"/>
      <c r="M115" s="771"/>
      <c r="N115" s="817"/>
      <c r="O115" s="883"/>
      <c r="P115" s="883"/>
      <c r="Q115" s="883"/>
      <c r="R115" s="883"/>
      <c r="S115" s="771"/>
      <c r="T115" s="771"/>
      <c r="U115" s="771"/>
      <c r="V115" s="771"/>
      <c r="W115" s="771"/>
      <c r="X115" s="771"/>
      <c r="Y115" s="926"/>
      <c r="Z115" s="774"/>
      <c r="AA115" s="777"/>
      <c r="AB115" s="774"/>
      <c r="AC115" s="774"/>
      <c r="AD115" s="774"/>
    </row>
    <row r="116" spans="1:30" ht="9" customHeight="1">
      <c r="A116" s="773"/>
      <c r="B116" s="773"/>
      <c r="C116" s="771"/>
      <c r="D116" s="771"/>
      <c r="E116" s="771"/>
      <c r="F116" s="771"/>
      <c r="G116" s="771"/>
      <c r="H116" s="818"/>
      <c r="I116" s="818"/>
      <c r="J116" s="818"/>
      <c r="K116" s="818"/>
      <c r="L116" s="818"/>
      <c r="M116" s="771"/>
      <c r="N116" s="817"/>
      <c r="O116" s="883"/>
      <c r="P116" s="883"/>
      <c r="Q116" s="883"/>
      <c r="R116" s="883"/>
      <c r="S116" s="771"/>
      <c r="T116" s="771"/>
      <c r="U116" s="771"/>
      <c r="V116" s="771"/>
      <c r="W116" s="771"/>
      <c r="X116" s="771"/>
      <c r="Y116" s="926"/>
      <c r="Z116" s="774"/>
      <c r="AA116" s="777"/>
      <c r="AB116" s="774"/>
      <c r="AC116" s="774"/>
      <c r="AD116" s="774"/>
    </row>
    <row r="117" spans="1:30" ht="9" customHeight="1">
      <c r="A117" s="773"/>
      <c r="B117" s="773"/>
      <c r="C117" s="771"/>
      <c r="D117" s="771"/>
      <c r="E117" s="771"/>
      <c r="F117" s="771"/>
      <c r="G117" s="771"/>
      <c r="H117" s="818"/>
      <c r="I117" s="818"/>
      <c r="J117" s="818"/>
      <c r="K117" s="818"/>
      <c r="L117" s="818"/>
      <c r="M117" s="771"/>
      <c r="N117" s="817"/>
      <c r="O117" s="883"/>
      <c r="P117" s="883"/>
      <c r="Q117" s="883"/>
      <c r="R117" s="883"/>
      <c r="S117" s="771"/>
      <c r="T117" s="771"/>
      <c r="U117" s="771"/>
      <c r="V117" s="771"/>
      <c r="W117" s="771"/>
      <c r="X117" s="771"/>
      <c r="Y117" s="926"/>
      <c r="Z117" s="774"/>
      <c r="AA117" s="777"/>
      <c r="AB117" s="774"/>
      <c r="AC117" s="774"/>
      <c r="AD117" s="774"/>
    </row>
    <row r="118" spans="1:30" ht="9" customHeight="1">
      <c r="A118" s="773"/>
      <c r="B118" s="773"/>
      <c r="C118" s="771"/>
      <c r="D118" s="771"/>
      <c r="E118" s="771"/>
      <c r="F118" s="771"/>
      <c r="G118" s="771"/>
      <c r="H118" s="818"/>
      <c r="I118" s="818"/>
      <c r="J118" s="818"/>
      <c r="K118" s="818"/>
      <c r="L118" s="818"/>
      <c r="M118" s="771"/>
      <c r="N118" s="817"/>
      <c r="O118" s="883"/>
      <c r="P118" s="883"/>
      <c r="Q118" s="883"/>
      <c r="R118" s="883"/>
      <c r="S118" s="771"/>
      <c r="T118" s="771"/>
      <c r="U118" s="771"/>
      <c r="V118" s="771"/>
      <c r="W118" s="771"/>
      <c r="X118" s="771"/>
      <c r="Y118" s="926"/>
      <c r="Z118" s="774"/>
      <c r="AA118" s="777"/>
      <c r="AB118" s="774"/>
      <c r="AC118" s="774"/>
      <c r="AD118" s="774"/>
    </row>
    <row r="119" spans="1:30" ht="9" customHeight="1">
      <c r="A119" s="773"/>
      <c r="B119" s="773"/>
      <c r="C119" s="771"/>
      <c r="D119" s="771"/>
      <c r="E119" s="771"/>
      <c r="F119" s="771"/>
      <c r="G119" s="771"/>
      <c r="H119" s="818"/>
      <c r="I119" s="818"/>
      <c r="J119" s="818"/>
      <c r="K119" s="818"/>
      <c r="L119" s="818"/>
      <c r="M119" s="771"/>
      <c r="N119" s="817"/>
      <c r="O119" s="883"/>
      <c r="P119" s="883"/>
      <c r="Q119" s="883"/>
      <c r="R119" s="883"/>
      <c r="S119" s="771"/>
      <c r="T119" s="771"/>
      <c r="U119" s="771"/>
      <c r="V119" s="771"/>
      <c r="W119" s="771"/>
      <c r="X119" s="771"/>
      <c r="Y119" s="926"/>
      <c r="Z119" s="774"/>
      <c r="AA119" s="777"/>
      <c r="AB119" s="774"/>
      <c r="AC119" s="774"/>
      <c r="AD119" s="774"/>
    </row>
    <row r="120" spans="1:30" ht="9" customHeight="1">
      <c r="A120" s="773"/>
      <c r="B120" s="773"/>
      <c r="C120" s="771"/>
      <c r="D120" s="771"/>
      <c r="E120" s="771"/>
      <c r="F120" s="771"/>
      <c r="G120" s="771"/>
      <c r="H120" s="818"/>
      <c r="I120" s="818"/>
      <c r="J120" s="818"/>
      <c r="K120" s="818"/>
      <c r="L120" s="818"/>
      <c r="M120" s="771"/>
      <c r="N120" s="817"/>
      <c r="O120" s="883"/>
      <c r="P120" s="883"/>
      <c r="Q120" s="883"/>
      <c r="R120" s="883"/>
      <c r="S120" s="771"/>
      <c r="T120" s="771"/>
      <c r="U120" s="771"/>
      <c r="V120" s="771"/>
      <c r="W120" s="771"/>
      <c r="X120" s="771"/>
      <c r="Y120" s="926"/>
      <c r="Z120" s="774"/>
      <c r="AA120" s="777"/>
      <c r="AB120" s="774"/>
      <c r="AC120" s="774"/>
      <c r="AD120" s="774"/>
    </row>
    <row r="121" spans="1:30" ht="9" customHeight="1">
      <c r="A121" s="773"/>
      <c r="B121" s="773"/>
      <c r="C121" s="771"/>
      <c r="D121" s="771"/>
      <c r="E121" s="771"/>
      <c r="F121" s="771"/>
      <c r="G121" s="771"/>
      <c r="H121" s="818"/>
      <c r="I121" s="818"/>
      <c r="J121" s="818"/>
      <c r="K121" s="818"/>
      <c r="L121" s="818"/>
      <c r="M121" s="771"/>
      <c r="N121" s="817"/>
      <c r="O121" s="883"/>
      <c r="P121" s="883"/>
      <c r="Q121" s="883"/>
      <c r="R121" s="883"/>
      <c r="S121" s="771"/>
      <c r="T121" s="771"/>
      <c r="U121" s="771"/>
      <c r="V121" s="771"/>
      <c r="W121" s="771"/>
      <c r="X121" s="771"/>
      <c r="Y121" s="926"/>
      <c r="Z121" s="774"/>
      <c r="AA121" s="777"/>
      <c r="AB121" s="774"/>
      <c r="AC121" s="774"/>
      <c r="AD121" s="774"/>
    </row>
    <row r="122" spans="1:30" ht="9" customHeight="1">
      <c r="A122" s="773"/>
      <c r="B122" s="773"/>
      <c r="C122" s="771"/>
      <c r="D122" s="771"/>
      <c r="E122" s="771"/>
      <c r="F122" s="771"/>
      <c r="G122" s="771"/>
      <c r="H122" s="818"/>
      <c r="I122" s="818"/>
      <c r="J122" s="818"/>
      <c r="K122" s="818"/>
      <c r="L122" s="818"/>
      <c r="M122" s="771"/>
      <c r="N122" s="817"/>
      <c r="O122" s="883"/>
      <c r="P122" s="883"/>
      <c r="Q122" s="883"/>
      <c r="R122" s="883"/>
      <c r="S122" s="771"/>
      <c r="T122" s="771"/>
      <c r="U122" s="771"/>
      <c r="V122" s="771"/>
      <c r="W122" s="771"/>
      <c r="X122" s="771"/>
      <c r="Y122" s="926"/>
      <c r="Z122" s="774"/>
      <c r="AA122" s="777"/>
      <c r="AB122" s="774"/>
      <c r="AC122" s="774"/>
      <c r="AD122" s="774"/>
    </row>
    <row r="123" spans="1:30" ht="9" customHeight="1">
      <c r="A123" s="773"/>
      <c r="B123" s="773"/>
      <c r="C123" s="771"/>
      <c r="D123" s="771"/>
      <c r="E123" s="771"/>
      <c r="F123" s="771"/>
      <c r="G123" s="771"/>
      <c r="H123" s="818"/>
      <c r="I123" s="818"/>
      <c r="J123" s="818"/>
      <c r="K123" s="818"/>
      <c r="L123" s="818"/>
      <c r="M123" s="771"/>
      <c r="N123" s="817"/>
      <c r="O123" s="883"/>
      <c r="P123" s="883"/>
      <c r="Q123" s="883"/>
      <c r="R123" s="883"/>
      <c r="S123" s="771"/>
      <c r="T123" s="771"/>
      <c r="U123" s="771"/>
      <c r="V123" s="771"/>
      <c r="W123" s="771"/>
      <c r="X123" s="771"/>
      <c r="Y123" s="926"/>
      <c r="Z123" s="774"/>
      <c r="AA123" s="777"/>
      <c r="AB123" s="774"/>
      <c r="AC123" s="774"/>
      <c r="AD123" s="774"/>
    </row>
    <row r="124" spans="1:30" ht="9" customHeight="1">
      <c r="A124" s="773"/>
      <c r="B124" s="773"/>
      <c r="C124" s="771"/>
      <c r="D124" s="771"/>
      <c r="E124" s="771"/>
      <c r="F124" s="771"/>
      <c r="G124" s="771"/>
      <c r="H124" s="818"/>
      <c r="I124" s="818"/>
      <c r="J124" s="818"/>
      <c r="K124" s="818"/>
      <c r="L124" s="818"/>
      <c r="M124" s="771"/>
      <c r="N124" s="817"/>
      <c r="O124" s="883"/>
      <c r="P124" s="883"/>
      <c r="Q124" s="883"/>
      <c r="R124" s="883"/>
      <c r="S124" s="771"/>
      <c r="T124" s="771"/>
      <c r="U124" s="771"/>
      <c r="V124" s="771"/>
      <c r="W124" s="771"/>
      <c r="X124" s="771"/>
      <c r="Y124" s="926"/>
      <c r="Z124" s="774"/>
      <c r="AA124" s="777"/>
      <c r="AB124" s="774"/>
      <c r="AC124" s="774"/>
      <c r="AD124" s="774"/>
    </row>
    <row r="125" spans="1:30" ht="9" customHeight="1">
      <c r="A125" s="773"/>
      <c r="B125" s="773"/>
      <c r="C125" s="771"/>
      <c r="D125" s="771"/>
      <c r="E125" s="771"/>
      <c r="F125" s="771"/>
      <c r="G125" s="771"/>
      <c r="H125" s="818"/>
      <c r="I125" s="818"/>
      <c r="J125" s="818"/>
      <c r="K125" s="818"/>
      <c r="L125" s="818"/>
      <c r="M125" s="771"/>
      <c r="N125" s="817"/>
      <c r="O125" s="883"/>
      <c r="P125" s="883"/>
      <c r="Q125" s="883"/>
      <c r="R125" s="883"/>
      <c r="S125" s="771"/>
      <c r="T125" s="771"/>
      <c r="U125" s="771"/>
      <c r="V125" s="771"/>
      <c r="W125" s="771"/>
      <c r="X125" s="771"/>
      <c r="Y125" s="926"/>
      <c r="Z125" s="774"/>
      <c r="AA125" s="777"/>
      <c r="AB125" s="774"/>
      <c r="AC125" s="774"/>
      <c r="AD125" s="774"/>
    </row>
    <row r="126" spans="1:30" ht="9" customHeight="1">
      <c r="A126" s="773"/>
      <c r="B126" s="773"/>
      <c r="C126" s="771"/>
      <c r="D126" s="771"/>
      <c r="E126" s="771"/>
      <c r="F126" s="771"/>
      <c r="G126" s="771"/>
      <c r="H126" s="818"/>
      <c r="I126" s="818"/>
      <c r="J126" s="818"/>
      <c r="K126" s="818"/>
      <c r="L126" s="818"/>
      <c r="M126" s="771"/>
      <c r="N126" s="817"/>
      <c r="O126" s="883"/>
      <c r="P126" s="883"/>
      <c r="Q126" s="883"/>
      <c r="R126" s="883"/>
      <c r="S126" s="771"/>
      <c r="T126" s="771"/>
      <c r="U126" s="771"/>
      <c r="V126" s="771"/>
      <c r="W126" s="771"/>
      <c r="X126" s="771"/>
      <c r="Y126" s="926"/>
      <c r="Z126" s="774"/>
      <c r="AA126" s="777"/>
      <c r="AB126" s="774"/>
      <c r="AC126" s="774"/>
      <c r="AD126" s="774"/>
    </row>
    <row r="127" spans="1:30" ht="9" customHeight="1">
      <c r="A127" s="773"/>
      <c r="B127" s="773"/>
      <c r="C127" s="771"/>
      <c r="D127" s="771"/>
      <c r="E127" s="771"/>
      <c r="F127" s="771"/>
      <c r="G127" s="771"/>
      <c r="H127" s="818"/>
      <c r="I127" s="818"/>
      <c r="J127" s="818"/>
      <c r="K127" s="818"/>
      <c r="L127" s="818"/>
      <c r="M127" s="771"/>
      <c r="N127" s="817"/>
      <c r="O127" s="883"/>
      <c r="P127" s="883"/>
      <c r="Q127" s="883"/>
      <c r="R127" s="883"/>
      <c r="S127" s="771"/>
      <c r="T127" s="771"/>
      <c r="U127" s="771"/>
      <c r="V127" s="771"/>
      <c r="W127" s="771"/>
      <c r="X127" s="771"/>
      <c r="Y127" s="926"/>
      <c r="Z127" s="774"/>
      <c r="AA127" s="777"/>
      <c r="AB127" s="774"/>
      <c r="AC127" s="774"/>
      <c r="AD127" s="774"/>
    </row>
    <row r="128" spans="1:30" ht="9" customHeight="1">
      <c r="A128" s="773"/>
      <c r="B128" s="773"/>
      <c r="C128" s="771"/>
      <c r="D128" s="771"/>
      <c r="E128" s="771"/>
      <c r="F128" s="771"/>
      <c r="G128" s="771"/>
      <c r="H128" s="818"/>
      <c r="I128" s="818"/>
      <c r="J128" s="818"/>
      <c r="K128" s="818"/>
      <c r="L128" s="818"/>
      <c r="M128" s="771"/>
      <c r="N128" s="817"/>
      <c r="O128" s="883"/>
      <c r="P128" s="883"/>
      <c r="Q128" s="883"/>
      <c r="R128" s="883"/>
      <c r="S128" s="771"/>
      <c r="T128" s="771"/>
      <c r="U128" s="771"/>
      <c r="V128" s="771"/>
      <c r="W128" s="771"/>
      <c r="X128" s="771"/>
      <c r="Y128" s="926"/>
      <c r="Z128" s="774"/>
      <c r="AA128" s="777"/>
      <c r="AB128" s="774"/>
      <c r="AC128" s="774"/>
      <c r="AD128" s="774"/>
    </row>
    <row r="129" spans="1:30" ht="9" customHeight="1">
      <c r="A129" s="773"/>
      <c r="B129" s="773"/>
      <c r="C129" s="771"/>
      <c r="D129" s="771"/>
      <c r="E129" s="771"/>
      <c r="F129" s="771"/>
      <c r="G129" s="771"/>
      <c r="H129" s="818"/>
      <c r="I129" s="818"/>
      <c r="J129" s="818"/>
      <c r="K129" s="818"/>
      <c r="L129" s="818"/>
      <c r="M129" s="771"/>
      <c r="N129" s="817"/>
      <c r="O129" s="883"/>
      <c r="P129" s="883"/>
      <c r="Q129" s="883"/>
      <c r="R129" s="883"/>
      <c r="S129" s="771"/>
      <c r="T129" s="771"/>
      <c r="U129" s="771"/>
      <c r="V129" s="771"/>
      <c r="W129" s="771"/>
      <c r="X129" s="771"/>
      <c r="Y129" s="926"/>
      <c r="Z129" s="774"/>
      <c r="AA129" s="777"/>
      <c r="AB129" s="774"/>
      <c r="AC129" s="774"/>
      <c r="AD129" s="774"/>
    </row>
    <row r="130" spans="1:30" ht="9" customHeight="1">
      <c r="A130" s="773"/>
      <c r="B130" s="773"/>
      <c r="C130" s="771"/>
      <c r="D130" s="771"/>
      <c r="E130" s="771"/>
      <c r="F130" s="771"/>
      <c r="G130" s="771"/>
      <c r="H130" s="818"/>
      <c r="I130" s="818"/>
      <c r="J130" s="818"/>
      <c r="K130" s="818"/>
      <c r="L130" s="818"/>
      <c r="M130" s="771"/>
      <c r="N130" s="817"/>
      <c r="O130" s="885"/>
      <c r="P130" s="885"/>
      <c r="Q130" s="885"/>
      <c r="R130" s="885"/>
      <c r="S130" s="771"/>
      <c r="T130" s="771"/>
      <c r="U130" s="771"/>
      <c r="V130" s="771"/>
      <c r="W130" s="771"/>
      <c r="X130" s="771"/>
      <c r="Y130" s="926"/>
      <c r="Z130" s="774"/>
      <c r="AA130" s="777"/>
      <c r="AB130" s="774"/>
      <c r="AC130" s="774"/>
      <c r="AD130" s="774"/>
    </row>
    <row r="131" spans="1:30" ht="9" customHeight="1">
      <c r="A131" s="773"/>
      <c r="B131" s="773"/>
      <c r="C131" s="771"/>
      <c r="D131" s="771"/>
      <c r="E131" s="771"/>
      <c r="F131" s="771"/>
      <c r="G131" s="771"/>
      <c r="H131" s="818"/>
      <c r="I131" s="818"/>
      <c r="J131" s="818"/>
      <c r="K131" s="818"/>
      <c r="L131" s="818"/>
      <c r="M131" s="771"/>
      <c r="N131" s="817"/>
      <c r="O131" s="886"/>
      <c r="P131" s="886"/>
      <c r="Q131" s="886"/>
      <c r="R131" s="886"/>
      <c r="S131" s="771"/>
      <c r="T131" s="771"/>
      <c r="U131" s="771"/>
      <c r="V131" s="771"/>
      <c r="W131" s="771"/>
      <c r="X131" s="771"/>
      <c r="Y131" s="926"/>
      <c r="Z131" s="774"/>
      <c r="AA131" s="777"/>
      <c r="AB131" s="774"/>
      <c r="AC131" s="774"/>
      <c r="AD131" s="774"/>
    </row>
    <row r="132" spans="1:30" ht="9" customHeight="1">
      <c r="A132" s="773"/>
      <c r="B132" s="773"/>
      <c r="C132" s="771"/>
      <c r="D132" s="771"/>
      <c r="E132" s="771"/>
      <c r="F132" s="771"/>
      <c r="G132" s="771"/>
      <c r="H132" s="818"/>
      <c r="I132" s="818"/>
      <c r="J132" s="818"/>
      <c r="K132" s="818"/>
      <c r="L132" s="818"/>
      <c r="M132" s="771"/>
      <c r="N132" s="817"/>
      <c r="O132" s="885"/>
      <c r="P132" s="885"/>
      <c r="Q132" s="885"/>
      <c r="R132" s="885"/>
      <c r="S132" s="771"/>
      <c r="T132" s="771"/>
      <c r="U132" s="771"/>
      <c r="V132" s="771"/>
      <c r="W132" s="771"/>
      <c r="X132" s="771"/>
      <c r="Y132" s="926"/>
      <c r="Z132" s="774"/>
      <c r="AA132" s="777"/>
      <c r="AB132" s="774"/>
      <c r="AC132" s="774"/>
      <c r="AD132" s="774"/>
    </row>
    <row r="133" spans="1:30" ht="9" customHeight="1">
      <c r="A133" s="773"/>
      <c r="B133" s="773"/>
      <c r="C133" s="771"/>
      <c r="D133" s="771"/>
      <c r="E133" s="771"/>
      <c r="F133" s="771"/>
      <c r="G133" s="771"/>
      <c r="H133" s="818"/>
      <c r="I133" s="818"/>
      <c r="J133" s="818"/>
      <c r="K133" s="818"/>
      <c r="L133" s="818"/>
      <c r="M133" s="771"/>
      <c r="N133" s="817"/>
      <c r="O133" s="886"/>
      <c r="P133" s="886"/>
      <c r="Q133" s="886"/>
      <c r="R133" s="886"/>
      <c r="S133" s="771"/>
      <c r="T133" s="771"/>
      <c r="U133" s="771"/>
      <c r="V133" s="771"/>
      <c r="W133" s="771"/>
      <c r="X133" s="771"/>
      <c r="Y133" s="926"/>
      <c r="Z133" s="774"/>
      <c r="AA133" s="777"/>
      <c r="AB133" s="774"/>
      <c r="AC133" s="774"/>
      <c r="AD133" s="774"/>
    </row>
    <row r="134" spans="1:30" ht="9" customHeight="1">
      <c r="A134" s="773"/>
      <c r="B134" s="773"/>
      <c r="C134" s="771"/>
      <c r="D134" s="771"/>
      <c r="E134" s="771"/>
      <c r="F134" s="771"/>
      <c r="G134" s="771"/>
      <c r="H134" s="818"/>
      <c r="I134" s="818"/>
      <c r="J134" s="818"/>
      <c r="K134" s="818"/>
      <c r="L134" s="818"/>
      <c r="M134" s="771"/>
      <c r="N134" s="817"/>
      <c r="O134" s="883"/>
      <c r="P134" s="883"/>
      <c r="Q134" s="883"/>
      <c r="R134" s="883"/>
      <c r="S134" s="771"/>
      <c r="T134" s="771"/>
      <c r="U134" s="771"/>
      <c r="V134" s="771"/>
      <c r="W134" s="771"/>
      <c r="X134" s="771"/>
      <c r="Y134" s="926"/>
      <c r="Z134" s="774"/>
      <c r="AA134" s="777"/>
      <c r="AB134" s="774"/>
      <c r="AC134" s="774"/>
      <c r="AD134" s="774"/>
    </row>
    <row r="135" spans="1:30" ht="9" customHeight="1">
      <c r="A135" s="773"/>
      <c r="B135" s="773"/>
      <c r="C135" s="771"/>
      <c r="D135" s="771"/>
      <c r="E135" s="771"/>
      <c r="F135" s="771"/>
      <c r="G135" s="771"/>
      <c r="H135" s="818"/>
      <c r="I135" s="818"/>
      <c r="J135" s="818"/>
      <c r="K135" s="818"/>
      <c r="L135" s="818"/>
      <c r="M135" s="771"/>
      <c r="N135" s="817"/>
      <c r="O135" s="883"/>
      <c r="P135" s="883"/>
      <c r="Q135" s="883"/>
      <c r="R135" s="883"/>
      <c r="S135" s="771"/>
      <c r="T135" s="771"/>
      <c r="U135" s="771"/>
      <c r="V135" s="771"/>
      <c r="W135" s="771"/>
      <c r="X135" s="771"/>
      <c r="Y135" s="926"/>
      <c r="Z135" s="774"/>
      <c r="AA135" s="777"/>
      <c r="AB135" s="774"/>
      <c r="AC135" s="774"/>
      <c r="AD135" s="774"/>
    </row>
    <row r="136" spans="1:30" ht="9" customHeight="1">
      <c r="A136" s="773"/>
      <c r="B136" s="773"/>
      <c r="C136" s="771"/>
      <c r="D136" s="771"/>
      <c r="E136" s="771"/>
      <c r="F136" s="771"/>
      <c r="G136" s="771"/>
      <c r="H136" s="818"/>
      <c r="I136" s="818"/>
      <c r="J136" s="818"/>
      <c r="K136" s="818"/>
      <c r="L136" s="818"/>
      <c r="M136" s="771"/>
      <c r="N136" s="817"/>
      <c r="O136" s="883"/>
      <c r="P136" s="883"/>
      <c r="Q136" s="883"/>
      <c r="R136" s="883"/>
      <c r="S136" s="771"/>
      <c r="T136" s="771"/>
      <c r="U136" s="771"/>
      <c r="V136" s="771"/>
      <c r="W136" s="771"/>
      <c r="X136" s="771"/>
      <c r="Y136" s="926"/>
      <c r="Z136" s="774"/>
      <c r="AA136" s="777"/>
      <c r="AB136" s="774"/>
      <c r="AC136" s="774"/>
      <c r="AD136" s="774"/>
    </row>
    <row r="137" spans="1:30" ht="9" customHeight="1">
      <c r="A137" s="773"/>
      <c r="B137" s="773"/>
      <c r="C137" s="771"/>
      <c r="D137" s="771"/>
      <c r="E137" s="771"/>
      <c r="F137" s="771"/>
      <c r="G137" s="771"/>
      <c r="H137" s="818"/>
      <c r="I137" s="818"/>
      <c r="J137" s="818"/>
      <c r="K137" s="818"/>
      <c r="L137" s="818"/>
      <c r="M137" s="771"/>
      <c r="N137" s="817"/>
      <c r="O137" s="887"/>
      <c r="P137" s="887"/>
      <c r="Q137" s="887"/>
      <c r="R137" s="887"/>
      <c r="S137" s="771"/>
      <c r="T137" s="771"/>
      <c r="U137" s="771"/>
      <c r="V137" s="771"/>
      <c r="W137" s="771"/>
      <c r="X137" s="771"/>
      <c r="Y137" s="926"/>
      <c r="Z137" s="774"/>
      <c r="AA137" s="777"/>
      <c r="AB137" s="774"/>
      <c r="AC137" s="774"/>
      <c r="AD137" s="774"/>
    </row>
    <row r="138" spans="1:30" ht="9" customHeight="1">
      <c r="A138" s="773"/>
      <c r="B138" s="773"/>
      <c r="C138" s="771"/>
      <c r="D138" s="771"/>
      <c r="E138" s="771"/>
      <c r="F138" s="771"/>
      <c r="G138" s="771"/>
      <c r="H138" s="818"/>
      <c r="I138" s="818"/>
      <c r="J138" s="818"/>
      <c r="K138" s="818"/>
      <c r="L138" s="818"/>
      <c r="M138" s="771"/>
      <c r="N138" s="817"/>
      <c r="O138" s="884"/>
      <c r="P138" s="884"/>
      <c r="Q138" s="884"/>
      <c r="R138" s="884"/>
      <c r="S138" s="771"/>
      <c r="T138" s="771"/>
      <c r="U138" s="771"/>
      <c r="V138" s="771"/>
      <c r="W138" s="771"/>
      <c r="X138" s="771"/>
      <c r="Y138" s="926"/>
      <c r="Z138" s="774"/>
      <c r="AA138" s="777"/>
      <c r="AB138" s="774"/>
      <c r="AC138" s="774"/>
      <c r="AD138" s="774"/>
    </row>
    <row r="139" spans="1:30" ht="9" customHeight="1">
      <c r="A139" s="773"/>
      <c r="B139" s="773"/>
      <c r="C139" s="771"/>
      <c r="D139" s="771"/>
      <c r="E139" s="771"/>
      <c r="F139" s="771"/>
      <c r="G139" s="771"/>
      <c r="H139" s="818"/>
      <c r="I139" s="818"/>
      <c r="J139" s="818"/>
      <c r="K139" s="818"/>
      <c r="L139" s="818"/>
      <c r="M139" s="771"/>
      <c r="N139" s="817"/>
      <c r="O139" s="771"/>
      <c r="P139" s="771"/>
      <c r="Q139" s="771"/>
      <c r="R139" s="771"/>
      <c r="S139" s="771"/>
      <c r="T139" s="771"/>
      <c r="U139" s="771"/>
      <c r="V139" s="771"/>
      <c r="W139" s="771"/>
      <c r="X139" s="771"/>
      <c r="Y139" s="926"/>
      <c r="Z139" s="774"/>
      <c r="AA139" s="777"/>
      <c r="AB139" s="774"/>
      <c r="AC139" s="774"/>
      <c r="AD139" s="774"/>
    </row>
    <row r="140" spans="1:30" ht="9" customHeight="1">
      <c r="A140" s="773"/>
      <c r="B140" s="773"/>
      <c r="C140" s="771"/>
      <c r="D140" s="771"/>
      <c r="E140" s="771"/>
      <c r="F140" s="771"/>
      <c r="G140" s="771"/>
      <c r="H140" s="818"/>
      <c r="I140" s="818"/>
      <c r="J140" s="818"/>
      <c r="K140" s="818"/>
      <c r="L140" s="818"/>
      <c r="M140" s="771"/>
      <c r="N140" s="817"/>
      <c r="O140" s="771"/>
      <c r="P140" s="771"/>
      <c r="Q140" s="771"/>
      <c r="R140" s="771"/>
      <c r="S140" s="771"/>
      <c r="T140" s="771"/>
      <c r="U140" s="771"/>
      <c r="V140" s="771"/>
      <c r="W140" s="771"/>
      <c r="X140" s="771"/>
      <c r="Y140" s="926"/>
      <c r="Z140" s="774"/>
      <c r="AA140" s="777"/>
      <c r="AB140" s="774"/>
      <c r="AC140" s="774"/>
      <c r="AD140" s="774"/>
    </row>
    <row r="141" spans="1:30" ht="9" customHeight="1">
      <c r="A141" s="773"/>
      <c r="B141" s="773"/>
      <c r="C141" s="771"/>
      <c r="D141" s="771"/>
      <c r="E141" s="771"/>
      <c r="F141" s="771"/>
      <c r="G141" s="771"/>
      <c r="H141" s="818"/>
      <c r="I141" s="818"/>
      <c r="J141" s="818"/>
      <c r="K141" s="818"/>
      <c r="L141" s="818"/>
      <c r="M141" s="771"/>
      <c r="N141" s="817"/>
      <c r="O141" s="771"/>
      <c r="P141" s="771"/>
      <c r="Q141" s="771"/>
      <c r="R141" s="771"/>
      <c r="S141" s="771"/>
      <c r="T141" s="771"/>
      <c r="U141" s="771"/>
      <c r="V141" s="771"/>
      <c r="W141" s="771"/>
      <c r="X141" s="771"/>
      <c r="Y141" s="926"/>
      <c r="Z141" s="774"/>
      <c r="AA141" s="777"/>
      <c r="AB141" s="774"/>
      <c r="AC141" s="774"/>
      <c r="AD141" s="774"/>
    </row>
    <row r="142" spans="1:30" ht="9" customHeight="1">
      <c r="A142" s="773"/>
      <c r="B142" s="773"/>
      <c r="C142" s="771"/>
      <c r="D142" s="771"/>
      <c r="E142" s="771"/>
      <c r="F142" s="771"/>
      <c r="G142" s="771"/>
      <c r="H142" s="818"/>
      <c r="I142" s="818"/>
      <c r="J142" s="818"/>
      <c r="K142" s="818"/>
      <c r="L142" s="818"/>
      <c r="M142" s="771"/>
      <c r="N142" s="817"/>
      <c r="O142" s="771"/>
      <c r="P142" s="771"/>
      <c r="Q142" s="771"/>
      <c r="R142" s="771"/>
      <c r="S142" s="771"/>
      <c r="T142" s="771"/>
      <c r="U142" s="771"/>
      <c r="V142" s="771"/>
      <c r="W142" s="771"/>
      <c r="X142" s="771"/>
      <c r="Y142" s="926"/>
      <c r="Z142" s="774"/>
      <c r="AA142" s="777"/>
      <c r="AB142" s="774"/>
      <c r="AC142" s="774"/>
      <c r="AD142" s="774"/>
    </row>
    <row r="143" spans="1:30" ht="9" customHeight="1">
      <c r="A143" s="773"/>
      <c r="B143" s="773"/>
      <c r="C143" s="771"/>
      <c r="D143" s="771"/>
      <c r="E143" s="771"/>
      <c r="F143" s="771"/>
      <c r="G143" s="771"/>
      <c r="H143" s="818"/>
      <c r="I143" s="818"/>
      <c r="J143" s="818"/>
      <c r="K143" s="818"/>
      <c r="L143" s="818"/>
      <c r="M143" s="771"/>
      <c r="N143" s="817"/>
      <c r="O143" s="771"/>
      <c r="P143" s="771"/>
      <c r="Q143" s="771"/>
      <c r="R143" s="771"/>
      <c r="S143" s="771"/>
      <c r="T143" s="771"/>
      <c r="U143" s="771"/>
      <c r="V143" s="771"/>
      <c r="W143" s="771"/>
      <c r="X143" s="771"/>
      <c r="Y143" s="926"/>
      <c r="Z143" s="774"/>
      <c r="AA143" s="777"/>
      <c r="AB143" s="774"/>
      <c r="AC143" s="774"/>
      <c r="AD143" s="774"/>
    </row>
    <row r="144" spans="1:30" ht="9" customHeight="1">
      <c r="A144" s="773"/>
      <c r="B144" s="773"/>
      <c r="C144" s="771"/>
      <c r="D144" s="771"/>
      <c r="E144" s="771"/>
      <c r="F144" s="771"/>
      <c r="G144" s="771"/>
      <c r="H144" s="818"/>
      <c r="I144" s="818"/>
      <c r="J144" s="818"/>
      <c r="K144" s="818"/>
      <c r="L144" s="818"/>
      <c r="M144" s="771"/>
      <c r="N144" s="817"/>
      <c r="O144" s="771"/>
      <c r="P144" s="771"/>
      <c r="Q144" s="771"/>
      <c r="R144" s="771"/>
      <c r="S144" s="771"/>
      <c r="T144" s="771"/>
      <c r="U144" s="771"/>
      <c r="V144" s="771"/>
      <c r="W144" s="771"/>
      <c r="X144" s="771"/>
      <c r="Y144" s="926"/>
      <c r="Z144" s="774"/>
      <c r="AA144" s="777"/>
      <c r="AB144" s="774"/>
      <c r="AC144" s="774"/>
      <c r="AD144" s="774"/>
    </row>
    <row r="145" spans="1:30" ht="9" customHeight="1">
      <c r="A145" s="773"/>
      <c r="B145" s="773"/>
      <c r="C145" s="771"/>
      <c r="D145" s="771"/>
      <c r="E145" s="771"/>
      <c r="F145" s="771"/>
      <c r="G145" s="771"/>
      <c r="H145" s="818"/>
      <c r="I145" s="818"/>
      <c r="J145" s="818"/>
      <c r="K145" s="818"/>
      <c r="L145" s="818"/>
      <c r="M145" s="771"/>
      <c r="N145" s="817"/>
      <c r="O145" s="771"/>
      <c r="P145" s="771"/>
      <c r="Q145" s="771"/>
      <c r="R145" s="771"/>
      <c r="S145" s="771"/>
      <c r="T145" s="771"/>
      <c r="U145" s="771"/>
      <c r="V145" s="771"/>
      <c r="W145" s="771"/>
      <c r="X145" s="771"/>
      <c r="Y145" s="926"/>
      <c r="Z145" s="774"/>
      <c r="AA145" s="777"/>
      <c r="AB145" s="774"/>
      <c r="AC145" s="774"/>
      <c r="AD145" s="774"/>
    </row>
    <row r="146" spans="1:30" ht="9" customHeight="1">
      <c r="A146" s="773"/>
      <c r="B146" s="773"/>
      <c r="C146" s="771"/>
      <c r="D146" s="771"/>
      <c r="E146" s="771"/>
      <c r="F146" s="771"/>
      <c r="G146" s="771"/>
      <c r="H146" s="818"/>
      <c r="I146" s="818"/>
      <c r="J146" s="818"/>
      <c r="K146" s="818"/>
      <c r="L146" s="818"/>
      <c r="M146" s="771"/>
      <c r="N146" s="817"/>
      <c r="O146" s="771"/>
      <c r="P146" s="771"/>
      <c r="Q146" s="771"/>
      <c r="R146" s="771"/>
      <c r="S146" s="771"/>
      <c r="T146" s="771"/>
      <c r="U146" s="771"/>
      <c r="V146" s="771"/>
      <c r="W146" s="771"/>
      <c r="X146" s="771"/>
      <c r="Y146" s="926"/>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2161</v>
      </c>
      <c r="B148" s="773"/>
      <c r="C148" s="771" t="s">
        <v>2712</v>
      </c>
      <c r="D148" s="771" t="s">
        <v>2069</v>
      </c>
      <c r="E148" s="771" t="s">
        <v>2163</v>
      </c>
      <c r="F148" s="771" t="s">
        <v>2713</v>
      </c>
      <c r="G148" s="771"/>
      <c r="H148" s="771"/>
      <c r="I148" s="889"/>
      <c r="J148" s="889"/>
      <c r="K148" s="889"/>
      <c r="L148" s="889"/>
      <c r="M148" s="82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6"/>
      <c r="O148" s="771"/>
      <c r="P148" s="772"/>
      <c r="Q148" s="772"/>
      <c r="R148" s="772"/>
      <c r="S148" s="771"/>
      <c r="T148" s="771" t="s">
        <v>2714</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2"/>
      <c r="W148" s="772"/>
      <c r="X148" s="771" t="s">
        <v>2715</v>
      </c>
      <c r="Y148" s="926"/>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2165</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6"/>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2167</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6"/>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2172</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6"/>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2.28515625" style="1288" hidden="1" customWidth="1"/>
    <col min="6" max="8" width="12.28515625" style="1668" hidden="1" customWidth="1"/>
    <col min="9" max="9" width="3" style="1991" customWidth="1"/>
    <col min="10" max="11" width="3" style="279" customWidth="1"/>
    <col min="12" max="12" width="12" style="1992" customWidth="1"/>
    <col min="13" max="13" width="31" style="1557" customWidth="1"/>
    <col min="14" max="14" width="1" style="1557" customWidth="1"/>
    <col min="15" max="18" width="24" style="1557" customWidth="1"/>
    <col min="19" max="19" width="11" style="1557" customWidth="1"/>
    <col min="20" max="20" width="3.7109375" style="1557" customWidth="1"/>
    <col min="21" max="21" width="11" style="1557" customWidth="1"/>
    <col min="22" max="22" width="8.5703125" style="1557" customWidth="1"/>
    <col min="23" max="23" width="4" style="1557" customWidth="1"/>
    <col min="24" max="24" width="115" style="1557" customWidth="1"/>
    <col min="25" max="29" width="10" style="1564" customWidth="1"/>
    <col min="30" max="30" width="10.5703125" style="1557" hidden="1"/>
  </cols>
  <sheetData>
    <row r="1" spans="1:30" ht="22.5" hidden="1" customHeight="1">
      <c r="R1" s="262"/>
      <c r="S1" s="262"/>
      <c r="AD1" s="1077" t="s">
        <v>1</v>
      </c>
    </row>
    <row r="2" spans="1:30" ht="14.25" hidden="1" customHeight="1">
      <c r="V2" s="262"/>
      <c r="AD2" s="1077">
        <v>0</v>
      </c>
    </row>
    <row r="3" spans="1:30" ht="14.25" hidden="1" customHeight="1">
      <c r="AD3" s="1077">
        <v>0</v>
      </c>
    </row>
    <row r="4" spans="1:30" ht="14.65" customHeight="1">
      <c r="J4" s="310"/>
      <c r="K4" s="310"/>
      <c r="L4" s="1197"/>
      <c r="M4" s="297"/>
      <c r="N4" s="297"/>
      <c r="O4" s="443"/>
      <c r="P4" s="443"/>
      <c r="Q4" s="443"/>
      <c r="R4" s="443"/>
      <c r="S4" s="443"/>
      <c r="T4" s="443"/>
      <c r="U4" s="443"/>
      <c r="V4" s="443"/>
      <c r="AD4" s="1077">
        <v>14</v>
      </c>
    </row>
    <row r="5" spans="1:30" ht="67.150000000000006" customHeight="1">
      <c r="J5" s="310"/>
      <c r="K5" s="310"/>
      <c r="L5" s="4023" t="s">
        <v>2716</v>
      </c>
      <c r="M5" s="4023"/>
      <c r="N5" s="4023"/>
      <c r="O5" s="4023"/>
      <c r="P5" s="4023"/>
      <c r="Q5" s="4023"/>
      <c r="R5" s="4023"/>
      <c r="S5" s="4023"/>
      <c r="T5" s="4023"/>
      <c r="U5" s="4023"/>
      <c r="V5" s="1165"/>
      <c r="AD5" s="1077">
        <v>64</v>
      </c>
    </row>
    <row r="6" spans="1:30" ht="14.65" customHeight="1">
      <c r="J6" s="310"/>
      <c r="K6" s="310"/>
      <c r="L6" s="4024" t="str">
        <f>IF(org=0,"Не определено",org)</f>
        <v>ООО "Смоленскрегионтеплоэнерго"</v>
      </c>
      <c r="M6" s="4024"/>
      <c r="N6" s="4024"/>
      <c r="O6" s="4024"/>
      <c r="P6" s="4024"/>
      <c r="Q6" s="4024"/>
      <c r="R6" s="4024"/>
      <c r="S6" s="4024"/>
      <c r="T6" s="4024"/>
      <c r="U6" s="4024"/>
      <c r="V6" s="1165"/>
      <c r="AD6" s="1077">
        <v>14</v>
      </c>
    </row>
    <row r="7" spans="1:30" ht="14.65" customHeight="1">
      <c r="J7" s="310"/>
      <c r="K7" s="310"/>
      <c r="L7" s="1197"/>
      <c r="M7" s="297"/>
      <c r="N7" s="297"/>
      <c r="O7" s="257"/>
      <c r="P7" s="257"/>
      <c r="Q7" s="257"/>
      <c r="R7" s="257"/>
      <c r="S7" s="257"/>
      <c r="T7" s="257"/>
      <c r="U7" s="257"/>
      <c r="V7" s="257"/>
      <c r="W7" s="443"/>
      <c r="AD7" s="1077">
        <v>14</v>
      </c>
    </row>
    <row r="8" spans="1:30" s="1742" customFormat="1" ht="48.2" customHeight="1">
      <c r="A8" s="1290"/>
      <c r="B8" s="1290"/>
      <c r="C8" s="1290"/>
      <c r="D8" s="1290"/>
      <c r="E8" s="1290"/>
      <c r="F8" s="1290"/>
      <c r="G8" s="1290"/>
      <c r="H8" s="1290"/>
      <c r="L8" s="1198"/>
      <c r="M8" s="230" t="s">
        <v>29</v>
      </c>
      <c r="N8" s="239"/>
      <c r="O8" s="3730" t="str">
        <f>IF(TITLE_NAME_OR_PR_CHANGE="",IF(TITLE_NAME_OR_PR="","",TITLE_NAME_OR_PR),TITLE_NAME_OR_PR_CHANGE)</f>
        <v/>
      </c>
      <c r="P8" s="3730"/>
      <c r="Q8" s="3730"/>
      <c r="R8" s="3730"/>
      <c r="S8" s="3730"/>
      <c r="T8" s="3730"/>
      <c r="U8" s="3730"/>
      <c r="V8" s="261"/>
      <c r="W8" s="261"/>
      <c r="X8" s="215"/>
      <c r="Y8" s="302"/>
      <c r="Z8" s="302"/>
      <c r="AA8" s="302"/>
      <c r="AB8" s="302"/>
      <c r="AC8" s="302"/>
      <c r="AD8" s="352">
        <v>46</v>
      </c>
    </row>
    <row r="9" spans="1:30" s="1742" customFormat="1" ht="24" customHeight="1">
      <c r="A9" s="1290"/>
      <c r="B9" s="1290"/>
      <c r="C9" s="1290"/>
      <c r="D9" s="1290"/>
      <c r="E9" s="1290"/>
      <c r="F9" s="1290"/>
      <c r="G9" s="1290"/>
      <c r="H9" s="1290"/>
      <c r="L9" s="1198"/>
      <c r="M9" s="230" t="s">
        <v>548</v>
      </c>
      <c r="N9" s="239"/>
      <c r="O9" s="3730" t="str">
        <f>IF(TITLE_DATE_CHANGE_PERIOD="",IF(TITLE_DATE_PR="","",TITLE_DATE_PR),TITLE_DATE_CHANGE_PERIOD)</f>
        <v/>
      </c>
      <c r="P9" s="3730"/>
      <c r="Q9" s="3730"/>
      <c r="R9" s="3730"/>
      <c r="S9" s="3730"/>
      <c r="T9" s="3730"/>
      <c r="U9" s="3730"/>
      <c r="V9" s="261"/>
      <c r="W9" s="261"/>
      <c r="X9" s="215"/>
      <c r="Y9" s="302"/>
      <c r="Z9" s="302"/>
      <c r="AA9" s="302"/>
      <c r="AB9" s="302"/>
      <c r="AC9" s="302"/>
      <c r="AD9" s="352">
        <v>23</v>
      </c>
    </row>
    <row r="10" spans="1:30" s="1742" customFormat="1" ht="24" customHeight="1">
      <c r="A10" s="1290"/>
      <c r="B10" s="1290"/>
      <c r="C10" s="1290"/>
      <c r="D10" s="1290"/>
      <c r="E10" s="1290"/>
      <c r="F10" s="1290"/>
      <c r="G10" s="1290"/>
      <c r="H10" s="1290"/>
      <c r="L10" s="1172"/>
      <c r="M10" s="230" t="s">
        <v>549</v>
      </c>
      <c r="N10" s="239"/>
      <c r="O10" s="3730" t="str">
        <f>IF(TITLE_NUMBER_PR_CHANGE="",IF(TITLE_NUMBER_PR="","",TITLE_NUMBER_PR),TITLE_NUMBER_PR_CHANGE)</f>
        <v/>
      </c>
      <c r="P10" s="3730"/>
      <c r="Q10" s="3730"/>
      <c r="R10" s="3730"/>
      <c r="S10" s="3730"/>
      <c r="T10" s="3730"/>
      <c r="U10" s="3730"/>
      <c r="V10" s="261"/>
      <c r="W10" s="261"/>
      <c r="X10" s="215"/>
      <c r="Y10" s="302"/>
      <c r="Z10" s="302"/>
      <c r="AA10" s="302"/>
      <c r="AB10" s="302"/>
      <c r="AC10" s="302"/>
      <c r="AD10" s="352">
        <v>23</v>
      </c>
    </row>
    <row r="11" spans="1:30" s="1742" customFormat="1" ht="24" customHeight="1">
      <c r="A11" s="1290"/>
      <c r="B11" s="1290"/>
      <c r="C11" s="1290"/>
      <c r="D11" s="1290"/>
      <c r="E11" s="1290"/>
      <c r="F11" s="1290"/>
      <c r="G11" s="1290"/>
      <c r="H11" s="1290"/>
      <c r="L11" s="1172"/>
      <c r="M11" s="230" t="s">
        <v>30</v>
      </c>
      <c r="N11" s="239"/>
      <c r="O11" s="3730" t="str">
        <f>IF(TITLE_IST_PUB_CHANGE="",IF(TITLE_IST_PUB="","",TITLE_IST_PUB),TITLE_IST_PUB_CHANGE)</f>
        <v/>
      </c>
      <c r="P11" s="3730"/>
      <c r="Q11" s="3730"/>
      <c r="R11" s="3730"/>
      <c r="S11" s="3730"/>
      <c r="T11" s="3730"/>
      <c r="U11" s="3730"/>
      <c r="V11" s="261"/>
      <c r="W11" s="261"/>
      <c r="X11" s="215"/>
      <c r="Y11" s="302"/>
      <c r="Z11" s="302"/>
      <c r="AA11" s="302"/>
      <c r="AB11" s="302"/>
      <c r="AC11" s="302"/>
      <c r="AD11" s="352">
        <v>23</v>
      </c>
    </row>
    <row r="12" spans="1:30" s="1742" customFormat="1" ht="11.25" hidden="1" customHeight="1">
      <c r="A12" s="1290"/>
      <c r="B12" s="1290"/>
      <c r="C12" s="1290"/>
      <c r="D12" s="1290"/>
      <c r="E12" s="1290"/>
      <c r="F12" s="1290"/>
      <c r="G12" s="1290"/>
      <c r="H12" s="1290"/>
      <c r="L12" s="4025"/>
      <c r="M12" s="4025"/>
      <c r="N12" s="1209"/>
      <c r="O12" s="261"/>
      <c r="P12" s="261"/>
      <c r="Q12" s="261"/>
      <c r="R12" s="261"/>
      <c r="S12" s="261"/>
      <c r="T12" s="261"/>
      <c r="U12" s="261"/>
      <c r="V12" s="213" t="s">
        <v>468</v>
      </c>
      <c r="Y12" s="302"/>
      <c r="Z12" s="302"/>
      <c r="AA12" s="302"/>
      <c r="AB12" s="302"/>
      <c r="AC12" s="302"/>
      <c r="AD12" s="352">
        <v>0</v>
      </c>
    </row>
    <row r="13" spans="1:30" ht="14.65" customHeight="1">
      <c r="J13" s="310"/>
      <c r="K13" s="310"/>
      <c r="L13" s="1197"/>
      <c r="M13" s="297"/>
      <c r="N13" s="1166"/>
      <c r="O13" s="3731"/>
      <c r="P13" s="3731"/>
      <c r="Q13" s="3731"/>
      <c r="R13" s="3731"/>
      <c r="S13" s="3731"/>
      <c r="T13" s="3731"/>
      <c r="U13" s="3731"/>
      <c r="V13" s="3731"/>
      <c r="AD13" s="1077">
        <v>14</v>
      </c>
    </row>
    <row r="14" spans="1:30" ht="14.65" customHeight="1">
      <c r="J14" s="310"/>
      <c r="K14" s="310"/>
      <c r="L14" s="3618" t="s">
        <v>345</v>
      </c>
      <c r="M14" s="3618"/>
      <c r="N14" s="3618"/>
      <c r="O14" s="3618"/>
      <c r="P14" s="3618"/>
      <c r="Q14" s="3618"/>
      <c r="R14" s="3618"/>
      <c r="S14" s="3618"/>
      <c r="T14" s="3618"/>
      <c r="U14" s="3618"/>
      <c r="V14" s="3618"/>
      <c r="W14" s="3618"/>
      <c r="X14" s="3618" t="s">
        <v>346</v>
      </c>
      <c r="AD14" s="1077">
        <v>14</v>
      </c>
    </row>
    <row r="15" spans="1:30" ht="14.65" customHeight="1">
      <c r="J15" s="310"/>
      <c r="K15" s="310"/>
      <c r="L15" s="3745" t="s">
        <v>76</v>
      </c>
      <c r="M15" s="3697" t="s">
        <v>469</v>
      </c>
      <c r="N15" s="236"/>
      <c r="O15" s="3746" t="s">
        <v>2717</v>
      </c>
      <c r="P15" s="3747"/>
      <c r="Q15" s="3747"/>
      <c r="R15" s="3747"/>
      <c r="S15" s="3747"/>
      <c r="T15" s="3747"/>
      <c r="U15" s="3748"/>
      <c r="V15" s="3749" t="s">
        <v>471</v>
      </c>
      <c r="W15" s="3752" t="s">
        <v>1667</v>
      </c>
      <c r="X15" s="3618"/>
      <c r="AD15" s="1077">
        <v>14</v>
      </c>
    </row>
    <row r="16" spans="1:30" ht="35.65" customHeight="1">
      <c r="J16" s="310"/>
      <c r="K16" s="310"/>
      <c r="L16" s="3745"/>
      <c r="M16" s="3697"/>
      <c r="N16" s="957"/>
      <c r="O16" s="3666" t="s">
        <v>474</v>
      </c>
      <c r="P16" s="3666" t="s">
        <v>475</v>
      </c>
      <c r="Q16" s="3589" t="s">
        <v>476</v>
      </c>
      <c r="R16" s="3588"/>
      <c r="S16" s="3589" t="s">
        <v>490</v>
      </c>
      <c r="T16" s="3595"/>
      <c r="U16" s="3588"/>
      <c r="V16" s="3750"/>
      <c r="W16" s="3753"/>
      <c r="X16" s="3618"/>
      <c r="AD16" s="1077">
        <v>34</v>
      </c>
    </row>
    <row r="17" spans="1:30" ht="35.65" customHeight="1">
      <c r="A17" s="1292" t="s">
        <v>187</v>
      </c>
      <c r="B17" s="1292" t="s">
        <v>188</v>
      </c>
      <c r="C17" s="1292" t="s">
        <v>189</v>
      </c>
      <c r="D17" s="1292" t="s">
        <v>190</v>
      </c>
      <c r="E17" s="1292"/>
      <c r="J17" s="310"/>
      <c r="K17" s="310"/>
      <c r="L17" s="3745"/>
      <c r="M17" s="3697"/>
      <c r="N17" s="237"/>
      <c r="O17" s="3716"/>
      <c r="P17" s="3716"/>
      <c r="Q17" s="1144" t="s">
        <v>485</v>
      </c>
      <c r="R17" s="1144" t="s">
        <v>486</v>
      </c>
      <c r="S17" s="1214" t="s">
        <v>487</v>
      </c>
      <c r="T17" s="3705" t="s">
        <v>488</v>
      </c>
      <c r="U17" s="3707"/>
      <c r="V17" s="3751"/>
      <c r="W17" s="3754"/>
      <c r="X17" s="3618"/>
      <c r="AD17" s="1077">
        <v>34</v>
      </c>
    </row>
    <row r="18" spans="1:30" s="1563" customFormat="1" ht="11.45" customHeight="1">
      <c r="A18" s="1292"/>
      <c r="B18" s="1292"/>
      <c r="C18" s="1292"/>
      <c r="D18" s="1292"/>
      <c r="E18" s="1292"/>
      <c r="F18" s="1284"/>
      <c r="G18" s="1284"/>
      <c r="H18" s="1284"/>
      <c r="I18" s="1168"/>
      <c r="J18" s="1169"/>
      <c r="K18" s="1176">
        <v>1</v>
      </c>
      <c r="L18" s="1199" t="s">
        <v>164</v>
      </c>
      <c r="M18" s="1177" t="s">
        <v>89</v>
      </c>
      <c r="N18" s="1167" t="str">
        <f ca="1">OFFSET(N18,0,-1)</f>
        <v>2</v>
      </c>
      <c r="O18" s="1211">
        <f ca="1">OFFSET(O18,0,-1)+1</f>
        <v>3</v>
      </c>
      <c r="P18" s="1211"/>
      <c r="Q18" s="1211">
        <f ca="1">OFFSET(Q18,0,-1)+1</f>
        <v>1</v>
      </c>
      <c r="R18" s="1211">
        <f ca="1">OFFSET(R18,0,-1)+1</f>
        <v>2</v>
      </c>
      <c r="S18" s="1211">
        <f ca="1">OFFSET(S18,0,-1)+1</f>
        <v>3</v>
      </c>
      <c r="T18" s="3744">
        <f ca="1">OFFSET(T18,0,-1)+1</f>
        <v>4</v>
      </c>
      <c r="U18" s="3744"/>
      <c r="V18" s="1211">
        <f ca="1">OFFSET(V18,0,-2)+1</f>
        <v>5</v>
      </c>
      <c r="W18" s="1167">
        <f ca="1">OFFSET(W18,0,-1)</f>
        <v>5</v>
      </c>
      <c r="X18" s="1211">
        <f ca="1">OFFSET(X18,0,-1)+1</f>
        <v>6</v>
      </c>
      <c r="Y18" s="445"/>
      <c r="Z18" s="445"/>
      <c r="AA18" s="445"/>
      <c r="AB18" s="445"/>
      <c r="AC18" s="445"/>
      <c r="AD18" s="430">
        <v>11</v>
      </c>
    </row>
    <row r="19" spans="1:30" ht="21" customHeight="1">
      <c r="A19" s="1285" t="s">
        <v>215</v>
      </c>
      <c r="B19" s="1285" t="s">
        <v>216</v>
      </c>
      <c r="C19" s="1285" t="s">
        <v>217</v>
      </c>
      <c r="D19" s="1285" t="s">
        <v>218</v>
      </c>
      <c r="E19" s="1285"/>
      <c r="F19" s="1287"/>
      <c r="G19" s="1287"/>
      <c r="H19" s="1287"/>
      <c r="I19" s="295"/>
      <c r="J19" s="294"/>
      <c r="K19" s="289"/>
      <c r="L19" s="1215">
        <f>INDEX(PT_DIFFERENTIATION_NUM_NTAR,MATCH(A19,PT_DIFFERENTIATION_NTAR_ID,0))</f>
        <v>0</v>
      </c>
      <c r="M19" s="233" t="s">
        <v>176</v>
      </c>
      <c r="N19" s="235"/>
      <c r="O19" s="4026" t="str">
        <f>INDEX(PT_DIFFERENTIATION_NTAR,MATCH(A19,PT_DIFFERENTIATION_NTAR_ID,0))</f>
        <v/>
      </c>
      <c r="P19" s="4026"/>
      <c r="Q19" s="4026"/>
      <c r="R19" s="4026"/>
      <c r="S19" s="4026"/>
      <c r="T19" s="4026"/>
      <c r="U19" s="4026"/>
      <c r="V19" s="4026"/>
      <c r="W19" s="4026"/>
      <c r="X19" s="1180" t="s">
        <v>441</v>
      </c>
      <c r="Z19" s="434"/>
      <c r="AA19" s="434" t="str">
        <f t="shared" ref="AA19:AA32" si="0">IF(M19="","",M19)</f>
        <v>Наименование тарифа</v>
      </c>
      <c r="AB19" s="434"/>
      <c r="AC19" s="434"/>
      <c r="AD19" s="1077">
        <v>20</v>
      </c>
    </row>
    <row r="20" spans="1:30" ht="21" customHeight="1">
      <c r="A20" s="1285" t="s">
        <v>215</v>
      </c>
      <c r="B20" s="1285" t="s">
        <v>216</v>
      </c>
      <c r="C20" s="1285" t="s">
        <v>217</v>
      </c>
      <c r="D20" s="1285" t="s">
        <v>218</v>
      </c>
      <c r="E20" s="1285"/>
      <c r="F20" s="1287"/>
      <c r="G20" s="1287"/>
      <c r="H20" s="1287"/>
      <c r="I20" s="1212"/>
      <c r="J20" s="286"/>
      <c r="K20" s="287"/>
      <c r="L20" s="1215" t="str">
        <f>INDEX(PT_DIFFERENTIATION_NUM_TER,MATCH(B19,PT_DIFFERENTIATION_TER_ID,0))</f>
        <v>.</v>
      </c>
      <c r="M20" s="243" t="s">
        <v>442</v>
      </c>
      <c r="N20" s="235"/>
      <c r="O20" s="4026" t="str">
        <f>INDEX(PT_DIFFERENTIATION_TER,MATCH(B19,PT_DIFFERENTIATION_TER_ID,0))</f>
        <v/>
      </c>
      <c r="P20" s="4026"/>
      <c r="Q20" s="4026"/>
      <c r="R20" s="4026"/>
      <c r="S20" s="4026"/>
      <c r="T20" s="4026"/>
      <c r="U20" s="4026"/>
      <c r="V20" s="4026"/>
      <c r="W20" s="4026"/>
      <c r="X20" s="1180" t="s">
        <v>443</v>
      </c>
      <c r="Z20" s="434"/>
      <c r="AA20" s="434" t="str">
        <f t="shared" si="0"/>
        <v>Территория действия тарифа</v>
      </c>
      <c r="AB20" s="434"/>
      <c r="AC20" s="434"/>
      <c r="AD20" s="1077">
        <v>20</v>
      </c>
    </row>
    <row r="21" spans="1:30" ht="24" customHeight="1">
      <c r="A21" s="1285" t="s">
        <v>215</v>
      </c>
      <c r="B21" s="1285" t="s">
        <v>216</v>
      </c>
      <c r="C21" s="1285" t="s">
        <v>217</v>
      </c>
      <c r="D21" s="1285" t="s">
        <v>218</v>
      </c>
      <c r="E21" s="1285"/>
      <c r="F21" s="1287"/>
      <c r="G21" s="1287"/>
      <c r="H21" s="1287"/>
      <c r="I21" s="288"/>
      <c r="J21" s="286"/>
      <c r="K21" s="287"/>
      <c r="L21" s="1215" t="str">
        <f>INDEX(PT_DIFFERENTIATION_NUM_CS,MATCH(C19,PT_DIFFERENTIATION_CS_ID,0))</f>
        <v>..</v>
      </c>
      <c r="M21" s="244" t="s">
        <v>444</v>
      </c>
      <c r="N21" s="235"/>
      <c r="O21" s="4026" t="str">
        <f>INDEX(PT_DIFFERENTIATION_CS,MATCH(C19,PT_DIFFERENTIATION_CS_ID,0))</f>
        <v/>
      </c>
      <c r="P21" s="4026"/>
      <c r="Q21" s="4026"/>
      <c r="R21" s="4026"/>
      <c r="S21" s="4026"/>
      <c r="T21" s="4026"/>
      <c r="U21" s="4026"/>
      <c r="V21" s="4026"/>
      <c r="W21" s="4026"/>
      <c r="X21" s="1180" t="s">
        <v>445</v>
      </c>
      <c r="Z21" s="434"/>
      <c r="AA21" s="434" t="str">
        <f t="shared" si="0"/>
        <v xml:space="preserve">Наименование системы теплоснабжения </v>
      </c>
      <c r="AB21" s="434"/>
      <c r="AC21" s="434"/>
      <c r="AD21" s="1077">
        <v>23</v>
      </c>
    </row>
    <row r="22" spans="1:30" ht="21" customHeight="1">
      <c r="A22" s="1285" t="s">
        <v>215</v>
      </c>
      <c r="B22" s="1285" t="s">
        <v>216</v>
      </c>
      <c r="C22" s="1285" t="s">
        <v>217</v>
      </c>
      <c r="D22" s="1285" t="s">
        <v>218</v>
      </c>
      <c r="E22" s="1285"/>
      <c r="F22" s="1287"/>
      <c r="G22" s="1287"/>
      <c r="H22" s="1287"/>
      <c r="I22" s="288"/>
      <c r="J22" s="286"/>
      <c r="K22" s="287"/>
      <c r="L22" s="1215" t="str">
        <f>INDEX(PT_DIFFERENTIATION_NUM_IST_TE,MATCH(D19,PT_DIFFERENTIATION_IST_TE_ID,0))</f>
        <v>...</v>
      </c>
      <c r="M22" s="245" t="s">
        <v>446</v>
      </c>
      <c r="N22" s="235"/>
      <c r="O22" s="4026" t="str">
        <f>INDEX(PT_DIFFERENTIATION_IST_TE,MATCH(D19,PT_DIFFERENTIATION_IST_TE_ID,0))</f>
        <v/>
      </c>
      <c r="P22" s="4026"/>
      <c r="Q22" s="4026"/>
      <c r="R22" s="4026"/>
      <c r="S22" s="4026"/>
      <c r="T22" s="4026"/>
      <c r="U22" s="4026"/>
      <c r="V22" s="4026"/>
      <c r="W22" s="4026"/>
      <c r="X22" s="1180" t="s">
        <v>447</v>
      </c>
      <c r="Z22" s="434"/>
      <c r="AA22" s="434" t="str">
        <f t="shared" si="0"/>
        <v xml:space="preserve">Источник тепловой энергии  </v>
      </c>
      <c r="AB22" s="434"/>
      <c r="AC22" s="434"/>
      <c r="AD22" s="1077">
        <v>20</v>
      </c>
    </row>
    <row r="23" spans="1:30" ht="96.75" customHeight="1">
      <c r="A23" s="1285" t="s">
        <v>215</v>
      </c>
      <c r="B23" s="1285" t="s">
        <v>216</v>
      </c>
      <c r="C23" s="1285" t="s">
        <v>217</v>
      </c>
      <c r="D23" s="1285" t="s">
        <v>218</v>
      </c>
      <c r="E23" s="1285"/>
      <c r="F23" s="3593" t="str">
        <f>L22&amp;".1"</f>
        <v>....1</v>
      </c>
      <c r="I23" s="3736">
        <v>1</v>
      </c>
      <c r="J23" s="1213"/>
      <c r="K23" s="290"/>
      <c r="L23" s="1215" t="str">
        <f>$F$23</f>
        <v>....1</v>
      </c>
      <c r="M23" s="220" t="s">
        <v>449</v>
      </c>
      <c r="N23" s="235"/>
      <c r="O23" s="3774"/>
      <c r="P23" s="3774"/>
      <c r="Q23" s="3774"/>
      <c r="R23" s="3774"/>
      <c r="S23" s="3774"/>
      <c r="T23" s="3774"/>
      <c r="U23" s="3774"/>
      <c r="V23" s="3774"/>
      <c r="W23" s="3774"/>
      <c r="X23" s="1180" t="s">
        <v>450</v>
      </c>
      <c r="Z23" s="434"/>
      <c r="AA23" s="434" t="str">
        <f t="shared" si="0"/>
        <v>Схема подключения теплопотребляющей установки к коллектору источника тепловой энергии</v>
      </c>
      <c r="AB23" s="434"/>
      <c r="AC23" s="434"/>
      <c r="AD23" s="1077">
        <v>92</v>
      </c>
    </row>
    <row r="24" spans="1:30" ht="86.25" customHeight="1">
      <c r="A24" s="1285" t="s">
        <v>215</v>
      </c>
      <c r="B24" s="1285" t="s">
        <v>216</v>
      </c>
      <c r="C24" s="1285" t="s">
        <v>217</v>
      </c>
      <c r="D24" s="1285" t="s">
        <v>218</v>
      </c>
      <c r="E24" s="1285"/>
      <c r="F24" s="3593"/>
      <c r="G24" s="3593" t="str">
        <f>F23&amp;".1"</f>
        <v>....1.1</v>
      </c>
      <c r="I24" s="3736"/>
      <c r="J24" s="3736">
        <v>1</v>
      </c>
      <c r="K24" s="291"/>
      <c r="L24" s="1215" t="str">
        <f>$G$24</f>
        <v>....1.1</v>
      </c>
      <c r="M24" s="221" t="s">
        <v>452</v>
      </c>
      <c r="N24" s="235"/>
      <c r="O24" s="3726"/>
      <c r="P24" s="3727"/>
      <c r="Q24" s="3727"/>
      <c r="R24" s="3727"/>
      <c r="S24" s="3727"/>
      <c r="T24" s="3727"/>
      <c r="U24" s="3727"/>
      <c r="V24" s="3727"/>
      <c r="W24" s="3728"/>
      <c r="X24" s="1180" t="s">
        <v>453</v>
      </c>
      <c r="Z24" s="434"/>
      <c r="AA24" s="434" t="str">
        <f t="shared" si="0"/>
        <v>Группа потребителей</v>
      </c>
      <c r="AB24" s="434"/>
      <c r="AC24" s="434"/>
      <c r="AD24" s="1077">
        <v>82</v>
      </c>
    </row>
    <row r="25" spans="1:30" ht="11.45" customHeight="1">
      <c r="A25" s="1285" t="s">
        <v>215</v>
      </c>
      <c r="B25" s="1285" t="s">
        <v>216</v>
      </c>
      <c r="C25" s="1285" t="s">
        <v>217</v>
      </c>
      <c r="D25" s="1285" t="s">
        <v>218</v>
      </c>
      <c r="E25" s="1285"/>
      <c r="F25" s="3593"/>
      <c r="G25" s="3593"/>
      <c r="H25" s="3593" t="str">
        <f>G24&amp;".1"</f>
        <v>....1.1.1</v>
      </c>
      <c r="I25" s="3736"/>
      <c r="J25" s="3736"/>
      <c r="K25" s="291">
        <v>1</v>
      </c>
      <c r="L25" s="1215" t="str">
        <f>$H$25</f>
        <v>....1.1.1</v>
      </c>
      <c r="M25" s="1269"/>
      <c r="N25" s="235"/>
      <c r="O25" s="685"/>
      <c r="P25" s="260"/>
      <c r="Q25" s="685"/>
      <c r="R25" s="1179"/>
      <c r="S25" s="3740"/>
      <c r="T25" s="3599" t="s">
        <v>50</v>
      </c>
      <c r="U25" s="3740"/>
      <c r="V25" s="3599" t="s">
        <v>6</v>
      </c>
      <c r="W25" s="260"/>
      <c r="X25" s="3732" t="s">
        <v>455</v>
      </c>
      <c r="Y25" s="445" t="e">
        <f ca="1">STRCHECKDATE(O26:W26)</f>
        <v>#NAME?</v>
      </c>
      <c r="Z25" s="434"/>
      <c r="AA25" s="434" t="str">
        <f t="shared" si="0"/>
        <v/>
      </c>
      <c r="AB25" s="434"/>
      <c r="AC25" s="434"/>
      <c r="AD25" s="1077">
        <v>11</v>
      </c>
    </row>
    <row r="26" spans="1:30" ht="11.45" customHeight="1">
      <c r="A26" s="1285" t="s">
        <v>215</v>
      </c>
      <c r="B26" s="1285" t="s">
        <v>216</v>
      </c>
      <c r="C26" s="1285" t="s">
        <v>217</v>
      </c>
      <c r="D26" s="1285" t="s">
        <v>218</v>
      </c>
      <c r="E26" s="1285"/>
      <c r="F26" s="3593"/>
      <c r="G26" s="3593"/>
      <c r="H26" s="3593"/>
      <c r="I26" s="3736"/>
      <c r="J26" s="3736"/>
      <c r="K26" s="291"/>
      <c r="L26" s="1216"/>
      <c r="M26" s="235"/>
      <c r="N26" s="235"/>
      <c r="O26" s="260"/>
      <c r="P26" s="260"/>
      <c r="Q26" s="260"/>
      <c r="R26" s="263" t="str">
        <f>S25&amp;"-"&amp;U25</f>
        <v>-</v>
      </c>
      <c r="S26" s="3741"/>
      <c r="T26" s="3599"/>
      <c r="U26" s="3741"/>
      <c r="V26" s="3599"/>
      <c r="W26" s="260"/>
      <c r="X26" s="3733"/>
      <c r="Z26" s="434"/>
      <c r="AA26" s="434" t="str">
        <f t="shared" si="0"/>
        <v/>
      </c>
      <c r="AB26" s="434"/>
      <c r="AC26" s="434"/>
      <c r="AD26" s="1077">
        <v>11</v>
      </c>
    </row>
    <row r="27" spans="1:30" ht="15.75" customHeight="1">
      <c r="A27" s="1285" t="s">
        <v>215</v>
      </c>
      <c r="B27" s="1285" t="s">
        <v>216</v>
      </c>
      <c r="C27" s="1285" t="s">
        <v>217</v>
      </c>
      <c r="D27" s="1285" t="s">
        <v>218</v>
      </c>
      <c r="E27" s="1285"/>
      <c r="F27" s="3593"/>
      <c r="G27" s="3593"/>
      <c r="I27" s="3736"/>
      <c r="J27" s="3736"/>
      <c r="K27" s="290"/>
      <c r="L27" s="1200"/>
      <c r="M27" s="223" t="s">
        <v>456</v>
      </c>
      <c r="N27" s="301"/>
      <c r="O27" s="301"/>
      <c r="P27" s="301"/>
      <c r="Q27" s="301"/>
      <c r="R27" s="301"/>
      <c r="S27" s="301"/>
      <c r="T27" s="301"/>
      <c r="U27" s="301"/>
      <c r="V27" s="301"/>
      <c r="W27" s="259"/>
      <c r="X27" s="3734"/>
      <c r="Z27" s="434"/>
      <c r="AA27" s="434" t="str">
        <f t="shared" si="0"/>
        <v>Добавить вид теплоносителя (параметры теплоносителя)</v>
      </c>
      <c r="AB27" s="434"/>
      <c r="AC27" s="434"/>
      <c r="AD27" s="1077">
        <v>15</v>
      </c>
    </row>
    <row r="28" spans="1:30" ht="15.75" customHeight="1">
      <c r="A28" s="1285" t="s">
        <v>215</v>
      </c>
      <c r="B28" s="1285" t="s">
        <v>216</v>
      </c>
      <c r="C28" s="1285" t="s">
        <v>217</v>
      </c>
      <c r="D28" s="1285" t="s">
        <v>218</v>
      </c>
      <c r="E28" s="1285"/>
      <c r="F28" s="3593"/>
      <c r="I28" s="3736"/>
      <c r="J28" s="1213"/>
      <c r="K28" s="290"/>
      <c r="L28" s="1200"/>
      <c r="M28" s="222" t="s">
        <v>457</v>
      </c>
      <c r="N28" s="301"/>
      <c r="O28" s="301"/>
      <c r="P28" s="301"/>
      <c r="Q28" s="301"/>
      <c r="R28" s="301"/>
      <c r="S28" s="301"/>
      <c r="T28" s="301"/>
      <c r="U28" s="301"/>
      <c r="V28" s="300"/>
      <c r="W28" s="301"/>
      <c r="X28" s="238"/>
      <c r="Z28" s="434"/>
      <c r="AA28" s="434" t="str">
        <f t="shared" si="0"/>
        <v>Добавить группу потребителей</v>
      </c>
      <c r="AB28" s="434"/>
      <c r="AC28" s="434"/>
      <c r="AD28" s="1077">
        <v>15</v>
      </c>
    </row>
    <row r="29" spans="1:30" ht="14.65" customHeight="1">
      <c r="A29" s="1285" t="s">
        <v>215</v>
      </c>
      <c r="B29" s="1285" t="s">
        <v>216</v>
      </c>
      <c r="C29" s="1285" t="s">
        <v>217</v>
      </c>
      <c r="D29" s="1285" t="s">
        <v>218</v>
      </c>
      <c r="E29" s="1285"/>
      <c r="F29" s="1287"/>
      <c r="G29" s="1287"/>
      <c r="H29" s="471"/>
      <c r="I29" s="294"/>
      <c r="J29" s="309"/>
      <c r="K29" s="289"/>
      <c r="L29" s="1200"/>
      <c r="M29" s="299" t="s">
        <v>458</v>
      </c>
      <c r="N29" s="301"/>
      <c r="O29" s="301"/>
      <c r="P29" s="301"/>
      <c r="Q29" s="301"/>
      <c r="R29" s="301"/>
      <c r="S29" s="301"/>
      <c r="T29" s="301"/>
      <c r="U29" s="301"/>
      <c r="V29" s="300"/>
      <c r="W29" s="301"/>
      <c r="X29" s="238"/>
      <c r="Z29" s="434"/>
      <c r="AA29" s="434" t="str">
        <f t="shared" si="0"/>
        <v>Добавить схему подключения</v>
      </c>
      <c r="AB29" s="434"/>
      <c r="AC29" s="434"/>
      <c r="AD29" s="1077">
        <v>14</v>
      </c>
    </row>
    <row r="30" spans="1:30" ht="14.65" customHeight="1">
      <c r="A30" s="1285" t="s">
        <v>215</v>
      </c>
      <c r="B30" s="1285" t="s">
        <v>216</v>
      </c>
      <c r="C30" s="1285" t="s">
        <v>217</v>
      </c>
      <c r="D30" s="1285"/>
      <c r="E30" s="1285" t="s">
        <v>908</v>
      </c>
      <c r="F30" s="1287"/>
      <c r="G30" s="1287"/>
      <c r="H30" s="471"/>
      <c r="I30" s="294"/>
      <c r="J30" s="309"/>
      <c r="K30" s="289"/>
      <c r="L30" s="1201"/>
      <c r="M30" s="1190"/>
      <c r="N30" s="1191"/>
      <c r="O30" s="1191"/>
      <c r="P30" s="1191"/>
      <c r="Q30" s="1191"/>
      <c r="R30" s="1191"/>
      <c r="S30" s="1191"/>
      <c r="T30" s="1191"/>
      <c r="U30" s="1191"/>
      <c r="V30" s="1192"/>
      <c r="W30" s="1191"/>
      <c r="X30" s="1193"/>
      <c r="Z30" s="434"/>
      <c r="AA30" s="434" t="str">
        <f t="shared" si="0"/>
        <v/>
      </c>
      <c r="AB30" s="434"/>
      <c r="AC30" s="434"/>
      <c r="AD30" s="1077">
        <v>14</v>
      </c>
    </row>
    <row r="31" spans="1:30" ht="14.65" customHeight="1">
      <c r="A31" s="1285" t="s">
        <v>215</v>
      </c>
      <c r="B31" s="1285" t="s">
        <v>216</v>
      </c>
      <c r="C31" s="1285"/>
      <c r="D31" s="1285"/>
      <c r="E31" s="1285" t="s">
        <v>2718</v>
      </c>
      <c r="F31" s="1439"/>
      <c r="G31" s="1439"/>
      <c r="H31" s="471"/>
      <c r="I31" s="292"/>
      <c r="J31" s="309"/>
      <c r="K31" s="293"/>
      <c r="L31" s="1201"/>
      <c r="M31" s="1194"/>
      <c r="N31" s="1191"/>
      <c r="O31" s="1191"/>
      <c r="P31" s="1191"/>
      <c r="Q31" s="1191"/>
      <c r="R31" s="1191"/>
      <c r="S31" s="1191"/>
      <c r="T31" s="1191"/>
      <c r="U31" s="1191"/>
      <c r="V31" s="1192"/>
      <c r="W31" s="1191"/>
      <c r="X31" s="1193"/>
      <c r="Z31" s="434"/>
      <c r="AA31" s="434" t="str">
        <f t="shared" si="0"/>
        <v/>
      </c>
      <c r="AB31" s="434"/>
      <c r="AC31" s="434"/>
      <c r="AD31" s="1077">
        <v>14</v>
      </c>
    </row>
    <row r="32" spans="1:30" ht="14.65" customHeight="1">
      <c r="A32" s="1285" t="s">
        <v>2719</v>
      </c>
      <c r="B32" s="1285"/>
      <c r="C32" s="1285"/>
      <c r="D32" s="1285"/>
      <c r="E32" s="1285" t="s">
        <v>159</v>
      </c>
      <c r="F32" s="1439"/>
      <c r="G32" s="1439"/>
      <c r="H32" s="471"/>
      <c r="I32" s="294"/>
      <c r="J32" s="309"/>
      <c r="K32" s="289"/>
      <c r="L32" s="1201"/>
      <c r="M32" s="1195"/>
      <c r="N32" s="1191"/>
      <c r="O32" s="1191"/>
      <c r="P32" s="1191"/>
      <c r="Q32" s="1191"/>
      <c r="R32" s="1191"/>
      <c r="S32" s="1191"/>
      <c r="T32" s="1191"/>
      <c r="U32" s="1191"/>
      <c r="V32" s="1192"/>
      <c r="W32" s="1191"/>
      <c r="X32" s="1193"/>
      <c r="Z32" s="434"/>
      <c r="AA32" s="434" t="str">
        <f t="shared" si="0"/>
        <v/>
      </c>
      <c r="AB32" s="434"/>
      <c r="AC32" s="434"/>
      <c r="AD32" s="1077">
        <v>14</v>
      </c>
    </row>
    <row r="33" spans="1:30" s="1739" customFormat="1" ht="11.45" customHeight="1">
      <c r="A33" s="1285"/>
      <c r="B33" s="1285"/>
      <c r="C33" s="1285"/>
      <c r="D33" s="1285"/>
      <c r="E33" s="1285" t="s">
        <v>489</v>
      </c>
      <c r="F33" s="1440"/>
      <c r="G33" s="1441"/>
      <c r="H33" s="471"/>
      <c r="L33" s="1202"/>
      <c r="M33" s="1196"/>
      <c r="N33" s="1191"/>
      <c r="O33" s="1191"/>
      <c r="P33" s="1191"/>
      <c r="Q33" s="1191"/>
      <c r="R33" s="1191"/>
      <c r="S33" s="1191"/>
      <c r="T33" s="1191"/>
      <c r="U33" s="1191"/>
      <c r="V33" s="1192"/>
      <c r="W33" s="1191"/>
      <c r="X33" s="1193"/>
      <c r="Y33" s="313"/>
      <c r="Z33" s="313"/>
      <c r="AA33" s="313"/>
      <c r="AB33" s="313"/>
      <c r="AC33" s="313"/>
      <c r="AD33" s="307">
        <v>11</v>
      </c>
    </row>
    <row r="34" spans="1:30" ht="11.45" customHeight="1">
      <c r="F34" s="1082"/>
      <c r="G34" s="1082"/>
      <c r="H34" s="471"/>
      <c r="I34" s="1077"/>
      <c r="J34" s="1077"/>
      <c r="K34" s="1077"/>
      <c r="Y34" s="1077"/>
      <c r="Z34" s="1077"/>
      <c r="AA34" s="1077"/>
      <c r="AB34" s="1077"/>
      <c r="AC34" s="1077"/>
      <c r="AD34" s="1077">
        <v>11</v>
      </c>
    </row>
    <row r="35" spans="1:30" ht="28.5" customHeight="1">
      <c r="H35" s="471"/>
      <c r="L35" s="1210" t="s">
        <v>1142</v>
      </c>
      <c r="M35" s="3757" t="s">
        <v>2720</v>
      </c>
      <c r="N35" s="3757"/>
      <c r="O35" s="3757"/>
      <c r="P35" s="3757"/>
      <c r="Q35" s="3757"/>
      <c r="R35" s="3757"/>
      <c r="S35" s="3757"/>
      <c r="T35" s="3757"/>
      <c r="U35" s="3757"/>
      <c r="V35" s="3757"/>
      <c r="W35" s="3757"/>
      <c r="X35" s="3757"/>
      <c r="AD35" s="1077">
        <v>27</v>
      </c>
    </row>
    <row r="36" spans="1:30" ht="109.15" customHeight="1">
      <c r="H36" s="471"/>
      <c r="I36" s="1225"/>
      <c r="M36" s="3757" t="s">
        <v>2721</v>
      </c>
      <c r="N36" s="3757"/>
      <c r="O36" s="3757"/>
      <c r="P36" s="3757"/>
      <c r="Q36" s="3757"/>
      <c r="R36" s="3757"/>
      <c r="S36" s="3757"/>
      <c r="T36" s="3757"/>
      <c r="U36" s="3757"/>
      <c r="V36" s="3757"/>
      <c r="W36" s="3757"/>
      <c r="X36" s="3757"/>
      <c r="AD36" s="1077">
        <v>104</v>
      </c>
    </row>
    <row r="37" spans="1:30" ht="14.65" customHeight="1">
      <c r="H37" s="471"/>
      <c r="AD37" s="1077">
        <v>14</v>
      </c>
    </row>
    <row r="38" spans="1:30" ht="14.65" customHeight="1">
      <c r="H38" s="471"/>
      <c r="AD38" s="1077">
        <v>14</v>
      </c>
    </row>
    <row r="39" spans="1:30" ht="14.65" customHeight="1">
      <c r="H39" s="471"/>
      <c r="AD39" s="1077">
        <v>14</v>
      </c>
    </row>
    <row r="40" spans="1:30" ht="14.65" customHeight="1">
      <c r="H40" s="471"/>
      <c r="AD40" s="1077">
        <v>14</v>
      </c>
    </row>
    <row r="41" spans="1:30" ht="22.5" hidden="1" customHeight="1">
      <c r="A41" s="1082" t="s">
        <v>70</v>
      </c>
      <c r="B41" s="1082">
        <v>0</v>
      </c>
      <c r="C41" s="1082">
        <v>0</v>
      </c>
      <c r="D41" s="1082">
        <v>0</v>
      </c>
      <c r="E41" s="1082">
        <v>0</v>
      </c>
      <c r="F41" s="1284">
        <v>0</v>
      </c>
      <c r="G41" s="1284">
        <v>0</v>
      </c>
      <c r="H41" s="1284">
        <v>0</v>
      </c>
      <c r="I41" s="1208">
        <v>3</v>
      </c>
      <c r="J41" s="279">
        <v>3</v>
      </c>
      <c r="K41" s="279">
        <v>3</v>
      </c>
      <c r="L41" s="515">
        <v>12</v>
      </c>
      <c r="M41" s="1077">
        <v>31</v>
      </c>
      <c r="N41" s="1077">
        <v>1</v>
      </c>
      <c r="O41" s="1077">
        <v>24</v>
      </c>
      <c r="P41" s="1077">
        <v>24</v>
      </c>
      <c r="Q41" s="1077">
        <v>24</v>
      </c>
      <c r="R41" s="1077">
        <v>24</v>
      </c>
      <c r="S41" s="1077">
        <v>11</v>
      </c>
      <c r="T41" s="1077">
        <v>3</v>
      </c>
      <c r="U41" s="1077">
        <v>11</v>
      </c>
      <c r="V41" s="1077">
        <v>8</v>
      </c>
      <c r="W41" s="1077">
        <v>4</v>
      </c>
      <c r="X41" s="1077">
        <v>115</v>
      </c>
      <c r="Y41" s="445">
        <v>10</v>
      </c>
      <c r="Z41" s="445">
        <v>10</v>
      </c>
      <c r="AA41" s="445">
        <v>10</v>
      </c>
      <c r="AB41" s="445">
        <v>10</v>
      </c>
      <c r="AC41" s="445">
        <v>10</v>
      </c>
      <c r="AD41" s="1077">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4" hidden="1" customWidth="1"/>
    <col min="2" max="2" width="9.140625" style="1557" hidden="1" customWidth="1"/>
    <col min="3" max="3" width="3" style="1731" customWidth="1"/>
    <col min="4" max="4" width="5" style="1557" customWidth="1"/>
    <col min="5" max="5" width="48" style="1557" customWidth="1"/>
    <col min="6" max="6" width="38" style="1557" customWidth="1"/>
    <col min="7" max="7" width="1.7109375" style="1557" hidden="1" customWidth="1"/>
    <col min="8" max="11" width="19.85546875" style="1557" customWidth="1"/>
    <col min="12" max="12" width="9.7109375" style="1557" customWidth="1"/>
    <col min="13" max="18" width="19.85546875" style="1557" customWidth="1"/>
    <col min="19" max="19" width="1.7109375" style="1557" hidden="1" customWidth="1"/>
    <col min="20" max="22" width="19.85546875" style="1557" hidden="1" customWidth="1"/>
    <col min="23" max="23" width="1.7109375" style="1557" hidden="1" customWidth="1"/>
    <col min="24" max="26" width="19.85546875" style="1557" hidden="1" customWidth="1"/>
    <col min="27" max="27" width="1.7109375" style="1557" hidden="1" customWidth="1"/>
    <col min="28" max="29" width="19.85546875" style="1557" hidden="1" customWidth="1"/>
    <col min="30" max="30" width="1.7109375" style="1557" hidden="1" customWidth="1"/>
    <col min="31" max="31" width="103.7109375" style="1557" customWidth="1"/>
    <col min="32" max="34" width="103.7109375" style="1557" hidden="1" customWidth="1"/>
    <col min="35" max="35" width="3" style="1711" customWidth="1"/>
    <col min="36" max="38" width="10" style="1564" customWidth="1"/>
    <col min="39" max="39" width="13.7109375" style="1564" hidden="1" customWidth="1"/>
    <col min="40" max="40" width="15" style="1564" customWidth="1"/>
    <col min="41" max="41" width="16" style="1564" customWidth="1"/>
    <col min="42" max="45" width="10" style="1564" customWidth="1"/>
    <col min="46" max="46" width="10.5703125" style="1557" hidden="1"/>
  </cols>
  <sheetData>
    <row r="1" spans="1:46" ht="22.5" hidden="1" customHeight="1">
      <c r="E1" s="346"/>
      <c r="F1" s="346"/>
      <c r="G1" s="346"/>
      <c r="H1" s="3593" t="s">
        <v>397</v>
      </c>
      <c r="I1" s="3593"/>
      <c r="J1" s="3593"/>
      <c r="K1" s="3593"/>
      <c r="L1" s="3593"/>
      <c r="M1" s="3593"/>
      <c r="N1" s="3593"/>
      <c r="O1" s="3593"/>
      <c r="P1" s="3593"/>
      <c r="Q1" s="3593"/>
      <c r="R1" s="3593"/>
      <c r="T1" s="3593" t="s">
        <v>398</v>
      </c>
      <c r="U1" s="3593"/>
      <c r="V1" s="3593"/>
      <c r="X1" s="3593" t="s">
        <v>399</v>
      </c>
      <c r="Y1" s="3593"/>
      <c r="Z1" s="3593"/>
      <c r="AB1" s="3593" t="s">
        <v>400</v>
      </c>
      <c r="AC1" s="3593"/>
      <c r="AT1" s="381" t="s">
        <v>1</v>
      </c>
    </row>
    <row r="2" spans="1:46" ht="14.25" hidden="1" customHeight="1">
      <c r="AT2" s="381">
        <v>0</v>
      </c>
    </row>
    <row r="3" spans="1:46" s="1535" customFormat="1" ht="5.25" customHeight="1">
      <c r="C3" s="635"/>
      <c r="D3" s="636"/>
      <c r="E3" s="636"/>
      <c r="F3" s="636"/>
      <c r="G3" s="636"/>
      <c r="H3" s="636" t="s">
        <v>401</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364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649"/>
      <c r="F4" s="3649"/>
      <c r="G4" s="3649"/>
      <c r="H4" s="3649"/>
      <c r="I4" s="3649"/>
      <c r="J4" s="3649"/>
      <c r="K4" s="3649"/>
      <c r="L4" s="3649"/>
      <c r="M4" s="3649"/>
      <c r="N4" s="3649"/>
      <c r="O4" s="3649"/>
      <c r="P4" s="3649"/>
      <c r="Q4" s="3649"/>
      <c r="R4" s="3650"/>
      <c r="S4" s="781"/>
      <c r="T4" s="633"/>
      <c r="U4" s="633"/>
      <c r="V4" s="633"/>
      <c r="W4" s="633"/>
      <c r="X4" s="633"/>
      <c r="Y4" s="633"/>
      <c r="Z4" s="633"/>
      <c r="AA4" s="633"/>
      <c r="AB4" s="633"/>
      <c r="AC4" s="633"/>
      <c r="AD4" s="633"/>
      <c r="AE4" s="425"/>
      <c r="AF4" s="425"/>
      <c r="AG4" s="425"/>
      <c r="AH4" s="425"/>
      <c r="AI4" s="422"/>
      <c r="AT4" s="381">
        <v>38</v>
      </c>
    </row>
    <row r="5" spans="1:46" s="1557" customFormat="1" ht="18" customHeight="1">
      <c r="A5" s="691"/>
      <c r="C5" s="750"/>
      <c r="D5" s="3702" t="str">
        <f>IF(org=0,"Не определено",org)</f>
        <v>ООО "Смоленскрегионтеплоэнерго"</v>
      </c>
      <c r="E5" s="3703"/>
      <c r="F5" s="3703"/>
      <c r="G5" s="3703"/>
      <c r="H5" s="3703"/>
      <c r="I5" s="3703"/>
      <c r="J5" s="3703"/>
      <c r="K5" s="3703"/>
      <c r="L5" s="3703"/>
      <c r="M5" s="3703"/>
      <c r="N5" s="3703"/>
      <c r="O5" s="3703"/>
      <c r="P5" s="3703"/>
      <c r="Q5" s="3703"/>
      <c r="R5" s="3704"/>
      <c r="S5" s="781"/>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1534"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3705" t="s">
        <v>345</v>
      </c>
      <c r="E7" s="3706"/>
      <c r="F7" s="3706"/>
      <c r="G7" s="3706"/>
      <c r="H7" s="3706"/>
      <c r="I7" s="3706"/>
      <c r="J7" s="3706"/>
      <c r="K7" s="3706"/>
      <c r="L7" s="3706"/>
      <c r="M7" s="3706"/>
      <c r="N7" s="3706"/>
      <c r="O7" s="3706"/>
      <c r="P7" s="3706"/>
      <c r="Q7" s="3706"/>
      <c r="R7" s="3706"/>
      <c r="S7" s="3706"/>
      <c r="T7" s="3706"/>
      <c r="U7" s="3706"/>
      <c r="V7" s="3706"/>
      <c r="W7" s="3706"/>
      <c r="X7" s="3706"/>
      <c r="Y7" s="3706"/>
      <c r="Z7" s="3706"/>
      <c r="AA7" s="3706"/>
      <c r="AB7" s="3706"/>
      <c r="AC7" s="3706"/>
      <c r="AD7" s="3707"/>
      <c r="AE7" s="3646" t="s">
        <v>346</v>
      </c>
      <c r="AF7" s="3646" t="s">
        <v>346</v>
      </c>
      <c r="AG7" s="3646" t="s">
        <v>346</v>
      </c>
      <c r="AH7" s="3646" t="s">
        <v>346</v>
      </c>
      <c r="AT7" s="381">
        <v>14</v>
      </c>
    </row>
    <row r="8" spans="1:46" ht="27.4" customHeight="1">
      <c r="C8" s="384"/>
      <c r="D8" s="3618" t="s">
        <v>76</v>
      </c>
      <c r="E8" s="3646" t="str">
        <f>"Наименование "&amp;IF(TEMPLATE_SPHERE&lt;&gt;"HEAT","централизованной ","")&amp;"системы "&amp;TEMPLATE_SPHERE_RUS</f>
        <v>Наименование системы теплоснабжения</v>
      </c>
      <c r="F8" s="3646" t="str">
        <f>IF(TEMPLATE_SPHERE&lt;&gt;"HEAT","Регулируемый вид деятельности","Вид регулируемой деятельности")</f>
        <v>Вид регулируемой деятельности</v>
      </c>
      <c r="G8" s="756"/>
      <c r="H8" s="3710" t="s">
        <v>402</v>
      </c>
      <c r="I8" s="3712" t="s">
        <v>403</v>
      </c>
      <c r="J8" s="3646" t="s">
        <v>404</v>
      </c>
      <c r="K8" s="3646"/>
      <c r="L8" s="3646"/>
      <c r="M8" s="3705"/>
      <c r="N8" s="3646" t="s">
        <v>405</v>
      </c>
      <c r="O8" s="3646"/>
      <c r="P8" s="3646" t="s">
        <v>406</v>
      </c>
      <c r="Q8" s="3646"/>
      <c r="R8" s="3714" t="s">
        <v>407</v>
      </c>
      <c r="S8" s="752"/>
      <c r="T8" s="3710" t="s">
        <v>408</v>
      </c>
      <c r="U8" s="3710" t="s">
        <v>409</v>
      </c>
      <c r="V8" s="3710" t="s">
        <v>410</v>
      </c>
      <c r="W8" s="754"/>
      <c r="X8" s="3710" t="s">
        <v>411</v>
      </c>
      <c r="Y8" s="3710" t="s">
        <v>412</v>
      </c>
      <c r="Z8" s="3710" t="s">
        <v>413</v>
      </c>
      <c r="AA8" s="754"/>
      <c r="AB8" s="3710" t="s">
        <v>414</v>
      </c>
      <c r="AC8" s="3710" t="s">
        <v>407</v>
      </c>
      <c r="AD8" s="754"/>
      <c r="AE8" s="3646"/>
      <c r="AF8" s="3646"/>
      <c r="AG8" s="3646"/>
      <c r="AH8" s="3646"/>
      <c r="AT8" s="381">
        <v>26</v>
      </c>
    </row>
    <row r="9" spans="1:46" ht="46.15" customHeight="1">
      <c r="C9" s="384"/>
      <c r="D9" s="3618"/>
      <c r="E9" s="3646"/>
      <c r="F9" s="3646"/>
      <c r="G9" s="757"/>
      <c r="H9" s="3711"/>
      <c r="I9" s="3713"/>
      <c r="J9" s="359" t="s">
        <v>415</v>
      </c>
      <c r="K9" s="359" t="s">
        <v>416</v>
      </c>
      <c r="L9" s="359" t="s">
        <v>417</v>
      </c>
      <c r="M9" s="365" t="s">
        <v>418</v>
      </c>
      <c r="N9" s="359" t="s">
        <v>419</v>
      </c>
      <c r="O9" s="359" t="s">
        <v>418</v>
      </c>
      <c r="P9" s="359" t="s">
        <v>420</v>
      </c>
      <c r="Q9" s="359" t="s">
        <v>418</v>
      </c>
      <c r="R9" s="3715"/>
      <c r="S9" s="753"/>
      <c r="T9" s="3711"/>
      <c r="U9" s="3711"/>
      <c r="V9" s="3711"/>
      <c r="W9" s="755"/>
      <c r="X9" s="3711"/>
      <c r="Y9" s="3711"/>
      <c r="Z9" s="3711"/>
      <c r="AA9" s="755"/>
      <c r="AB9" s="3711"/>
      <c r="AC9" s="3711"/>
      <c r="AD9" s="755"/>
      <c r="AE9" s="3646"/>
      <c r="AF9" s="3646"/>
      <c r="AG9" s="3646"/>
      <c r="AH9" s="3646"/>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1563" customFormat="1" ht="11.25" hidden="1" customHeight="1">
      <c r="C11" s="432"/>
      <c r="D11" s="433" t="s">
        <v>421</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164</v>
      </c>
      <c r="E12" s="1669" t="s">
        <v>9</v>
      </c>
      <c r="F12" s="783"/>
      <c r="G12" s="784"/>
      <c r="H12" s="1670"/>
      <c r="I12" s="1670"/>
      <c r="J12" s="367"/>
      <c r="K12" s="1752"/>
      <c r="L12" s="366"/>
      <c r="M12" s="1752"/>
      <c r="N12" s="367"/>
      <c r="O12" s="1752"/>
      <c r="P12" s="367"/>
      <c r="Q12" s="1752"/>
      <c r="R12" s="367"/>
      <c r="S12" s="782"/>
      <c r="T12" s="1670"/>
      <c r="U12" s="367"/>
      <c r="V12" s="367"/>
      <c r="W12" s="755"/>
      <c r="X12" s="1670"/>
      <c r="Y12" s="367"/>
      <c r="Z12" s="367"/>
      <c r="AA12" s="755"/>
      <c r="AB12" s="1670"/>
      <c r="AC12" s="367"/>
      <c r="AD12" s="755"/>
      <c r="AE12" s="3708" t="s">
        <v>422</v>
      </c>
      <c r="AF12" s="3708" t="s">
        <v>423</v>
      </c>
      <c r="AG12" s="3708" t="s">
        <v>424</v>
      </c>
      <c r="AH12" s="3708" t="s">
        <v>425</v>
      </c>
      <c r="AI12" s="381"/>
      <c r="AM12" s="445"/>
      <c r="AP12" s="434" t="s">
        <v>426</v>
      </c>
      <c r="AQ12" s="434" t="s">
        <v>426</v>
      </c>
      <c r="AT12" s="381">
        <v>14</v>
      </c>
    </row>
    <row r="13" spans="1:46" ht="18" customHeight="1">
      <c r="A13" s="381"/>
      <c r="C13" s="384"/>
      <c r="D13" s="339"/>
      <c r="E13" s="797" t="str">
        <f>IF(TITLE_DIFFERENTIATION_TYPE="нет","","Добавить систему")</f>
        <v/>
      </c>
      <c r="F13" s="797"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5"/>
      <c r="AE13" s="3709"/>
      <c r="AF13" s="3709"/>
      <c r="AG13" s="3709"/>
      <c r="AH13" s="3709"/>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70</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3" t="s">
        <v>2722</v>
      </c>
      <c r="B1" s="2004" t="s">
        <v>2723</v>
      </c>
      <c r="C1" s="4027" t="s">
        <v>2724</v>
      </c>
      <c r="D1" s="4028"/>
      <c r="E1" s="764" t="s">
        <v>2725</v>
      </c>
    </row>
    <row r="2" spans="1:5" ht="11.25" customHeight="1">
      <c r="A2" s="2005"/>
      <c r="B2" s="697" t="s">
        <v>14</v>
      </c>
      <c r="C2" s="687"/>
      <c r="D2" s="696"/>
      <c r="E2" s="764"/>
    </row>
    <row r="3" spans="1:5" ht="11.25" customHeight="1">
      <c r="A3" s="2006"/>
      <c r="B3" s="2007" t="s">
        <v>20</v>
      </c>
      <c r="C3" s="687"/>
      <c r="D3" s="696"/>
      <c r="E3" s="764"/>
    </row>
    <row r="4" spans="1:5" ht="11.25" customHeight="1">
      <c r="A4" s="2008"/>
      <c r="B4" s="698" t="s">
        <v>2161</v>
      </c>
      <c r="C4" s="687"/>
      <c r="D4" s="696"/>
      <c r="E4" s="764"/>
    </row>
    <row r="5" spans="1:5" ht="11.25" customHeight="1">
      <c r="A5" s="2009"/>
      <c r="B5" s="698" t="s">
        <v>2156</v>
      </c>
      <c r="C5" s="2010" t="s">
        <v>2492</v>
      </c>
      <c r="D5" s="2011" t="s">
        <v>2726</v>
      </c>
      <c r="E5" s="764"/>
    </row>
    <row r="6" spans="1:5" s="1739" customFormat="1" ht="11.25" customHeight="1">
      <c r="A6" s="2012"/>
      <c r="B6" s="698" t="s">
        <v>2165</v>
      </c>
      <c r="C6" s="687"/>
      <c r="D6" s="696"/>
      <c r="E6" s="764"/>
    </row>
    <row r="7" spans="1:5" ht="11.25" customHeight="1">
      <c r="A7" s="2013"/>
      <c r="B7" s="698" t="s">
        <v>2172</v>
      </c>
      <c r="C7" s="687"/>
      <c r="D7" s="696"/>
      <c r="E7" s="764"/>
    </row>
    <row r="8" spans="1:5" ht="11.25" customHeight="1">
      <c r="A8" s="689"/>
      <c r="B8" s="698" t="s">
        <v>2167</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6"/>
  <sheetViews>
    <sheetView showGridLines="0" workbookViewId="0"/>
  </sheetViews>
  <sheetFormatPr defaultColWidth="9.140625" defaultRowHeight="11.25" customHeight="1"/>
  <cols>
    <col min="1" max="2" width="9.140625" style="1739"/>
  </cols>
  <sheetData>
    <row r="1" spans="1:9" ht="11.25" customHeight="1">
      <c r="A1" s="7" t="s">
        <v>2727</v>
      </c>
      <c r="B1" s="7" t="s">
        <v>2728</v>
      </c>
      <c r="C1" s="2" t="s">
        <v>2729</v>
      </c>
      <c r="D1" s="2" t="s">
        <v>2730</v>
      </c>
      <c r="E1" s="2" t="s">
        <v>2731</v>
      </c>
      <c r="F1" s="2" t="s">
        <v>2732</v>
      </c>
      <c r="G1" s="2" t="s">
        <v>2733</v>
      </c>
      <c r="H1" s="2" t="s">
        <v>2734</v>
      </c>
      <c r="I1" s="2" t="s">
        <v>2735</v>
      </c>
    </row>
    <row r="2" spans="1:9" ht="11.25" customHeight="1">
      <c r="A2" s="1739" t="s">
        <v>2736</v>
      </c>
      <c r="B2" s="1739" t="s">
        <v>3</v>
      </c>
      <c r="C2" s="2" t="s">
        <v>2737</v>
      </c>
      <c r="D2" s="2" t="s">
        <v>2738</v>
      </c>
      <c r="E2" s="2" t="s">
        <v>2739</v>
      </c>
      <c r="F2" s="2" t="s">
        <v>2740</v>
      </c>
      <c r="G2" s="2" t="s">
        <v>2741</v>
      </c>
      <c r="H2" s="2" t="s">
        <v>9</v>
      </c>
      <c r="I2" s="2" t="s">
        <v>1146</v>
      </c>
    </row>
    <row r="3" spans="1:9" ht="11.25" customHeight="1">
      <c r="A3" s="1739" t="s">
        <v>2736</v>
      </c>
      <c r="B3" s="1739" t="s">
        <v>3</v>
      </c>
      <c r="C3" t="s">
        <v>2742</v>
      </c>
      <c r="D3" t="s">
        <v>2743</v>
      </c>
      <c r="E3" t="s">
        <v>2744</v>
      </c>
      <c r="F3" t="s">
        <v>2745</v>
      </c>
      <c r="G3" t="s">
        <v>9</v>
      </c>
      <c r="H3" t="s">
        <v>9</v>
      </c>
      <c r="I3" t="s">
        <v>1146</v>
      </c>
    </row>
    <row r="4" spans="1:9" ht="11.25" customHeight="1">
      <c r="A4" s="1739" t="s">
        <v>2736</v>
      </c>
      <c r="B4" s="1739" t="s">
        <v>3</v>
      </c>
      <c r="C4" t="s">
        <v>2746</v>
      </c>
      <c r="D4" t="s">
        <v>2743</v>
      </c>
      <c r="E4" t="s">
        <v>2744</v>
      </c>
      <c r="F4" t="s">
        <v>2747</v>
      </c>
      <c r="G4" t="s">
        <v>9</v>
      </c>
      <c r="H4" t="s">
        <v>9</v>
      </c>
      <c r="I4" t="s">
        <v>1146</v>
      </c>
    </row>
    <row r="5" spans="1:9" ht="11.25" customHeight="1">
      <c r="A5" s="1739" t="s">
        <v>2736</v>
      </c>
      <c r="B5" s="1739" t="s">
        <v>3</v>
      </c>
      <c r="C5" t="s">
        <v>2748</v>
      </c>
      <c r="D5" t="s">
        <v>2749</v>
      </c>
      <c r="E5" t="s">
        <v>2750</v>
      </c>
      <c r="F5" t="s">
        <v>2751</v>
      </c>
      <c r="G5" t="s">
        <v>9</v>
      </c>
      <c r="H5" t="s">
        <v>9</v>
      </c>
      <c r="I5" t="s">
        <v>1146</v>
      </c>
    </row>
    <row r="6" spans="1:9" ht="11.25" customHeight="1">
      <c r="A6" s="1739" t="s">
        <v>2736</v>
      </c>
      <c r="B6" s="1739" t="s">
        <v>3</v>
      </c>
      <c r="C6" t="s">
        <v>2752</v>
      </c>
      <c r="D6" t="s">
        <v>2753</v>
      </c>
      <c r="E6" t="s">
        <v>2754</v>
      </c>
      <c r="F6" t="s">
        <v>2755</v>
      </c>
      <c r="G6" t="s">
        <v>9</v>
      </c>
      <c r="H6" t="s">
        <v>9</v>
      </c>
      <c r="I6" t="s">
        <v>1146</v>
      </c>
    </row>
    <row r="7" spans="1:9" ht="11.25" customHeight="1">
      <c r="A7" s="1739" t="s">
        <v>2736</v>
      </c>
      <c r="B7" s="1739" t="s">
        <v>3</v>
      </c>
      <c r="C7" t="s">
        <v>2756</v>
      </c>
      <c r="D7" t="s">
        <v>2757</v>
      </c>
      <c r="E7" t="s">
        <v>2758</v>
      </c>
      <c r="F7" t="s">
        <v>2759</v>
      </c>
      <c r="G7" t="s">
        <v>9</v>
      </c>
      <c r="H7" t="s">
        <v>9</v>
      </c>
      <c r="I7" t="s">
        <v>1146</v>
      </c>
    </row>
    <row r="8" spans="1:9" ht="11.25" customHeight="1">
      <c r="A8" s="1739" t="s">
        <v>2736</v>
      </c>
      <c r="B8" s="1739" t="s">
        <v>3</v>
      </c>
      <c r="C8" t="s">
        <v>2760</v>
      </c>
      <c r="D8" t="s">
        <v>2761</v>
      </c>
      <c r="E8" t="s">
        <v>2762</v>
      </c>
      <c r="F8" t="s">
        <v>2763</v>
      </c>
      <c r="G8" t="s">
        <v>9</v>
      </c>
      <c r="H8" t="s">
        <v>9</v>
      </c>
      <c r="I8" t="s">
        <v>1146</v>
      </c>
    </row>
    <row r="9" spans="1:9" ht="11.25" customHeight="1">
      <c r="A9" s="1739" t="s">
        <v>2736</v>
      </c>
      <c r="B9" s="1739" t="s">
        <v>3</v>
      </c>
      <c r="C9" t="s">
        <v>2764</v>
      </c>
      <c r="D9" t="s">
        <v>2765</v>
      </c>
      <c r="E9" t="s">
        <v>2766</v>
      </c>
      <c r="F9" t="s">
        <v>38</v>
      </c>
      <c r="G9" t="s">
        <v>9</v>
      </c>
      <c r="H9" t="s">
        <v>9</v>
      </c>
      <c r="I9" t="s">
        <v>1146</v>
      </c>
    </row>
    <row r="10" spans="1:9" ht="11.25" customHeight="1">
      <c r="A10" s="1739" t="s">
        <v>2736</v>
      </c>
      <c r="B10" s="1739" t="s">
        <v>3</v>
      </c>
      <c r="C10" t="s">
        <v>2767</v>
      </c>
      <c r="D10" t="s">
        <v>2768</v>
      </c>
      <c r="E10" t="s">
        <v>2769</v>
      </c>
      <c r="F10" t="s">
        <v>2747</v>
      </c>
      <c r="G10" t="s">
        <v>9</v>
      </c>
      <c r="H10" t="s">
        <v>9</v>
      </c>
      <c r="I10" t="s">
        <v>1146</v>
      </c>
    </row>
    <row r="11" spans="1:9" ht="11.25" customHeight="1">
      <c r="A11" s="1739" t="s">
        <v>2736</v>
      </c>
      <c r="B11" s="1739" t="s">
        <v>3</v>
      </c>
      <c r="C11" t="s">
        <v>2770</v>
      </c>
      <c r="D11" t="s">
        <v>2771</v>
      </c>
      <c r="E11" t="s">
        <v>2772</v>
      </c>
      <c r="F11" t="s">
        <v>2773</v>
      </c>
      <c r="G11" t="s">
        <v>9</v>
      </c>
      <c r="H11" t="s">
        <v>9</v>
      </c>
      <c r="I11" t="s">
        <v>1146</v>
      </c>
    </row>
    <row r="12" spans="1:9" ht="11.25" customHeight="1">
      <c r="A12" s="1739" t="s">
        <v>2736</v>
      </c>
      <c r="B12" s="1739" t="s">
        <v>3</v>
      </c>
      <c r="C12" t="s">
        <v>2774</v>
      </c>
      <c r="D12" t="s">
        <v>2775</v>
      </c>
      <c r="E12" t="s">
        <v>2776</v>
      </c>
      <c r="F12" t="s">
        <v>2777</v>
      </c>
      <c r="G12" t="s">
        <v>9</v>
      </c>
      <c r="H12" t="s">
        <v>9</v>
      </c>
      <c r="I12" t="s">
        <v>1146</v>
      </c>
    </row>
    <row r="13" spans="1:9" ht="11.25" customHeight="1">
      <c r="A13" s="1739" t="s">
        <v>2736</v>
      </c>
      <c r="B13" s="1739" t="s">
        <v>3</v>
      </c>
      <c r="C13" t="s">
        <v>2778</v>
      </c>
      <c r="D13" t="s">
        <v>2779</v>
      </c>
      <c r="E13" t="s">
        <v>2780</v>
      </c>
      <c r="F13" t="s">
        <v>2781</v>
      </c>
      <c r="G13" t="s">
        <v>9</v>
      </c>
      <c r="H13" t="s">
        <v>9</v>
      </c>
      <c r="I13" t="s">
        <v>1146</v>
      </c>
    </row>
    <row r="14" spans="1:9" ht="11.25" customHeight="1">
      <c r="A14" s="1739" t="s">
        <v>2736</v>
      </c>
      <c r="B14" s="1739" t="s">
        <v>3</v>
      </c>
      <c r="C14" t="s">
        <v>2782</v>
      </c>
      <c r="D14" t="s">
        <v>2783</v>
      </c>
      <c r="E14" t="s">
        <v>2784</v>
      </c>
      <c r="F14" t="s">
        <v>2755</v>
      </c>
      <c r="G14" t="s">
        <v>9</v>
      </c>
      <c r="H14" t="s">
        <v>9</v>
      </c>
      <c r="I14" t="s">
        <v>1146</v>
      </c>
    </row>
    <row r="15" spans="1:9" ht="11.25" customHeight="1">
      <c r="A15" s="1739" t="s">
        <v>2736</v>
      </c>
      <c r="B15" s="1739" t="s">
        <v>3</v>
      </c>
      <c r="C15" t="s">
        <v>2785</v>
      </c>
      <c r="D15" t="s">
        <v>2786</v>
      </c>
      <c r="E15" t="s">
        <v>2787</v>
      </c>
      <c r="F15" t="s">
        <v>2788</v>
      </c>
      <c r="G15" t="s">
        <v>2789</v>
      </c>
      <c r="H15" t="s">
        <v>9</v>
      </c>
      <c r="I15" t="s">
        <v>1146</v>
      </c>
    </row>
    <row r="16" spans="1:9" ht="11.25" customHeight="1">
      <c r="A16" s="1739" t="s">
        <v>2736</v>
      </c>
      <c r="B16" s="1739" t="s">
        <v>3</v>
      </c>
      <c r="C16" t="s">
        <v>2790</v>
      </c>
      <c r="D16" t="s">
        <v>2791</v>
      </c>
      <c r="E16" t="s">
        <v>2792</v>
      </c>
      <c r="F16" t="s">
        <v>2793</v>
      </c>
      <c r="G16" t="s">
        <v>9</v>
      </c>
      <c r="H16" t="s">
        <v>9</v>
      </c>
      <c r="I16" t="s">
        <v>1146</v>
      </c>
    </row>
    <row r="17" spans="1:9" ht="11.25" customHeight="1">
      <c r="A17" s="1739" t="s">
        <v>2736</v>
      </c>
      <c r="B17" s="1739" t="s">
        <v>3</v>
      </c>
      <c r="C17" t="s">
        <v>2794</v>
      </c>
      <c r="D17" t="s">
        <v>2795</v>
      </c>
      <c r="E17" t="s">
        <v>2796</v>
      </c>
      <c r="F17" t="s">
        <v>2797</v>
      </c>
      <c r="G17" t="s">
        <v>9</v>
      </c>
      <c r="H17" t="s">
        <v>9</v>
      </c>
      <c r="I17" t="s">
        <v>1146</v>
      </c>
    </row>
    <row r="18" spans="1:9" ht="11.25" customHeight="1">
      <c r="A18" s="1739" t="s">
        <v>2736</v>
      </c>
      <c r="B18" s="1739" t="s">
        <v>3</v>
      </c>
      <c r="C18" t="s">
        <v>2798</v>
      </c>
      <c r="D18" t="s">
        <v>2799</v>
      </c>
      <c r="E18" t="s">
        <v>2800</v>
      </c>
      <c r="F18" t="s">
        <v>2801</v>
      </c>
      <c r="G18" t="s">
        <v>9</v>
      </c>
      <c r="H18" t="s">
        <v>9</v>
      </c>
      <c r="I18" t="s">
        <v>1146</v>
      </c>
    </row>
    <row r="19" spans="1:9" ht="11.25" customHeight="1">
      <c r="A19" s="1739" t="s">
        <v>2736</v>
      </c>
      <c r="B19" s="1739" t="s">
        <v>3</v>
      </c>
      <c r="C19" t="s">
        <v>2802</v>
      </c>
      <c r="D19" t="s">
        <v>2803</v>
      </c>
      <c r="E19" t="s">
        <v>2804</v>
      </c>
      <c r="F19" t="s">
        <v>2805</v>
      </c>
      <c r="G19" t="s">
        <v>9</v>
      </c>
      <c r="H19" t="s">
        <v>9</v>
      </c>
      <c r="I19" t="s">
        <v>1146</v>
      </c>
    </row>
    <row r="20" spans="1:9" ht="11.25" customHeight="1">
      <c r="A20" s="1739" t="s">
        <v>2736</v>
      </c>
      <c r="B20" s="1739" t="s">
        <v>3</v>
      </c>
      <c r="C20" t="s">
        <v>2806</v>
      </c>
      <c r="D20" t="s">
        <v>2807</v>
      </c>
      <c r="E20" t="s">
        <v>2808</v>
      </c>
      <c r="F20" t="s">
        <v>38</v>
      </c>
      <c r="G20" t="s">
        <v>9</v>
      </c>
      <c r="H20" t="s">
        <v>9</v>
      </c>
      <c r="I20" t="s">
        <v>1146</v>
      </c>
    </row>
    <row r="21" spans="1:9" ht="11.25" customHeight="1">
      <c r="A21" s="1739" t="s">
        <v>2736</v>
      </c>
      <c r="B21" s="1739" t="s">
        <v>3</v>
      </c>
      <c r="C21" t="s">
        <v>2809</v>
      </c>
      <c r="D21" t="s">
        <v>2810</v>
      </c>
      <c r="E21" t="s">
        <v>2811</v>
      </c>
      <c r="F21" t="s">
        <v>38</v>
      </c>
      <c r="G21" t="s">
        <v>9</v>
      </c>
      <c r="H21" t="s">
        <v>9</v>
      </c>
      <c r="I21" t="s">
        <v>1146</v>
      </c>
    </row>
    <row r="22" spans="1:9" ht="11.25" customHeight="1">
      <c r="A22" s="1739" t="s">
        <v>2736</v>
      </c>
      <c r="B22" s="1739" t="s">
        <v>3</v>
      </c>
      <c r="C22" t="s">
        <v>2812</v>
      </c>
      <c r="D22" t="s">
        <v>2813</v>
      </c>
      <c r="E22" t="s">
        <v>2814</v>
      </c>
      <c r="F22" t="s">
        <v>624</v>
      </c>
      <c r="G22" t="s">
        <v>9</v>
      </c>
      <c r="H22" t="s">
        <v>9</v>
      </c>
      <c r="I22" t="s">
        <v>1146</v>
      </c>
    </row>
    <row r="23" spans="1:9" ht="11.25" customHeight="1">
      <c r="A23" s="1739" t="s">
        <v>2736</v>
      </c>
      <c r="B23" s="1739" t="s">
        <v>3</v>
      </c>
      <c r="C23" t="s">
        <v>2815</v>
      </c>
      <c r="D23" t="s">
        <v>2816</v>
      </c>
      <c r="E23" t="s">
        <v>2817</v>
      </c>
      <c r="F23" t="s">
        <v>624</v>
      </c>
      <c r="G23" t="s">
        <v>9</v>
      </c>
      <c r="H23" t="s">
        <v>9</v>
      </c>
      <c r="I23" t="s">
        <v>1146</v>
      </c>
    </row>
    <row r="24" spans="1:9" ht="11.25" customHeight="1">
      <c r="A24" s="1739" t="s">
        <v>2736</v>
      </c>
      <c r="B24" s="1739" t="s">
        <v>3</v>
      </c>
      <c r="C24" t="s">
        <v>2818</v>
      </c>
      <c r="D24" t="s">
        <v>2819</v>
      </c>
      <c r="E24" t="s">
        <v>2820</v>
      </c>
      <c r="F24" t="s">
        <v>624</v>
      </c>
      <c r="G24" t="s">
        <v>9</v>
      </c>
      <c r="H24" t="s">
        <v>9</v>
      </c>
      <c r="I24" t="s">
        <v>1146</v>
      </c>
    </row>
    <row r="25" spans="1:9" ht="11.25" customHeight="1">
      <c r="A25" s="1739" t="s">
        <v>2736</v>
      </c>
      <c r="B25" s="1739" t="s">
        <v>3</v>
      </c>
      <c r="C25" t="s">
        <v>2821</v>
      </c>
      <c r="D25" t="s">
        <v>2822</v>
      </c>
      <c r="E25" t="s">
        <v>2823</v>
      </c>
      <c r="F25" t="s">
        <v>624</v>
      </c>
      <c r="G25" t="s">
        <v>9</v>
      </c>
      <c r="H25" t="s">
        <v>9</v>
      </c>
      <c r="I25" t="s">
        <v>1146</v>
      </c>
    </row>
    <row r="26" spans="1:9" ht="11.25" customHeight="1">
      <c r="A26" s="1739" t="s">
        <v>2736</v>
      </c>
      <c r="B26" s="1739" t="s">
        <v>3</v>
      </c>
      <c r="C26" t="s">
        <v>2824</v>
      </c>
      <c r="D26" t="s">
        <v>2825</v>
      </c>
      <c r="E26" t="s">
        <v>2826</v>
      </c>
      <c r="F26" t="s">
        <v>624</v>
      </c>
      <c r="G26" t="s">
        <v>9</v>
      </c>
      <c r="H26" t="s">
        <v>9</v>
      </c>
      <c r="I26" t="s">
        <v>1146</v>
      </c>
    </row>
    <row r="27" spans="1:9" ht="11.25" customHeight="1">
      <c r="A27" s="1739" t="s">
        <v>2736</v>
      </c>
      <c r="B27" s="1739" t="s">
        <v>3</v>
      </c>
      <c r="C27" t="s">
        <v>2827</v>
      </c>
      <c r="D27" t="s">
        <v>2828</v>
      </c>
      <c r="E27" t="s">
        <v>2829</v>
      </c>
      <c r="F27" t="s">
        <v>2830</v>
      </c>
      <c r="G27" t="s">
        <v>9</v>
      </c>
      <c r="H27" t="s">
        <v>9</v>
      </c>
      <c r="I27" t="s">
        <v>1146</v>
      </c>
    </row>
    <row r="28" spans="1:9" ht="11.25" customHeight="1">
      <c r="A28" s="1739" t="s">
        <v>2736</v>
      </c>
      <c r="B28" s="1739" t="s">
        <v>3</v>
      </c>
      <c r="C28" t="s">
        <v>2831</v>
      </c>
      <c r="D28" t="s">
        <v>2832</v>
      </c>
      <c r="E28" t="s">
        <v>2833</v>
      </c>
      <c r="F28" t="s">
        <v>2830</v>
      </c>
      <c r="G28" t="s">
        <v>9</v>
      </c>
      <c r="H28" t="s">
        <v>9</v>
      </c>
      <c r="I28" t="s">
        <v>1146</v>
      </c>
    </row>
    <row r="29" spans="1:9" ht="11.25" customHeight="1">
      <c r="A29" s="1739" t="s">
        <v>2736</v>
      </c>
      <c r="B29" s="1739" t="s">
        <v>3</v>
      </c>
      <c r="C29" t="s">
        <v>2834</v>
      </c>
      <c r="D29" t="s">
        <v>2835</v>
      </c>
      <c r="E29" t="s">
        <v>2836</v>
      </c>
      <c r="F29" t="s">
        <v>2837</v>
      </c>
      <c r="G29" t="s">
        <v>9</v>
      </c>
      <c r="H29" t="s">
        <v>9</v>
      </c>
      <c r="I29" t="s">
        <v>1146</v>
      </c>
    </row>
    <row r="30" spans="1:9" ht="11.25" customHeight="1">
      <c r="A30" s="1739" t="s">
        <v>2736</v>
      </c>
      <c r="B30" s="1739" t="s">
        <v>3</v>
      </c>
      <c r="C30" t="s">
        <v>2838</v>
      </c>
      <c r="D30" t="s">
        <v>2839</v>
      </c>
      <c r="E30" t="s">
        <v>2840</v>
      </c>
      <c r="F30" t="s">
        <v>2841</v>
      </c>
      <c r="G30" t="s">
        <v>2842</v>
      </c>
      <c r="H30" t="s">
        <v>9</v>
      </c>
      <c r="I30" t="s">
        <v>1146</v>
      </c>
    </row>
    <row r="31" spans="1:9" ht="11.25" customHeight="1">
      <c r="A31" s="1739" t="s">
        <v>2736</v>
      </c>
      <c r="B31" s="1739" t="s">
        <v>3</v>
      </c>
      <c r="C31" t="s">
        <v>9</v>
      </c>
      <c r="D31" t="s">
        <v>2843</v>
      </c>
      <c r="E31" t="s">
        <v>2844</v>
      </c>
      <c r="F31" t="s">
        <v>2788</v>
      </c>
      <c r="G31" t="s">
        <v>9</v>
      </c>
      <c r="H31" t="s">
        <v>9</v>
      </c>
      <c r="I31" t="s">
        <v>1146</v>
      </c>
    </row>
    <row r="32" spans="1:9" ht="11.25" customHeight="1">
      <c r="A32" s="1739" t="s">
        <v>2736</v>
      </c>
      <c r="B32" s="1739" t="s">
        <v>3</v>
      </c>
      <c r="C32" t="s">
        <v>2845</v>
      </c>
      <c r="D32" t="s">
        <v>2846</v>
      </c>
      <c r="E32" t="s">
        <v>2847</v>
      </c>
      <c r="F32" t="s">
        <v>2848</v>
      </c>
      <c r="G32" t="s">
        <v>9</v>
      </c>
      <c r="H32" t="s">
        <v>9</v>
      </c>
      <c r="I32" t="s">
        <v>1146</v>
      </c>
    </row>
    <row r="33" spans="1:9" ht="11.25" customHeight="1">
      <c r="A33" s="1739" t="s">
        <v>2736</v>
      </c>
      <c r="B33" s="1739" t="s">
        <v>3</v>
      </c>
      <c r="C33" t="s">
        <v>2849</v>
      </c>
      <c r="D33" t="s">
        <v>2850</v>
      </c>
      <c r="E33" t="s">
        <v>2851</v>
      </c>
      <c r="F33" t="s">
        <v>2852</v>
      </c>
      <c r="G33" t="s">
        <v>9</v>
      </c>
      <c r="H33" t="s">
        <v>9</v>
      </c>
      <c r="I33" t="s">
        <v>1146</v>
      </c>
    </row>
    <row r="34" spans="1:9" ht="11.25" customHeight="1">
      <c r="A34" s="1739" t="s">
        <v>2736</v>
      </c>
      <c r="B34" s="1739" t="s">
        <v>3</v>
      </c>
      <c r="C34" t="s">
        <v>2853</v>
      </c>
      <c r="D34" t="s">
        <v>2854</v>
      </c>
      <c r="E34" t="s">
        <v>2855</v>
      </c>
      <c r="F34" t="s">
        <v>2773</v>
      </c>
      <c r="G34" t="s">
        <v>9</v>
      </c>
      <c r="H34" t="s">
        <v>9</v>
      </c>
      <c r="I34" t="s">
        <v>1146</v>
      </c>
    </row>
    <row r="35" spans="1:9" ht="11.25" customHeight="1">
      <c r="A35" s="1739" t="s">
        <v>2736</v>
      </c>
      <c r="B35" s="1739" t="s">
        <v>3</v>
      </c>
      <c r="C35" t="s">
        <v>2856</v>
      </c>
      <c r="D35" t="s">
        <v>2857</v>
      </c>
      <c r="E35" t="s">
        <v>2858</v>
      </c>
      <c r="F35" t="s">
        <v>2859</v>
      </c>
      <c r="G35" t="s">
        <v>9</v>
      </c>
      <c r="H35" t="s">
        <v>9</v>
      </c>
      <c r="I35" t="s">
        <v>1146</v>
      </c>
    </row>
    <row r="36" spans="1:9" ht="11.25" customHeight="1">
      <c r="A36" s="1739" t="s">
        <v>2736</v>
      </c>
      <c r="B36" s="1739" t="s">
        <v>3</v>
      </c>
      <c r="C36" t="s">
        <v>2860</v>
      </c>
      <c r="D36" t="s">
        <v>2861</v>
      </c>
      <c r="E36" t="s">
        <v>2862</v>
      </c>
      <c r="F36" t="s">
        <v>2863</v>
      </c>
      <c r="G36" t="s">
        <v>9</v>
      </c>
      <c r="H36" t="s">
        <v>9</v>
      </c>
      <c r="I36" t="s">
        <v>1146</v>
      </c>
    </row>
    <row r="37" spans="1:9" ht="11.25" customHeight="1">
      <c r="A37" s="1739" t="s">
        <v>2736</v>
      </c>
      <c r="B37" s="1739" t="s">
        <v>3</v>
      </c>
      <c r="C37" t="s">
        <v>2864</v>
      </c>
      <c r="D37" t="s">
        <v>2865</v>
      </c>
      <c r="E37" t="s">
        <v>2866</v>
      </c>
      <c r="F37" t="s">
        <v>2867</v>
      </c>
      <c r="G37" t="s">
        <v>9</v>
      </c>
      <c r="H37" t="s">
        <v>9</v>
      </c>
      <c r="I37" t="s">
        <v>1146</v>
      </c>
    </row>
    <row r="38" spans="1:9" ht="11.25" customHeight="1">
      <c r="A38" s="1739" t="s">
        <v>2736</v>
      </c>
      <c r="B38" s="1739" t="s">
        <v>3</v>
      </c>
      <c r="C38" t="s">
        <v>2868</v>
      </c>
      <c r="D38" t="s">
        <v>2869</v>
      </c>
      <c r="E38" t="s">
        <v>2870</v>
      </c>
      <c r="F38" t="s">
        <v>2863</v>
      </c>
      <c r="G38" t="s">
        <v>9</v>
      </c>
      <c r="H38" t="s">
        <v>9</v>
      </c>
      <c r="I38" t="s">
        <v>1146</v>
      </c>
    </row>
    <row r="39" spans="1:9" ht="11.25" customHeight="1">
      <c r="A39" s="1739" t="s">
        <v>2736</v>
      </c>
      <c r="B39" s="1739" t="s">
        <v>3</v>
      </c>
      <c r="C39" t="s">
        <v>2871</v>
      </c>
      <c r="D39" t="s">
        <v>2872</v>
      </c>
      <c r="E39" t="s">
        <v>2873</v>
      </c>
      <c r="F39" t="s">
        <v>2763</v>
      </c>
      <c r="G39" t="s">
        <v>9</v>
      </c>
      <c r="H39" t="s">
        <v>9</v>
      </c>
      <c r="I39" t="s">
        <v>1146</v>
      </c>
    </row>
    <row r="40" spans="1:9" ht="11.25" customHeight="1">
      <c r="A40" s="1739" t="s">
        <v>2736</v>
      </c>
      <c r="B40" s="1739" t="s">
        <v>3</v>
      </c>
      <c r="C40" t="s">
        <v>2874</v>
      </c>
      <c r="D40" t="s">
        <v>2875</v>
      </c>
      <c r="E40" t="s">
        <v>2876</v>
      </c>
      <c r="F40" t="s">
        <v>2763</v>
      </c>
      <c r="G40" t="s">
        <v>2877</v>
      </c>
      <c r="H40" t="s">
        <v>9</v>
      </c>
      <c r="I40" t="s">
        <v>1146</v>
      </c>
    </row>
    <row r="41" spans="1:9" ht="11.25" customHeight="1">
      <c r="A41" s="1739" t="s">
        <v>2736</v>
      </c>
      <c r="B41" s="1739" t="s">
        <v>3</v>
      </c>
      <c r="C41" t="s">
        <v>2878</v>
      </c>
      <c r="D41" t="s">
        <v>2879</v>
      </c>
      <c r="E41" t="s">
        <v>2880</v>
      </c>
      <c r="F41" t="s">
        <v>2797</v>
      </c>
      <c r="G41" t="s">
        <v>9</v>
      </c>
      <c r="H41" t="s">
        <v>2881</v>
      </c>
      <c r="I41" t="s">
        <v>1146</v>
      </c>
    </row>
    <row r="42" spans="1:9" ht="11.25" customHeight="1">
      <c r="A42" s="1739" t="s">
        <v>2736</v>
      </c>
      <c r="B42" s="1739" t="s">
        <v>3</v>
      </c>
      <c r="C42" t="s">
        <v>2882</v>
      </c>
      <c r="D42" t="s">
        <v>2879</v>
      </c>
      <c r="E42" t="s">
        <v>2883</v>
      </c>
      <c r="F42" t="s">
        <v>2797</v>
      </c>
      <c r="G42" t="s">
        <v>9</v>
      </c>
      <c r="H42" t="s">
        <v>2881</v>
      </c>
      <c r="I42" t="s">
        <v>1146</v>
      </c>
    </row>
    <row r="43" spans="1:9" ht="11.25" customHeight="1">
      <c r="A43" s="1739" t="s">
        <v>2736</v>
      </c>
      <c r="B43" s="1739" t="s">
        <v>3</v>
      </c>
      <c r="C43" t="s">
        <v>2884</v>
      </c>
      <c r="D43" t="s">
        <v>2885</v>
      </c>
      <c r="E43" t="s">
        <v>2886</v>
      </c>
      <c r="F43" t="s">
        <v>2852</v>
      </c>
      <c r="G43" t="s">
        <v>9</v>
      </c>
      <c r="H43" t="s">
        <v>2887</v>
      </c>
      <c r="I43" t="s">
        <v>1146</v>
      </c>
    </row>
    <row r="44" spans="1:9" ht="11.25" customHeight="1">
      <c r="A44" s="1739" t="s">
        <v>2736</v>
      </c>
      <c r="B44" s="1739" t="s">
        <v>3</v>
      </c>
      <c r="C44" t="s">
        <v>2888</v>
      </c>
      <c r="D44" t="s">
        <v>2885</v>
      </c>
      <c r="E44" t="s">
        <v>2889</v>
      </c>
      <c r="F44" t="s">
        <v>2890</v>
      </c>
      <c r="G44" t="s">
        <v>9</v>
      </c>
      <c r="H44" t="s">
        <v>9</v>
      </c>
      <c r="I44" t="s">
        <v>1146</v>
      </c>
    </row>
    <row r="45" spans="1:9" ht="11.25" customHeight="1">
      <c r="A45" s="1739" t="s">
        <v>2736</v>
      </c>
      <c r="B45" s="1739" t="s">
        <v>3</v>
      </c>
      <c r="C45" t="s">
        <v>2891</v>
      </c>
      <c r="D45" t="s">
        <v>2885</v>
      </c>
      <c r="E45" t="s">
        <v>2892</v>
      </c>
      <c r="F45" t="s">
        <v>2893</v>
      </c>
      <c r="G45" t="s">
        <v>9</v>
      </c>
      <c r="H45" t="s">
        <v>9</v>
      </c>
      <c r="I45" t="s">
        <v>1146</v>
      </c>
    </row>
    <row r="46" spans="1:9" ht="11.25" customHeight="1">
      <c r="A46" s="1739" t="s">
        <v>2736</v>
      </c>
      <c r="B46" s="1739" t="s">
        <v>3</v>
      </c>
      <c r="C46" t="s">
        <v>2894</v>
      </c>
      <c r="D46" t="s">
        <v>2885</v>
      </c>
      <c r="E46" t="s">
        <v>2895</v>
      </c>
      <c r="F46" t="s">
        <v>2896</v>
      </c>
      <c r="G46" t="s">
        <v>9</v>
      </c>
      <c r="H46" t="s">
        <v>9</v>
      </c>
      <c r="I46" t="s">
        <v>1146</v>
      </c>
    </row>
    <row r="47" spans="1:9" ht="11.25" customHeight="1">
      <c r="A47" s="1739" t="s">
        <v>2736</v>
      </c>
      <c r="B47" s="1739" t="s">
        <v>3</v>
      </c>
      <c r="C47" t="s">
        <v>2897</v>
      </c>
      <c r="D47" t="s">
        <v>2885</v>
      </c>
      <c r="E47" t="s">
        <v>2898</v>
      </c>
      <c r="F47" t="s">
        <v>2867</v>
      </c>
      <c r="G47" t="s">
        <v>9</v>
      </c>
      <c r="H47" t="s">
        <v>9</v>
      </c>
      <c r="I47" t="s">
        <v>1146</v>
      </c>
    </row>
    <row r="48" spans="1:9" ht="11.25" customHeight="1">
      <c r="A48" s="1739" t="s">
        <v>2736</v>
      </c>
      <c r="B48" s="1739" t="s">
        <v>3</v>
      </c>
      <c r="C48" t="s">
        <v>2899</v>
      </c>
      <c r="D48" t="s">
        <v>2900</v>
      </c>
      <c r="E48" t="s">
        <v>2901</v>
      </c>
      <c r="F48" t="s">
        <v>2797</v>
      </c>
      <c r="G48" t="s">
        <v>9</v>
      </c>
      <c r="H48" t="s">
        <v>9</v>
      </c>
      <c r="I48" t="s">
        <v>1146</v>
      </c>
    </row>
    <row r="49" spans="1:9" ht="11.25" customHeight="1">
      <c r="A49" s="1739" t="s">
        <v>2736</v>
      </c>
      <c r="B49" s="1739" t="s">
        <v>3</v>
      </c>
      <c r="C49" t="s">
        <v>2902</v>
      </c>
      <c r="D49" t="s">
        <v>2903</v>
      </c>
      <c r="E49" t="s">
        <v>2904</v>
      </c>
      <c r="F49" t="s">
        <v>2763</v>
      </c>
      <c r="G49" t="s">
        <v>9</v>
      </c>
      <c r="H49" t="s">
        <v>9</v>
      </c>
      <c r="I49" t="s">
        <v>1146</v>
      </c>
    </row>
    <row r="50" spans="1:9" ht="11.25" customHeight="1">
      <c r="A50" s="1739" t="s">
        <v>2736</v>
      </c>
      <c r="B50" s="1739" t="s">
        <v>3</v>
      </c>
      <c r="C50" t="s">
        <v>2905</v>
      </c>
      <c r="D50" t="s">
        <v>2906</v>
      </c>
      <c r="E50" t="s">
        <v>2907</v>
      </c>
      <c r="F50" t="s">
        <v>2773</v>
      </c>
      <c r="G50" t="s">
        <v>9</v>
      </c>
      <c r="H50" t="s">
        <v>9</v>
      </c>
      <c r="I50" t="s">
        <v>1146</v>
      </c>
    </row>
    <row r="51" spans="1:9" ht="11.25" customHeight="1">
      <c r="A51" s="1739" t="s">
        <v>2736</v>
      </c>
      <c r="B51" s="1739" t="s">
        <v>3</v>
      </c>
      <c r="C51" t="s">
        <v>2908</v>
      </c>
      <c r="D51" t="s">
        <v>2909</v>
      </c>
      <c r="E51" t="s">
        <v>2910</v>
      </c>
      <c r="F51" t="s">
        <v>2763</v>
      </c>
      <c r="G51" t="s">
        <v>2911</v>
      </c>
      <c r="H51" t="s">
        <v>9</v>
      </c>
      <c r="I51" t="s">
        <v>1146</v>
      </c>
    </row>
    <row r="52" spans="1:9" ht="11.25" customHeight="1">
      <c r="A52" s="1739" t="s">
        <v>2736</v>
      </c>
      <c r="B52" s="1739" t="s">
        <v>3</v>
      </c>
      <c r="C52" t="s">
        <v>2912</v>
      </c>
      <c r="D52" t="s">
        <v>2913</v>
      </c>
      <c r="E52" t="s">
        <v>2914</v>
      </c>
      <c r="F52" t="s">
        <v>2848</v>
      </c>
      <c r="G52" t="s">
        <v>9</v>
      </c>
      <c r="H52" t="s">
        <v>9</v>
      </c>
      <c r="I52" t="s">
        <v>1146</v>
      </c>
    </row>
    <row r="53" spans="1:9" ht="11.25" customHeight="1">
      <c r="A53" s="1739" t="s">
        <v>2736</v>
      </c>
      <c r="B53" s="1739" t="s">
        <v>3</v>
      </c>
      <c r="C53" t="s">
        <v>2915</v>
      </c>
      <c r="D53" t="s">
        <v>2916</v>
      </c>
      <c r="E53" t="s">
        <v>2917</v>
      </c>
      <c r="F53" t="s">
        <v>2788</v>
      </c>
      <c r="G53" t="s">
        <v>9</v>
      </c>
      <c r="H53" t="s">
        <v>9</v>
      </c>
      <c r="I53" t="s">
        <v>1146</v>
      </c>
    </row>
    <row r="54" spans="1:9" ht="11.25" customHeight="1">
      <c r="A54" s="1739" t="s">
        <v>2736</v>
      </c>
      <c r="B54" s="1739" t="s">
        <v>3</v>
      </c>
      <c r="C54" t="s">
        <v>2918</v>
      </c>
      <c r="D54" t="s">
        <v>2919</v>
      </c>
      <c r="E54" t="s">
        <v>2920</v>
      </c>
      <c r="F54" t="s">
        <v>2921</v>
      </c>
      <c r="G54" t="s">
        <v>9</v>
      </c>
      <c r="H54" t="s">
        <v>9</v>
      </c>
      <c r="I54" t="s">
        <v>1146</v>
      </c>
    </row>
    <row r="55" spans="1:9" ht="11.25" customHeight="1">
      <c r="A55" s="1739" t="s">
        <v>2736</v>
      </c>
      <c r="B55" s="1739" t="s">
        <v>3</v>
      </c>
      <c r="C55" t="s">
        <v>2922</v>
      </c>
      <c r="D55" t="s">
        <v>2923</v>
      </c>
      <c r="E55" t="s">
        <v>2924</v>
      </c>
      <c r="F55" t="s">
        <v>2859</v>
      </c>
      <c r="G55" t="s">
        <v>2925</v>
      </c>
      <c r="H55" t="s">
        <v>9</v>
      </c>
      <c r="I55" t="s">
        <v>1146</v>
      </c>
    </row>
    <row r="56" spans="1:9" ht="11.25" customHeight="1">
      <c r="A56" s="1739" t="s">
        <v>2736</v>
      </c>
      <c r="B56" s="1739" t="s">
        <v>3</v>
      </c>
      <c r="C56" t="s">
        <v>2926</v>
      </c>
      <c r="D56" t="s">
        <v>2927</v>
      </c>
      <c r="E56" t="s">
        <v>2928</v>
      </c>
      <c r="F56" t="s">
        <v>2763</v>
      </c>
      <c r="G56" t="s">
        <v>9</v>
      </c>
      <c r="H56" t="s">
        <v>9</v>
      </c>
      <c r="I56" t="s">
        <v>1146</v>
      </c>
    </row>
    <row r="57" spans="1:9" ht="11.25" customHeight="1">
      <c r="A57" s="1739" t="s">
        <v>2736</v>
      </c>
      <c r="B57" s="1739" t="s">
        <v>3</v>
      </c>
      <c r="C57" t="s">
        <v>2929</v>
      </c>
      <c r="D57" t="s">
        <v>2930</v>
      </c>
      <c r="E57" t="s">
        <v>2931</v>
      </c>
      <c r="F57" t="s">
        <v>2740</v>
      </c>
      <c r="G57" t="s">
        <v>2932</v>
      </c>
      <c r="H57" t="s">
        <v>2933</v>
      </c>
      <c r="I57" t="s">
        <v>1146</v>
      </c>
    </row>
    <row r="58" spans="1:9" ht="11.25" customHeight="1">
      <c r="A58" s="1739" t="s">
        <v>2736</v>
      </c>
      <c r="B58" s="1739" t="s">
        <v>3</v>
      </c>
      <c r="C58" t="s">
        <v>2934</v>
      </c>
      <c r="D58" t="s">
        <v>2935</v>
      </c>
      <c r="E58" t="s">
        <v>2936</v>
      </c>
      <c r="F58" t="s">
        <v>2937</v>
      </c>
      <c r="G58" t="s">
        <v>9</v>
      </c>
      <c r="H58" t="s">
        <v>9</v>
      </c>
      <c r="I58" t="s">
        <v>1146</v>
      </c>
    </row>
    <row r="59" spans="1:9" ht="11.25" customHeight="1">
      <c r="A59" s="1739" t="s">
        <v>2736</v>
      </c>
      <c r="B59" s="1739" t="s">
        <v>3</v>
      </c>
      <c r="C59" t="s">
        <v>2938</v>
      </c>
      <c r="D59" t="s">
        <v>2939</v>
      </c>
      <c r="E59" t="s">
        <v>2940</v>
      </c>
      <c r="F59" t="s">
        <v>2852</v>
      </c>
      <c r="G59" t="s">
        <v>9</v>
      </c>
      <c r="H59" t="s">
        <v>9</v>
      </c>
      <c r="I59" t="s">
        <v>1146</v>
      </c>
    </row>
    <row r="60" spans="1:9" ht="11.25" customHeight="1">
      <c r="A60" s="1739" t="s">
        <v>2736</v>
      </c>
      <c r="B60" s="1739" t="s">
        <v>3</v>
      </c>
      <c r="C60" t="s">
        <v>2941</v>
      </c>
      <c r="D60" t="s">
        <v>2942</v>
      </c>
      <c r="E60" t="s">
        <v>2943</v>
      </c>
      <c r="F60" t="s">
        <v>2837</v>
      </c>
      <c r="G60" t="s">
        <v>9</v>
      </c>
      <c r="H60" t="s">
        <v>2944</v>
      </c>
      <c r="I60" t="s">
        <v>1146</v>
      </c>
    </row>
    <row r="61" spans="1:9" ht="11.25" customHeight="1">
      <c r="A61" s="1739" t="s">
        <v>2736</v>
      </c>
      <c r="B61" s="1739" t="s">
        <v>3</v>
      </c>
      <c r="C61" t="s">
        <v>2945</v>
      </c>
      <c r="D61" t="s">
        <v>2946</v>
      </c>
      <c r="E61" t="s">
        <v>2947</v>
      </c>
      <c r="F61" t="s">
        <v>2763</v>
      </c>
      <c r="G61" t="s">
        <v>9</v>
      </c>
      <c r="H61" t="s">
        <v>9</v>
      </c>
      <c r="I61" t="s">
        <v>1146</v>
      </c>
    </row>
    <row r="62" spans="1:9" ht="11.25" customHeight="1">
      <c r="A62" s="1739" t="s">
        <v>2736</v>
      </c>
      <c r="B62" s="1739" t="s">
        <v>3</v>
      </c>
      <c r="C62" t="s">
        <v>2948</v>
      </c>
      <c r="D62" t="s">
        <v>2949</v>
      </c>
      <c r="E62" t="s">
        <v>2950</v>
      </c>
      <c r="F62" t="s">
        <v>2848</v>
      </c>
      <c r="G62" t="s">
        <v>9</v>
      </c>
      <c r="H62" t="s">
        <v>9</v>
      </c>
      <c r="I62" t="s">
        <v>1146</v>
      </c>
    </row>
    <row r="63" spans="1:9" ht="11.25" customHeight="1">
      <c r="A63" s="1739" t="s">
        <v>2736</v>
      </c>
      <c r="B63" s="1739" t="s">
        <v>3</v>
      </c>
      <c r="C63" t="s">
        <v>2951</v>
      </c>
      <c r="D63" t="s">
        <v>2952</v>
      </c>
      <c r="E63" t="s">
        <v>2953</v>
      </c>
      <c r="F63" t="s">
        <v>2848</v>
      </c>
      <c r="G63" t="s">
        <v>9</v>
      </c>
      <c r="H63" t="s">
        <v>9</v>
      </c>
      <c r="I63" t="s">
        <v>1146</v>
      </c>
    </row>
    <row r="64" spans="1:9" ht="11.25" customHeight="1">
      <c r="A64" s="1739" t="s">
        <v>2736</v>
      </c>
      <c r="B64" s="1739" t="s">
        <v>3</v>
      </c>
      <c r="C64" t="s">
        <v>2954</v>
      </c>
      <c r="D64" t="s">
        <v>2955</v>
      </c>
      <c r="E64" t="s">
        <v>2956</v>
      </c>
      <c r="F64" t="s">
        <v>2848</v>
      </c>
      <c r="G64" t="s">
        <v>9</v>
      </c>
      <c r="H64" t="s">
        <v>9</v>
      </c>
      <c r="I64" t="s">
        <v>1146</v>
      </c>
    </row>
    <row r="65" spans="1:9" ht="11.25" customHeight="1">
      <c r="A65" s="1739" t="s">
        <v>2736</v>
      </c>
      <c r="B65" s="1739" t="s">
        <v>3</v>
      </c>
      <c r="C65" t="s">
        <v>2957</v>
      </c>
      <c r="D65" t="s">
        <v>2958</v>
      </c>
      <c r="E65" t="s">
        <v>2959</v>
      </c>
      <c r="F65" t="s">
        <v>2837</v>
      </c>
      <c r="G65" t="s">
        <v>9</v>
      </c>
      <c r="H65" t="s">
        <v>9</v>
      </c>
      <c r="I65" t="s">
        <v>1146</v>
      </c>
    </row>
    <row r="66" spans="1:9" ht="11.25" customHeight="1">
      <c r="A66" s="1739" t="s">
        <v>2736</v>
      </c>
      <c r="B66" s="1739" t="s">
        <v>3</v>
      </c>
      <c r="C66" t="s">
        <v>2960</v>
      </c>
      <c r="D66" t="s">
        <v>2961</v>
      </c>
      <c r="E66" t="s">
        <v>2962</v>
      </c>
      <c r="F66" t="s">
        <v>2863</v>
      </c>
      <c r="G66" t="s">
        <v>2963</v>
      </c>
      <c r="H66" t="s">
        <v>9</v>
      </c>
      <c r="I66" t="s">
        <v>1146</v>
      </c>
    </row>
    <row r="67" spans="1:9" ht="11.25" customHeight="1">
      <c r="A67" s="1739" t="s">
        <v>2736</v>
      </c>
      <c r="B67" s="1739" t="s">
        <v>3</v>
      </c>
      <c r="C67" t="s">
        <v>2964</v>
      </c>
      <c r="D67" t="s">
        <v>2965</v>
      </c>
      <c r="E67" t="s">
        <v>2966</v>
      </c>
      <c r="F67" t="s">
        <v>2763</v>
      </c>
      <c r="G67" t="s">
        <v>9</v>
      </c>
      <c r="H67" t="s">
        <v>9</v>
      </c>
      <c r="I67" t="s">
        <v>1146</v>
      </c>
    </row>
    <row r="68" spans="1:9" ht="11.25" customHeight="1">
      <c r="A68" s="1739" t="s">
        <v>2736</v>
      </c>
      <c r="B68" s="1739" t="s">
        <v>3</v>
      </c>
      <c r="C68" t="s">
        <v>2967</v>
      </c>
      <c r="D68" t="s">
        <v>2968</v>
      </c>
      <c r="E68" t="s">
        <v>2969</v>
      </c>
      <c r="F68" t="s">
        <v>2970</v>
      </c>
      <c r="G68" t="s">
        <v>9</v>
      </c>
      <c r="H68" t="s">
        <v>9</v>
      </c>
      <c r="I68" t="s">
        <v>1146</v>
      </c>
    </row>
    <row r="69" spans="1:9" ht="11.25" customHeight="1">
      <c r="A69" s="1739" t="s">
        <v>2736</v>
      </c>
      <c r="B69" s="1739" t="s">
        <v>3</v>
      </c>
      <c r="C69" t="s">
        <v>2971</v>
      </c>
      <c r="D69" t="s">
        <v>2972</v>
      </c>
      <c r="E69" t="s">
        <v>2973</v>
      </c>
      <c r="F69" t="s">
        <v>2974</v>
      </c>
      <c r="G69" t="s">
        <v>9</v>
      </c>
      <c r="H69" t="s">
        <v>9</v>
      </c>
      <c r="I69" t="s">
        <v>1146</v>
      </c>
    </row>
    <row r="70" spans="1:9" ht="11.25" customHeight="1">
      <c r="A70" s="1739" t="s">
        <v>2736</v>
      </c>
      <c r="B70" s="1739" t="s">
        <v>3</v>
      </c>
      <c r="C70" t="s">
        <v>2975</v>
      </c>
      <c r="D70" t="s">
        <v>2976</v>
      </c>
      <c r="E70" t="s">
        <v>2977</v>
      </c>
      <c r="F70" t="s">
        <v>2921</v>
      </c>
      <c r="G70" t="s">
        <v>9</v>
      </c>
      <c r="H70" t="s">
        <v>9</v>
      </c>
      <c r="I70" t="s">
        <v>1146</v>
      </c>
    </row>
    <row r="71" spans="1:9" ht="11.25" customHeight="1">
      <c r="A71" s="1739" t="s">
        <v>2736</v>
      </c>
      <c r="B71" s="1739" t="s">
        <v>3</v>
      </c>
      <c r="C71" t="s">
        <v>2978</v>
      </c>
      <c r="D71" t="s">
        <v>2979</v>
      </c>
      <c r="E71" t="s">
        <v>2980</v>
      </c>
      <c r="F71" t="s">
        <v>2801</v>
      </c>
      <c r="G71" t="s">
        <v>9</v>
      </c>
      <c r="H71" t="s">
        <v>9</v>
      </c>
      <c r="I71" t="s">
        <v>1146</v>
      </c>
    </row>
    <row r="72" spans="1:9" ht="11.25" customHeight="1">
      <c r="A72" s="1739" t="s">
        <v>2736</v>
      </c>
      <c r="B72" s="1739" t="s">
        <v>3</v>
      </c>
      <c r="C72" t="s">
        <v>2981</v>
      </c>
      <c r="D72" t="s">
        <v>2982</v>
      </c>
      <c r="E72" t="s">
        <v>2983</v>
      </c>
      <c r="F72" t="s">
        <v>2921</v>
      </c>
      <c r="G72" t="s">
        <v>9</v>
      </c>
      <c r="H72" t="s">
        <v>9</v>
      </c>
      <c r="I72" t="s">
        <v>1146</v>
      </c>
    </row>
    <row r="73" spans="1:9" ht="11.25" customHeight="1">
      <c r="A73" s="1739" t="s">
        <v>2736</v>
      </c>
      <c r="B73" s="1739" t="s">
        <v>3</v>
      </c>
      <c r="C73" t="s">
        <v>2984</v>
      </c>
      <c r="D73" t="s">
        <v>2985</v>
      </c>
      <c r="E73" t="s">
        <v>2986</v>
      </c>
      <c r="F73" t="s">
        <v>2974</v>
      </c>
      <c r="G73" t="s">
        <v>9</v>
      </c>
      <c r="H73" t="s">
        <v>9</v>
      </c>
      <c r="I73" t="s">
        <v>1146</v>
      </c>
    </row>
    <row r="74" spans="1:9" ht="11.25" customHeight="1">
      <c r="A74" s="1739" t="s">
        <v>2736</v>
      </c>
      <c r="B74" s="1739" t="s">
        <v>3</v>
      </c>
      <c r="C74" t="s">
        <v>2987</v>
      </c>
      <c r="D74" t="s">
        <v>2988</v>
      </c>
      <c r="E74" t="s">
        <v>2989</v>
      </c>
      <c r="F74" t="s">
        <v>2990</v>
      </c>
      <c r="G74" t="s">
        <v>9</v>
      </c>
      <c r="H74" t="s">
        <v>9</v>
      </c>
      <c r="I74" t="s">
        <v>1146</v>
      </c>
    </row>
    <row r="75" spans="1:9" ht="11.25" customHeight="1">
      <c r="A75" s="1739" t="s">
        <v>2736</v>
      </c>
      <c r="B75" s="1739" t="s">
        <v>3</v>
      </c>
      <c r="C75" t="s">
        <v>2991</v>
      </c>
      <c r="D75" t="s">
        <v>2992</v>
      </c>
      <c r="E75" t="s">
        <v>2993</v>
      </c>
      <c r="F75" t="s">
        <v>2788</v>
      </c>
      <c r="G75" t="s">
        <v>9</v>
      </c>
      <c r="H75" t="s">
        <v>9</v>
      </c>
      <c r="I75" t="s">
        <v>1146</v>
      </c>
    </row>
    <row r="76" spans="1:9" ht="11.25" customHeight="1">
      <c r="A76" s="1739" t="s">
        <v>2736</v>
      </c>
      <c r="B76" s="1739" t="s">
        <v>3</v>
      </c>
      <c r="C76" t="s">
        <v>2994</v>
      </c>
      <c r="D76" t="s">
        <v>2995</v>
      </c>
      <c r="E76" t="s">
        <v>2996</v>
      </c>
      <c r="F76" t="s">
        <v>2788</v>
      </c>
      <c r="G76" t="s">
        <v>9</v>
      </c>
      <c r="H76" t="s">
        <v>9</v>
      </c>
      <c r="I76" t="s">
        <v>1146</v>
      </c>
    </row>
    <row r="77" spans="1:9" ht="11.25" customHeight="1">
      <c r="A77" s="1739" t="s">
        <v>2736</v>
      </c>
      <c r="B77" s="1739" t="s">
        <v>3</v>
      </c>
      <c r="C77" t="s">
        <v>2997</v>
      </c>
      <c r="D77" t="s">
        <v>2998</v>
      </c>
      <c r="E77" t="s">
        <v>2999</v>
      </c>
      <c r="F77" t="s">
        <v>2837</v>
      </c>
      <c r="G77" t="s">
        <v>9</v>
      </c>
      <c r="H77" t="s">
        <v>9</v>
      </c>
      <c r="I77" t="s">
        <v>1146</v>
      </c>
    </row>
    <row r="78" spans="1:9" ht="11.25" customHeight="1">
      <c r="A78" s="1739" t="s">
        <v>2736</v>
      </c>
      <c r="B78" s="1739" t="s">
        <v>3</v>
      </c>
      <c r="C78" t="s">
        <v>3000</v>
      </c>
      <c r="D78" t="s">
        <v>3001</v>
      </c>
      <c r="E78" t="s">
        <v>3002</v>
      </c>
      <c r="F78" t="s">
        <v>38</v>
      </c>
      <c r="G78" t="s">
        <v>9</v>
      </c>
      <c r="H78" t="s">
        <v>9</v>
      </c>
      <c r="I78" t="s">
        <v>1146</v>
      </c>
    </row>
    <row r="79" spans="1:9" ht="11.25" customHeight="1">
      <c r="A79" s="1739" t="s">
        <v>2736</v>
      </c>
      <c r="B79" s="1739" t="s">
        <v>3</v>
      </c>
      <c r="C79" t="s">
        <v>3003</v>
      </c>
      <c r="D79" t="s">
        <v>3004</v>
      </c>
      <c r="E79" t="s">
        <v>3005</v>
      </c>
      <c r="F79" t="s">
        <v>3006</v>
      </c>
      <c r="G79" t="s">
        <v>9</v>
      </c>
      <c r="H79" t="s">
        <v>9</v>
      </c>
      <c r="I79" t="s">
        <v>1146</v>
      </c>
    </row>
    <row r="80" spans="1:9" ht="11.25" customHeight="1">
      <c r="A80" s="1739" t="s">
        <v>2736</v>
      </c>
      <c r="B80" s="1739" t="s">
        <v>3</v>
      </c>
      <c r="C80" t="s">
        <v>3007</v>
      </c>
      <c r="D80" t="s">
        <v>3008</v>
      </c>
      <c r="E80" t="s">
        <v>3009</v>
      </c>
      <c r="F80" t="s">
        <v>2801</v>
      </c>
      <c r="G80" t="s">
        <v>2877</v>
      </c>
      <c r="H80" t="s">
        <v>9</v>
      </c>
      <c r="I80" t="s">
        <v>1146</v>
      </c>
    </row>
    <row r="81" spans="1:9" ht="11.25" customHeight="1">
      <c r="A81" s="1739" t="s">
        <v>2736</v>
      </c>
      <c r="B81" s="1739" t="s">
        <v>3</v>
      </c>
      <c r="C81" t="s">
        <v>3010</v>
      </c>
      <c r="D81" t="s">
        <v>3011</v>
      </c>
      <c r="E81" t="s">
        <v>3012</v>
      </c>
      <c r="F81" t="s">
        <v>2740</v>
      </c>
      <c r="G81" t="s">
        <v>9</v>
      </c>
      <c r="H81" t="s">
        <v>9</v>
      </c>
      <c r="I81" t="s">
        <v>1146</v>
      </c>
    </row>
    <row r="82" spans="1:9" ht="11.25" customHeight="1">
      <c r="A82" s="1739" t="s">
        <v>2736</v>
      </c>
      <c r="B82" s="1739" t="s">
        <v>3</v>
      </c>
      <c r="C82" t="s">
        <v>3013</v>
      </c>
      <c r="D82" t="s">
        <v>3014</v>
      </c>
      <c r="E82" t="s">
        <v>3015</v>
      </c>
      <c r="F82" t="s">
        <v>38</v>
      </c>
      <c r="G82" t="s">
        <v>9</v>
      </c>
      <c r="H82" t="s">
        <v>9</v>
      </c>
      <c r="I82" t="s">
        <v>1146</v>
      </c>
    </row>
    <row r="83" spans="1:9" ht="11.25" customHeight="1">
      <c r="A83" s="1739" t="s">
        <v>2736</v>
      </c>
      <c r="B83" s="1739" t="s">
        <v>3</v>
      </c>
      <c r="C83" t="s">
        <v>3016</v>
      </c>
      <c r="D83" t="s">
        <v>3017</v>
      </c>
      <c r="E83" t="s">
        <v>3018</v>
      </c>
      <c r="F83" t="s">
        <v>2859</v>
      </c>
      <c r="G83" t="s">
        <v>9</v>
      </c>
      <c r="H83" t="s">
        <v>9</v>
      </c>
      <c r="I83" t="s">
        <v>1146</v>
      </c>
    </row>
    <row r="84" spans="1:9" ht="11.25" customHeight="1">
      <c r="A84" s="1739" t="s">
        <v>2736</v>
      </c>
      <c r="B84" s="1739" t="s">
        <v>3</v>
      </c>
      <c r="C84" t="s">
        <v>3019</v>
      </c>
      <c r="D84" t="s">
        <v>3020</v>
      </c>
      <c r="E84" t="s">
        <v>3021</v>
      </c>
      <c r="F84" t="s">
        <v>2740</v>
      </c>
      <c r="G84" t="s">
        <v>9</v>
      </c>
      <c r="H84" t="s">
        <v>9</v>
      </c>
      <c r="I84" t="s">
        <v>1146</v>
      </c>
    </row>
    <row r="85" spans="1:9" ht="11.25" customHeight="1">
      <c r="A85" s="1739" t="s">
        <v>2736</v>
      </c>
      <c r="B85" s="1739" t="s">
        <v>3</v>
      </c>
      <c r="C85" t="s">
        <v>3022</v>
      </c>
      <c r="D85" t="s">
        <v>3023</v>
      </c>
      <c r="E85" t="s">
        <v>3024</v>
      </c>
      <c r="F85" t="s">
        <v>2788</v>
      </c>
      <c r="G85" t="s">
        <v>9</v>
      </c>
      <c r="H85" t="s">
        <v>9</v>
      </c>
      <c r="I85" t="s">
        <v>1146</v>
      </c>
    </row>
    <row r="86" spans="1:9" ht="11.25" customHeight="1">
      <c r="A86" s="1739" t="s">
        <v>2736</v>
      </c>
      <c r="B86" s="1739" t="s">
        <v>3</v>
      </c>
      <c r="C86" t="s">
        <v>3025</v>
      </c>
      <c r="D86" t="s">
        <v>3026</v>
      </c>
      <c r="E86" t="s">
        <v>3027</v>
      </c>
      <c r="F86" t="s">
        <v>2863</v>
      </c>
      <c r="G86" t="s">
        <v>9</v>
      </c>
      <c r="H86" t="s">
        <v>9</v>
      </c>
      <c r="I86" t="s">
        <v>1146</v>
      </c>
    </row>
    <row r="87" spans="1:9" ht="11.25" customHeight="1">
      <c r="A87" s="1739" t="s">
        <v>2736</v>
      </c>
      <c r="B87" s="1739" t="s">
        <v>3</v>
      </c>
      <c r="C87" t="s">
        <v>3028</v>
      </c>
      <c r="D87" t="s">
        <v>3029</v>
      </c>
      <c r="E87" t="s">
        <v>3030</v>
      </c>
      <c r="F87" t="s">
        <v>2801</v>
      </c>
      <c r="G87" t="s">
        <v>9</v>
      </c>
      <c r="H87" t="s">
        <v>9</v>
      </c>
      <c r="I87" t="s">
        <v>1146</v>
      </c>
    </row>
    <row r="88" spans="1:9" ht="11.25" customHeight="1">
      <c r="A88" s="1739" t="s">
        <v>2736</v>
      </c>
      <c r="B88" s="1739" t="s">
        <v>3</v>
      </c>
      <c r="C88" t="s">
        <v>3031</v>
      </c>
      <c r="D88" t="s">
        <v>3032</v>
      </c>
      <c r="E88" t="s">
        <v>3033</v>
      </c>
      <c r="F88" t="s">
        <v>2788</v>
      </c>
      <c r="G88" t="s">
        <v>9</v>
      </c>
      <c r="H88" t="s">
        <v>9</v>
      </c>
      <c r="I88" t="s">
        <v>1146</v>
      </c>
    </row>
    <row r="89" spans="1:9" ht="11.25" customHeight="1">
      <c r="A89" s="1739" t="s">
        <v>2736</v>
      </c>
      <c r="B89" s="1739" t="s">
        <v>3</v>
      </c>
      <c r="C89" t="s">
        <v>3034</v>
      </c>
      <c r="D89" t="s">
        <v>3035</v>
      </c>
      <c r="E89" t="s">
        <v>3036</v>
      </c>
      <c r="F89" t="s">
        <v>2974</v>
      </c>
      <c r="G89" t="s">
        <v>9</v>
      </c>
      <c r="H89" t="s">
        <v>9</v>
      </c>
      <c r="I89" t="s">
        <v>1146</v>
      </c>
    </row>
    <row r="90" spans="1:9" ht="11.25" customHeight="1">
      <c r="A90" s="1739" t="s">
        <v>2736</v>
      </c>
      <c r="B90" s="1739" t="s">
        <v>3</v>
      </c>
      <c r="C90" t="s">
        <v>3037</v>
      </c>
      <c r="D90" t="s">
        <v>3038</v>
      </c>
      <c r="E90" t="s">
        <v>3039</v>
      </c>
      <c r="F90" t="s">
        <v>2801</v>
      </c>
      <c r="G90" t="s">
        <v>9</v>
      </c>
      <c r="H90" t="s">
        <v>9</v>
      </c>
      <c r="I90" t="s">
        <v>1146</v>
      </c>
    </row>
    <row r="91" spans="1:9" ht="11.25" customHeight="1">
      <c r="A91" s="1739" t="s">
        <v>2736</v>
      </c>
      <c r="B91" s="1739" t="s">
        <v>3</v>
      </c>
      <c r="C91" t="s">
        <v>3040</v>
      </c>
      <c r="D91" t="s">
        <v>3041</v>
      </c>
      <c r="E91" t="s">
        <v>3042</v>
      </c>
      <c r="F91" t="s">
        <v>2974</v>
      </c>
      <c r="G91" t="s">
        <v>9</v>
      </c>
      <c r="H91" t="s">
        <v>9</v>
      </c>
      <c r="I91" t="s">
        <v>1146</v>
      </c>
    </row>
    <row r="92" spans="1:9" ht="11.25" customHeight="1">
      <c r="A92" s="1739" t="s">
        <v>2736</v>
      </c>
      <c r="B92" s="1739" t="s">
        <v>3</v>
      </c>
      <c r="C92" t="s">
        <v>3043</v>
      </c>
      <c r="D92" t="s">
        <v>3044</v>
      </c>
      <c r="E92" t="s">
        <v>3045</v>
      </c>
      <c r="F92" t="s">
        <v>2974</v>
      </c>
      <c r="G92" t="s">
        <v>3046</v>
      </c>
      <c r="H92" t="s">
        <v>9</v>
      </c>
      <c r="I92" t="s">
        <v>1146</v>
      </c>
    </row>
    <row r="93" spans="1:9" ht="11.25" customHeight="1">
      <c r="A93" s="1739" t="s">
        <v>2736</v>
      </c>
      <c r="B93" s="1739" t="s">
        <v>3</v>
      </c>
      <c r="C93" t="s">
        <v>3047</v>
      </c>
      <c r="D93" t="s">
        <v>3048</v>
      </c>
      <c r="E93" t="s">
        <v>3049</v>
      </c>
      <c r="F93" t="s">
        <v>2763</v>
      </c>
      <c r="G93" t="s">
        <v>3046</v>
      </c>
      <c r="H93" t="s">
        <v>9</v>
      </c>
      <c r="I93" t="s">
        <v>1146</v>
      </c>
    </row>
    <row r="94" spans="1:9" ht="11.25" customHeight="1">
      <c r="A94" s="1739" t="s">
        <v>2736</v>
      </c>
      <c r="B94" s="1739" t="s">
        <v>3</v>
      </c>
      <c r="C94" t="s">
        <v>3050</v>
      </c>
      <c r="D94" t="s">
        <v>3051</v>
      </c>
      <c r="E94" t="s">
        <v>3052</v>
      </c>
      <c r="F94" t="s">
        <v>2859</v>
      </c>
      <c r="G94" t="s">
        <v>9</v>
      </c>
      <c r="H94" t="s">
        <v>9</v>
      </c>
      <c r="I94" t="s">
        <v>1146</v>
      </c>
    </row>
    <row r="95" spans="1:9" ht="11.25" customHeight="1">
      <c r="A95" s="1739" t="s">
        <v>2736</v>
      </c>
      <c r="B95" s="1739" t="s">
        <v>3</v>
      </c>
      <c r="C95" t="s">
        <v>3053</v>
      </c>
      <c r="D95" t="s">
        <v>3054</v>
      </c>
      <c r="E95" t="s">
        <v>3055</v>
      </c>
      <c r="F95" t="s">
        <v>3056</v>
      </c>
      <c r="G95" t="s">
        <v>9</v>
      </c>
      <c r="H95" t="s">
        <v>9</v>
      </c>
      <c r="I95" t="s">
        <v>1146</v>
      </c>
    </row>
    <row r="96" spans="1:9" ht="11.25" customHeight="1">
      <c r="A96" s="1739" t="s">
        <v>2736</v>
      </c>
      <c r="B96" s="1739" t="s">
        <v>3</v>
      </c>
      <c r="C96" t="s">
        <v>3057</v>
      </c>
      <c r="D96" t="s">
        <v>3058</v>
      </c>
      <c r="E96" t="s">
        <v>3059</v>
      </c>
      <c r="F96" t="s">
        <v>2763</v>
      </c>
      <c r="G96" t="s">
        <v>9</v>
      </c>
      <c r="H96" t="s">
        <v>9</v>
      </c>
      <c r="I96" t="s">
        <v>1146</v>
      </c>
    </row>
    <row r="97" spans="1:9" ht="11.25" customHeight="1">
      <c r="A97" s="1739" t="s">
        <v>2736</v>
      </c>
      <c r="B97" s="1739" t="s">
        <v>3</v>
      </c>
      <c r="C97" t="s">
        <v>3060</v>
      </c>
      <c r="D97" t="s">
        <v>3061</v>
      </c>
      <c r="E97" t="s">
        <v>3062</v>
      </c>
      <c r="F97" t="s">
        <v>2763</v>
      </c>
      <c r="G97" t="s">
        <v>9</v>
      </c>
      <c r="H97" t="s">
        <v>9</v>
      </c>
      <c r="I97" t="s">
        <v>1146</v>
      </c>
    </row>
    <row r="98" spans="1:9" ht="11.25" customHeight="1">
      <c r="A98" s="1739" t="s">
        <v>2736</v>
      </c>
      <c r="B98" s="1739" t="s">
        <v>3</v>
      </c>
      <c r="C98" t="s">
        <v>3063</v>
      </c>
      <c r="D98" t="s">
        <v>3064</v>
      </c>
      <c r="E98" t="s">
        <v>3065</v>
      </c>
      <c r="F98" t="s">
        <v>2763</v>
      </c>
      <c r="G98" t="s">
        <v>9</v>
      </c>
      <c r="H98" t="s">
        <v>9</v>
      </c>
      <c r="I98" t="s">
        <v>1146</v>
      </c>
    </row>
    <row r="99" spans="1:9" ht="11.25" customHeight="1">
      <c r="A99" s="1739" t="s">
        <v>2736</v>
      </c>
      <c r="B99" s="1739" t="s">
        <v>3</v>
      </c>
      <c r="C99" t="s">
        <v>3066</v>
      </c>
      <c r="D99" t="s">
        <v>3067</v>
      </c>
      <c r="E99" t="s">
        <v>3068</v>
      </c>
      <c r="F99" t="s">
        <v>2740</v>
      </c>
      <c r="G99" t="s">
        <v>3046</v>
      </c>
      <c r="H99" t="s">
        <v>9</v>
      </c>
      <c r="I99" t="s">
        <v>1146</v>
      </c>
    </row>
    <row r="100" spans="1:9" ht="11.25" customHeight="1">
      <c r="A100" s="1739" t="s">
        <v>2736</v>
      </c>
      <c r="B100" s="1739" t="s">
        <v>3</v>
      </c>
      <c r="C100" t="s">
        <v>3069</v>
      </c>
      <c r="D100" t="s">
        <v>3070</v>
      </c>
      <c r="E100" t="s">
        <v>3071</v>
      </c>
      <c r="F100" t="s">
        <v>2763</v>
      </c>
      <c r="G100" t="s">
        <v>9</v>
      </c>
      <c r="H100" t="s">
        <v>9</v>
      </c>
      <c r="I100" t="s">
        <v>1146</v>
      </c>
    </row>
    <row r="101" spans="1:9" ht="11.25" customHeight="1">
      <c r="A101" s="1739" t="s">
        <v>2736</v>
      </c>
      <c r="B101" s="1739" t="s">
        <v>3</v>
      </c>
      <c r="C101" t="s">
        <v>3072</v>
      </c>
      <c r="D101" t="s">
        <v>3073</v>
      </c>
      <c r="E101" t="s">
        <v>3074</v>
      </c>
      <c r="F101" t="s">
        <v>2863</v>
      </c>
      <c r="G101" t="s">
        <v>9</v>
      </c>
      <c r="H101" t="s">
        <v>9</v>
      </c>
      <c r="I101" t="s">
        <v>1146</v>
      </c>
    </row>
    <row r="102" spans="1:9" ht="11.25" customHeight="1">
      <c r="A102" s="1739" t="s">
        <v>2736</v>
      </c>
      <c r="B102" s="1739" t="s">
        <v>3</v>
      </c>
      <c r="C102" t="s">
        <v>3075</v>
      </c>
      <c r="D102" t="s">
        <v>3073</v>
      </c>
      <c r="E102" t="s">
        <v>3076</v>
      </c>
      <c r="F102" t="s">
        <v>3056</v>
      </c>
      <c r="G102" t="s">
        <v>9</v>
      </c>
      <c r="H102" t="s">
        <v>9</v>
      </c>
      <c r="I102" t="s">
        <v>1146</v>
      </c>
    </row>
    <row r="103" spans="1:9" ht="11.25" customHeight="1">
      <c r="A103" s="1739" t="s">
        <v>2736</v>
      </c>
      <c r="B103" s="1739" t="s">
        <v>3</v>
      </c>
      <c r="C103" t="s">
        <v>3077</v>
      </c>
      <c r="D103" t="s">
        <v>3078</v>
      </c>
      <c r="E103" t="s">
        <v>3079</v>
      </c>
      <c r="F103" t="s">
        <v>2763</v>
      </c>
      <c r="G103" t="s">
        <v>9</v>
      </c>
      <c r="H103" t="s">
        <v>9</v>
      </c>
      <c r="I103" t="s">
        <v>1146</v>
      </c>
    </row>
    <row r="104" spans="1:9" ht="11.25" customHeight="1">
      <c r="A104" s="1739" t="s">
        <v>2736</v>
      </c>
      <c r="B104" s="1739" t="s">
        <v>3</v>
      </c>
      <c r="C104" t="s">
        <v>3080</v>
      </c>
      <c r="D104" t="s">
        <v>3081</v>
      </c>
      <c r="E104" t="s">
        <v>3082</v>
      </c>
      <c r="F104" t="s">
        <v>2801</v>
      </c>
      <c r="G104" t="s">
        <v>9</v>
      </c>
      <c r="H104" t="s">
        <v>9</v>
      </c>
      <c r="I104" t="s">
        <v>1146</v>
      </c>
    </row>
    <row r="105" spans="1:9" ht="11.25" customHeight="1">
      <c r="A105" s="1739" t="s">
        <v>2736</v>
      </c>
      <c r="B105" s="1739" t="s">
        <v>3</v>
      </c>
      <c r="C105" t="s">
        <v>3083</v>
      </c>
      <c r="D105" t="s">
        <v>3084</v>
      </c>
      <c r="E105" t="s">
        <v>3085</v>
      </c>
      <c r="F105" t="s">
        <v>38</v>
      </c>
      <c r="G105" t="s">
        <v>9</v>
      </c>
      <c r="H105" t="s">
        <v>9</v>
      </c>
      <c r="I105" t="s">
        <v>1146</v>
      </c>
    </row>
    <row r="106" spans="1:9" ht="11.25" customHeight="1">
      <c r="A106" s="1739" t="s">
        <v>2736</v>
      </c>
      <c r="B106" s="1739" t="s">
        <v>3</v>
      </c>
      <c r="C106" t="s">
        <v>3086</v>
      </c>
      <c r="D106" t="s">
        <v>3087</v>
      </c>
      <c r="E106" t="s">
        <v>3088</v>
      </c>
      <c r="F106" t="s">
        <v>2859</v>
      </c>
      <c r="G106" t="s">
        <v>9</v>
      </c>
      <c r="H106" t="s">
        <v>9</v>
      </c>
      <c r="I106" t="s">
        <v>1146</v>
      </c>
    </row>
    <row r="107" spans="1:9" ht="11.25" customHeight="1">
      <c r="A107" s="1739" t="s">
        <v>2736</v>
      </c>
      <c r="B107" s="1739" t="s">
        <v>3</v>
      </c>
      <c r="C107" t="s">
        <v>3089</v>
      </c>
      <c r="D107" t="s">
        <v>3090</v>
      </c>
      <c r="E107" t="s">
        <v>3091</v>
      </c>
      <c r="F107" t="s">
        <v>2740</v>
      </c>
      <c r="G107" t="s">
        <v>9</v>
      </c>
      <c r="H107" t="s">
        <v>9</v>
      </c>
      <c r="I107" t="s">
        <v>1146</v>
      </c>
    </row>
    <row r="108" spans="1:9" ht="11.25" customHeight="1">
      <c r="A108" s="1739" t="s">
        <v>2736</v>
      </c>
      <c r="B108" s="1739" t="s">
        <v>3</v>
      </c>
      <c r="C108" t="s">
        <v>3092</v>
      </c>
      <c r="D108" t="s">
        <v>3093</v>
      </c>
      <c r="E108" t="s">
        <v>3094</v>
      </c>
      <c r="F108" t="s">
        <v>2863</v>
      </c>
      <c r="G108" t="s">
        <v>9</v>
      </c>
      <c r="H108" t="s">
        <v>9</v>
      </c>
      <c r="I108" t="s">
        <v>1146</v>
      </c>
    </row>
    <row r="109" spans="1:9" ht="11.25" customHeight="1">
      <c r="A109" s="1739" t="s">
        <v>2736</v>
      </c>
      <c r="B109" s="1739" t="s">
        <v>3</v>
      </c>
      <c r="C109" t="s">
        <v>3095</v>
      </c>
      <c r="D109" t="s">
        <v>3096</v>
      </c>
      <c r="E109" t="s">
        <v>3097</v>
      </c>
      <c r="F109" t="s">
        <v>2740</v>
      </c>
      <c r="G109" t="s">
        <v>2963</v>
      </c>
      <c r="H109" t="s">
        <v>9</v>
      </c>
      <c r="I109" t="s">
        <v>1146</v>
      </c>
    </row>
    <row r="110" spans="1:9" ht="11.25" customHeight="1">
      <c r="A110" s="1739" t="s">
        <v>2736</v>
      </c>
      <c r="B110" s="1739" t="s">
        <v>3</v>
      </c>
      <c r="C110" t="s">
        <v>3098</v>
      </c>
      <c r="D110" t="s">
        <v>3099</v>
      </c>
      <c r="E110" t="s">
        <v>3100</v>
      </c>
      <c r="F110" t="s">
        <v>2974</v>
      </c>
      <c r="G110" t="s">
        <v>9</v>
      </c>
      <c r="H110" t="s">
        <v>9</v>
      </c>
      <c r="I110" t="s">
        <v>1146</v>
      </c>
    </row>
    <row r="111" spans="1:9" ht="11.25" customHeight="1">
      <c r="A111" s="1739" t="s">
        <v>2736</v>
      </c>
      <c r="B111" s="1739" t="s">
        <v>3</v>
      </c>
      <c r="C111" t="s">
        <v>3101</v>
      </c>
      <c r="D111" t="s">
        <v>3102</v>
      </c>
      <c r="E111" t="s">
        <v>3103</v>
      </c>
      <c r="F111" t="s">
        <v>2740</v>
      </c>
      <c r="G111" t="s">
        <v>9</v>
      </c>
      <c r="H111" t="s">
        <v>9</v>
      </c>
      <c r="I111" t="s">
        <v>1146</v>
      </c>
    </row>
    <row r="112" spans="1:9" ht="11.25" customHeight="1">
      <c r="A112" s="1739" t="s">
        <v>2736</v>
      </c>
      <c r="B112" s="1739" t="s">
        <v>3</v>
      </c>
      <c r="C112" t="s">
        <v>3104</v>
      </c>
      <c r="D112" t="s">
        <v>3105</v>
      </c>
      <c r="E112" t="s">
        <v>3106</v>
      </c>
      <c r="F112" t="s">
        <v>2740</v>
      </c>
      <c r="G112" t="s">
        <v>3046</v>
      </c>
      <c r="H112" t="s">
        <v>9</v>
      </c>
      <c r="I112" t="s">
        <v>1146</v>
      </c>
    </row>
    <row r="113" spans="1:9" ht="11.25" customHeight="1">
      <c r="A113" s="1739" t="s">
        <v>2736</v>
      </c>
      <c r="B113" s="1739" t="s">
        <v>3</v>
      </c>
      <c r="C113" t="s">
        <v>3107</v>
      </c>
      <c r="D113" t="s">
        <v>3108</v>
      </c>
      <c r="E113" t="s">
        <v>3109</v>
      </c>
      <c r="F113" t="s">
        <v>2848</v>
      </c>
      <c r="G113" t="s">
        <v>9</v>
      </c>
      <c r="H113" t="s">
        <v>9</v>
      </c>
      <c r="I113" t="s">
        <v>1146</v>
      </c>
    </row>
    <row r="114" spans="1:9" ht="11.25" customHeight="1">
      <c r="A114" s="1739" t="s">
        <v>2736</v>
      </c>
      <c r="B114" s="1739" t="s">
        <v>3</v>
      </c>
      <c r="C114" t="s">
        <v>3110</v>
      </c>
      <c r="D114" t="s">
        <v>3111</v>
      </c>
      <c r="E114" t="s">
        <v>3112</v>
      </c>
      <c r="F114" t="s">
        <v>2763</v>
      </c>
      <c r="G114" t="s">
        <v>9</v>
      </c>
      <c r="H114" t="s">
        <v>9</v>
      </c>
      <c r="I114" t="s">
        <v>1146</v>
      </c>
    </row>
    <row r="115" spans="1:9" ht="11.25" customHeight="1">
      <c r="A115" s="1739" t="s">
        <v>2736</v>
      </c>
      <c r="B115" s="1739" t="s">
        <v>3</v>
      </c>
      <c r="C115" t="s">
        <v>3113</v>
      </c>
      <c r="D115" t="s">
        <v>3114</v>
      </c>
      <c r="E115" t="s">
        <v>3115</v>
      </c>
      <c r="F115" t="s">
        <v>2740</v>
      </c>
      <c r="G115" t="s">
        <v>9</v>
      </c>
      <c r="H115" t="s">
        <v>9</v>
      </c>
      <c r="I115" t="s">
        <v>1146</v>
      </c>
    </row>
    <row r="116" spans="1:9" ht="11.25" customHeight="1">
      <c r="A116" s="1739" t="s">
        <v>2736</v>
      </c>
      <c r="B116" s="1739" t="s">
        <v>3</v>
      </c>
      <c r="C116" t="s">
        <v>3116</v>
      </c>
      <c r="D116" t="s">
        <v>3117</v>
      </c>
      <c r="E116" t="s">
        <v>3118</v>
      </c>
      <c r="F116" t="s">
        <v>2740</v>
      </c>
      <c r="G116" t="s">
        <v>9</v>
      </c>
      <c r="H116" t="s">
        <v>9</v>
      </c>
      <c r="I116" t="s">
        <v>1146</v>
      </c>
    </row>
    <row r="117" spans="1:9" ht="11.25" customHeight="1">
      <c r="A117" s="1739" t="s">
        <v>2736</v>
      </c>
      <c r="B117" s="1739" t="s">
        <v>3</v>
      </c>
      <c r="C117" t="s">
        <v>0</v>
      </c>
      <c r="D117" t="s">
        <v>33</v>
      </c>
      <c r="E117" t="s">
        <v>36</v>
      </c>
      <c r="F117" t="s">
        <v>38</v>
      </c>
      <c r="G117" t="s">
        <v>9</v>
      </c>
      <c r="H117" t="s">
        <v>9</v>
      </c>
      <c r="I117" t="s">
        <v>1146</v>
      </c>
    </row>
    <row r="118" spans="1:9" ht="11.25" customHeight="1">
      <c r="A118" s="1739" t="s">
        <v>2736</v>
      </c>
      <c r="B118" s="1739" t="s">
        <v>3</v>
      </c>
      <c r="C118" t="s">
        <v>3119</v>
      </c>
      <c r="D118" t="s">
        <v>3120</v>
      </c>
      <c r="E118" t="s">
        <v>3121</v>
      </c>
      <c r="F118" t="s">
        <v>2921</v>
      </c>
      <c r="G118" t="s">
        <v>9</v>
      </c>
      <c r="H118" t="s">
        <v>9</v>
      </c>
      <c r="I118" t="s">
        <v>1146</v>
      </c>
    </row>
    <row r="119" spans="1:9" ht="11.25" customHeight="1">
      <c r="A119" s="1739" t="s">
        <v>2736</v>
      </c>
      <c r="B119" s="1739" t="s">
        <v>3</v>
      </c>
      <c r="C119" t="s">
        <v>3122</v>
      </c>
      <c r="D119" t="s">
        <v>3123</v>
      </c>
      <c r="E119" t="s">
        <v>3124</v>
      </c>
      <c r="F119" t="s">
        <v>2863</v>
      </c>
      <c r="G119" t="s">
        <v>9</v>
      </c>
      <c r="H119" t="s">
        <v>9</v>
      </c>
      <c r="I119" t="s">
        <v>1146</v>
      </c>
    </row>
    <row r="120" spans="1:9" ht="11.25" customHeight="1">
      <c r="A120" s="1739" t="s">
        <v>2736</v>
      </c>
      <c r="B120" s="1739" t="s">
        <v>3</v>
      </c>
      <c r="C120" t="s">
        <v>3125</v>
      </c>
      <c r="D120" t="s">
        <v>3126</v>
      </c>
      <c r="E120" t="s">
        <v>3127</v>
      </c>
      <c r="F120" t="s">
        <v>3128</v>
      </c>
      <c r="G120" t="s">
        <v>9</v>
      </c>
      <c r="H120" t="s">
        <v>9</v>
      </c>
      <c r="I120" t="s">
        <v>1146</v>
      </c>
    </row>
    <row r="121" spans="1:9" ht="11.25" customHeight="1">
      <c r="A121" s="1739" t="s">
        <v>2736</v>
      </c>
      <c r="B121" s="1739" t="s">
        <v>3</v>
      </c>
      <c r="C121" t="s">
        <v>3129</v>
      </c>
      <c r="D121" t="s">
        <v>3130</v>
      </c>
      <c r="E121" t="s">
        <v>3131</v>
      </c>
      <c r="F121" t="s">
        <v>2848</v>
      </c>
      <c r="G121" t="s">
        <v>3132</v>
      </c>
      <c r="H121" t="s">
        <v>9</v>
      </c>
      <c r="I121" t="s">
        <v>1146</v>
      </c>
    </row>
    <row r="122" spans="1:9" ht="11.25" customHeight="1">
      <c r="A122" s="1739" t="s">
        <v>2736</v>
      </c>
      <c r="B122" s="1739" t="s">
        <v>3</v>
      </c>
      <c r="C122" t="s">
        <v>3133</v>
      </c>
      <c r="D122" t="s">
        <v>3134</v>
      </c>
      <c r="E122" t="s">
        <v>3135</v>
      </c>
      <c r="F122" t="s">
        <v>2740</v>
      </c>
      <c r="G122" t="s">
        <v>2911</v>
      </c>
      <c r="H122" t="s">
        <v>9</v>
      </c>
      <c r="I122" t="s">
        <v>1146</v>
      </c>
    </row>
    <row r="123" spans="1:9" ht="11.25" customHeight="1">
      <c r="A123" s="1739" t="s">
        <v>2736</v>
      </c>
      <c r="B123" s="1739" t="s">
        <v>3</v>
      </c>
      <c r="C123" t="s">
        <v>3136</v>
      </c>
      <c r="D123" t="s">
        <v>3137</v>
      </c>
      <c r="E123" t="s">
        <v>3138</v>
      </c>
      <c r="F123" t="s">
        <v>2921</v>
      </c>
      <c r="G123" t="s">
        <v>9</v>
      </c>
      <c r="H123" t="s">
        <v>9</v>
      </c>
      <c r="I123" t="s">
        <v>1146</v>
      </c>
    </row>
    <row r="124" spans="1:9" ht="11.25" customHeight="1">
      <c r="A124" s="1739" t="s">
        <v>2736</v>
      </c>
      <c r="B124" s="1739" t="s">
        <v>3</v>
      </c>
      <c r="C124" t="s">
        <v>3139</v>
      </c>
      <c r="D124" t="s">
        <v>3140</v>
      </c>
      <c r="E124" t="s">
        <v>3141</v>
      </c>
      <c r="F124" t="s">
        <v>2921</v>
      </c>
      <c r="G124" t="s">
        <v>9</v>
      </c>
      <c r="H124" t="s">
        <v>9</v>
      </c>
      <c r="I124" t="s">
        <v>1146</v>
      </c>
    </row>
    <row r="125" spans="1:9" ht="11.25" customHeight="1">
      <c r="A125" s="1739" t="s">
        <v>2736</v>
      </c>
      <c r="B125" s="1739" t="s">
        <v>3</v>
      </c>
      <c r="C125" t="s">
        <v>3142</v>
      </c>
      <c r="D125" t="s">
        <v>3143</v>
      </c>
      <c r="E125" t="s">
        <v>3144</v>
      </c>
      <c r="F125" t="s">
        <v>3145</v>
      </c>
      <c r="G125" t="s">
        <v>9</v>
      </c>
      <c r="H125" t="s">
        <v>9</v>
      </c>
      <c r="I125" t="s">
        <v>1146</v>
      </c>
    </row>
    <row r="126" spans="1:9" ht="11.25" customHeight="1">
      <c r="A126" s="1739" t="s">
        <v>2736</v>
      </c>
      <c r="B126" s="1739" t="s">
        <v>3</v>
      </c>
      <c r="C126" t="s">
        <v>3146</v>
      </c>
      <c r="D126" t="s">
        <v>3147</v>
      </c>
      <c r="E126" t="s">
        <v>3148</v>
      </c>
      <c r="F126" t="s">
        <v>2740</v>
      </c>
      <c r="G126" t="s">
        <v>9</v>
      </c>
      <c r="H126" t="s">
        <v>9</v>
      </c>
      <c r="I126" t="s">
        <v>1146</v>
      </c>
    </row>
    <row r="127" spans="1:9" ht="11.25" customHeight="1">
      <c r="A127" s="1739" t="s">
        <v>2736</v>
      </c>
      <c r="B127" s="1739" t="s">
        <v>3</v>
      </c>
      <c r="C127" t="s">
        <v>3149</v>
      </c>
      <c r="D127" t="s">
        <v>3150</v>
      </c>
      <c r="E127" t="s">
        <v>3151</v>
      </c>
      <c r="F127" t="s">
        <v>2740</v>
      </c>
      <c r="G127" t="s">
        <v>3152</v>
      </c>
      <c r="H127" t="s">
        <v>9</v>
      </c>
      <c r="I127" t="s">
        <v>1146</v>
      </c>
    </row>
    <row r="128" spans="1:9" ht="11.25" customHeight="1">
      <c r="A128" s="1739" t="s">
        <v>2736</v>
      </c>
      <c r="B128" s="1739" t="s">
        <v>3</v>
      </c>
      <c r="C128" t="s">
        <v>3153</v>
      </c>
      <c r="D128" t="s">
        <v>3154</v>
      </c>
      <c r="E128" t="s">
        <v>3155</v>
      </c>
      <c r="F128" t="s">
        <v>2777</v>
      </c>
      <c r="G128" t="s">
        <v>9</v>
      </c>
      <c r="H128" t="s">
        <v>9</v>
      </c>
      <c r="I128" t="s">
        <v>1146</v>
      </c>
    </row>
    <row r="129" spans="1:9" ht="11.25" customHeight="1">
      <c r="A129" s="1739" t="s">
        <v>2736</v>
      </c>
      <c r="B129" s="1739" t="s">
        <v>3</v>
      </c>
      <c r="C129" t="s">
        <v>3156</v>
      </c>
      <c r="D129" t="s">
        <v>3157</v>
      </c>
      <c r="E129" t="s">
        <v>3158</v>
      </c>
      <c r="F129" t="s">
        <v>38</v>
      </c>
      <c r="G129" t="s">
        <v>9</v>
      </c>
      <c r="H129" t="s">
        <v>9</v>
      </c>
      <c r="I129" t="s">
        <v>1146</v>
      </c>
    </row>
    <row r="130" spans="1:9" ht="11.25" customHeight="1">
      <c r="A130" s="1739" t="s">
        <v>2736</v>
      </c>
      <c r="B130" s="1739" t="s">
        <v>3</v>
      </c>
      <c r="C130" t="s">
        <v>3159</v>
      </c>
      <c r="D130" t="s">
        <v>3160</v>
      </c>
      <c r="E130" t="s">
        <v>3161</v>
      </c>
      <c r="F130" t="s">
        <v>2788</v>
      </c>
      <c r="G130" t="s">
        <v>9</v>
      </c>
      <c r="H130" t="s">
        <v>9</v>
      </c>
      <c r="I130" t="s">
        <v>1146</v>
      </c>
    </row>
    <row r="131" spans="1:9" ht="11.25" customHeight="1">
      <c r="A131" s="1739" t="s">
        <v>2736</v>
      </c>
      <c r="B131" s="1739" t="s">
        <v>3</v>
      </c>
      <c r="C131" t="s">
        <v>3162</v>
      </c>
      <c r="D131" t="s">
        <v>3163</v>
      </c>
      <c r="E131" t="s">
        <v>3164</v>
      </c>
      <c r="F131" t="s">
        <v>2801</v>
      </c>
      <c r="G131" t="s">
        <v>9</v>
      </c>
      <c r="H131" t="s">
        <v>9</v>
      </c>
      <c r="I131" t="s">
        <v>1146</v>
      </c>
    </row>
    <row r="132" spans="1:9" ht="11.25" customHeight="1">
      <c r="A132" s="1739" t="s">
        <v>2736</v>
      </c>
      <c r="B132" s="1739" t="s">
        <v>3</v>
      </c>
      <c r="C132" t="s">
        <v>3165</v>
      </c>
      <c r="D132" t="s">
        <v>3166</v>
      </c>
      <c r="E132" t="s">
        <v>3167</v>
      </c>
      <c r="F132" t="s">
        <v>3168</v>
      </c>
      <c r="G132" t="s">
        <v>9</v>
      </c>
      <c r="H132" t="s">
        <v>9</v>
      </c>
      <c r="I132" t="s">
        <v>1146</v>
      </c>
    </row>
    <row r="133" spans="1:9" ht="11.25" customHeight="1">
      <c r="A133" s="1739" t="s">
        <v>2736</v>
      </c>
      <c r="B133" s="1739" t="s">
        <v>3</v>
      </c>
      <c r="C133" t="s">
        <v>3169</v>
      </c>
      <c r="D133" t="s">
        <v>3170</v>
      </c>
      <c r="E133" t="s">
        <v>3171</v>
      </c>
      <c r="F133" t="s">
        <v>2740</v>
      </c>
      <c r="G133" t="s">
        <v>9</v>
      </c>
      <c r="H133" t="s">
        <v>9</v>
      </c>
      <c r="I133" t="s">
        <v>1146</v>
      </c>
    </row>
    <row r="134" spans="1:9" ht="11.25" customHeight="1">
      <c r="A134" s="1739" t="s">
        <v>2736</v>
      </c>
      <c r="B134" s="1739" t="s">
        <v>3</v>
      </c>
      <c r="C134" t="s">
        <v>3172</v>
      </c>
      <c r="D134" t="s">
        <v>3173</v>
      </c>
      <c r="E134" t="s">
        <v>3174</v>
      </c>
      <c r="F134" t="s">
        <v>2740</v>
      </c>
      <c r="G134" t="s">
        <v>9</v>
      </c>
      <c r="H134" t="s">
        <v>9</v>
      </c>
      <c r="I134" t="s">
        <v>1146</v>
      </c>
    </row>
    <row r="135" spans="1:9" ht="11.25" customHeight="1">
      <c r="A135" s="1739" t="s">
        <v>2736</v>
      </c>
      <c r="B135" s="1739" t="s">
        <v>3</v>
      </c>
      <c r="C135" t="s">
        <v>3175</v>
      </c>
      <c r="D135" t="s">
        <v>3176</v>
      </c>
      <c r="E135" t="s">
        <v>3177</v>
      </c>
      <c r="F135" t="s">
        <v>2859</v>
      </c>
      <c r="G135" t="s">
        <v>9</v>
      </c>
      <c r="H135" t="s">
        <v>9</v>
      </c>
      <c r="I135" t="s">
        <v>1146</v>
      </c>
    </row>
    <row r="136" spans="1:9" ht="11.25" customHeight="1">
      <c r="A136" s="1739" t="s">
        <v>2736</v>
      </c>
      <c r="B136" s="1739" t="s">
        <v>3</v>
      </c>
      <c r="C136" t="s">
        <v>3178</v>
      </c>
      <c r="D136" t="s">
        <v>3179</v>
      </c>
      <c r="E136" t="s">
        <v>3180</v>
      </c>
      <c r="F136" t="s">
        <v>2859</v>
      </c>
      <c r="G136" t="s">
        <v>9</v>
      </c>
      <c r="H136" t="s">
        <v>9</v>
      </c>
      <c r="I136" t="s">
        <v>1146</v>
      </c>
    </row>
    <row r="137" spans="1:9" ht="11.25" customHeight="1">
      <c r="A137" s="1739" t="s">
        <v>2736</v>
      </c>
      <c r="B137" s="1739" t="s">
        <v>3</v>
      </c>
      <c r="C137" t="s">
        <v>3181</v>
      </c>
      <c r="D137" t="s">
        <v>3182</v>
      </c>
      <c r="E137" t="s">
        <v>3183</v>
      </c>
      <c r="F137" t="s">
        <v>2974</v>
      </c>
      <c r="G137" t="s">
        <v>3184</v>
      </c>
      <c r="H137" t="s">
        <v>9</v>
      </c>
      <c r="I137" t="s">
        <v>1146</v>
      </c>
    </row>
    <row r="138" spans="1:9" ht="11.25" customHeight="1">
      <c r="A138" s="1739" t="s">
        <v>2736</v>
      </c>
      <c r="B138" s="1739" t="s">
        <v>3</v>
      </c>
      <c r="C138" t="s">
        <v>3185</v>
      </c>
      <c r="D138" t="s">
        <v>3186</v>
      </c>
      <c r="E138" t="s">
        <v>3187</v>
      </c>
      <c r="F138" t="s">
        <v>3188</v>
      </c>
      <c r="G138" t="s">
        <v>9</v>
      </c>
      <c r="H138" t="s">
        <v>9</v>
      </c>
      <c r="I138" t="s">
        <v>1146</v>
      </c>
    </row>
    <row r="139" spans="1:9" ht="11.25" customHeight="1">
      <c r="A139" s="1739" t="s">
        <v>2736</v>
      </c>
      <c r="B139" s="1739" t="s">
        <v>3</v>
      </c>
      <c r="C139" t="s">
        <v>3189</v>
      </c>
      <c r="D139" t="s">
        <v>3190</v>
      </c>
      <c r="E139" t="s">
        <v>3191</v>
      </c>
      <c r="F139" t="s">
        <v>3192</v>
      </c>
      <c r="G139" t="s">
        <v>9</v>
      </c>
      <c r="H139" t="s">
        <v>9</v>
      </c>
      <c r="I139" t="s">
        <v>1146</v>
      </c>
    </row>
    <row r="140" spans="1:9" ht="11.25" customHeight="1">
      <c r="A140" s="1739" t="s">
        <v>2736</v>
      </c>
      <c r="B140" s="1739" t="s">
        <v>3</v>
      </c>
      <c r="C140" t="s">
        <v>3193</v>
      </c>
      <c r="D140" t="s">
        <v>3194</v>
      </c>
      <c r="E140" t="s">
        <v>2969</v>
      </c>
      <c r="F140" t="s">
        <v>3195</v>
      </c>
      <c r="G140" t="s">
        <v>9</v>
      </c>
      <c r="H140" t="s">
        <v>9</v>
      </c>
      <c r="I140" t="s">
        <v>1146</v>
      </c>
    </row>
    <row r="141" spans="1:9" ht="11.25" customHeight="1">
      <c r="A141" s="1739" t="s">
        <v>2736</v>
      </c>
      <c r="B141" s="1739" t="s">
        <v>3</v>
      </c>
      <c r="C141" t="s">
        <v>3196</v>
      </c>
      <c r="D141" t="s">
        <v>3197</v>
      </c>
      <c r="E141" t="s">
        <v>3198</v>
      </c>
      <c r="F141" t="s">
        <v>2763</v>
      </c>
      <c r="G141" t="s">
        <v>9</v>
      </c>
      <c r="H141" t="s">
        <v>9</v>
      </c>
      <c r="I141" t="s">
        <v>1146</v>
      </c>
    </row>
    <row r="142" spans="1:9" ht="11.25" customHeight="1">
      <c r="A142" s="1739" t="s">
        <v>2736</v>
      </c>
      <c r="B142" s="1739" t="s">
        <v>3</v>
      </c>
      <c r="C142" t="s">
        <v>3199</v>
      </c>
      <c r="D142" t="s">
        <v>3200</v>
      </c>
      <c r="E142" t="s">
        <v>3201</v>
      </c>
      <c r="F142" t="s">
        <v>2848</v>
      </c>
      <c r="G142" t="s">
        <v>9</v>
      </c>
      <c r="H142" t="s">
        <v>9</v>
      </c>
      <c r="I142" t="s">
        <v>1146</v>
      </c>
    </row>
    <row r="143" spans="1:9" ht="11.25" customHeight="1">
      <c r="A143" s="1739" t="s">
        <v>2736</v>
      </c>
      <c r="B143" s="1739" t="s">
        <v>3</v>
      </c>
      <c r="C143" t="s">
        <v>3202</v>
      </c>
      <c r="D143" t="s">
        <v>3203</v>
      </c>
      <c r="E143" t="s">
        <v>3204</v>
      </c>
      <c r="F143" t="s">
        <v>2801</v>
      </c>
      <c r="G143" t="s">
        <v>9</v>
      </c>
      <c r="H143" t="s">
        <v>9</v>
      </c>
      <c r="I143" t="s">
        <v>1146</v>
      </c>
    </row>
    <row r="144" spans="1:9" ht="11.25" customHeight="1">
      <c r="A144" s="1739" t="s">
        <v>2736</v>
      </c>
      <c r="B144" s="1739" t="s">
        <v>3</v>
      </c>
      <c r="C144" t="s">
        <v>3205</v>
      </c>
      <c r="D144" t="s">
        <v>3206</v>
      </c>
      <c r="E144" t="s">
        <v>2969</v>
      </c>
      <c r="F144" t="s">
        <v>3207</v>
      </c>
      <c r="G144" t="s">
        <v>9</v>
      </c>
      <c r="H144" t="s">
        <v>9</v>
      </c>
      <c r="I144" t="s">
        <v>1146</v>
      </c>
    </row>
    <row r="145" spans="1:9" ht="11.25" customHeight="1">
      <c r="A145" s="1739" t="s">
        <v>2736</v>
      </c>
      <c r="B145" s="1739" t="s">
        <v>3</v>
      </c>
      <c r="C145" t="s">
        <v>3208</v>
      </c>
      <c r="D145" t="s">
        <v>3209</v>
      </c>
      <c r="E145" t="s">
        <v>3210</v>
      </c>
      <c r="F145" t="s">
        <v>2740</v>
      </c>
      <c r="G145" t="s">
        <v>9</v>
      </c>
      <c r="H145" t="s">
        <v>9</v>
      </c>
      <c r="I145" t="s">
        <v>1146</v>
      </c>
    </row>
    <row r="146" spans="1:9" ht="11.25" customHeight="1">
      <c r="A146" s="1739" t="s">
        <v>2736</v>
      </c>
      <c r="B146" s="1739" t="s">
        <v>3</v>
      </c>
      <c r="C146" t="s">
        <v>3211</v>
      </c>
      <c r="D146" t="s">
        <v>3212</v>
      </c>
      <c r="E146" t="s">
        <v>3213</v>
      </c>
      <c r="F146" t="s">
        <v>2777</v>
      </c>
      <c r="G146" t="s">
        <v>9</v>
      </c>
      <c r="H146" t="s">
        <v>9</v>
      </c>
      <c r="I146" t="s">
        <v>1146</v>
      </c>
    </row>
    <row r="147" spans="1:9" ht="11.25" customHeight="1">
      <c r="A147" s="1739" t="s">
        <v>2736</v>
      </c>
      <c r="B147" s="1739" t="s">
        <v>3</v>
      </c>
      <c r="C147" t="s">
        <v>3214</v>
      </c>
      <c r="D147" t="s">
        <v>3215</v>
      </c>
      <c r="E147" t="s">
        <v>3216</v>
      </c>
      <c r="F147" t="s">
        <v>3217</v>
      </c>
      <c r="G147" t="s">
        <v>9</v>
      </c>
      <c r="H147" t="s">
        <v>9</v>
      </c>
      <c r="I147" t="s">
        <v>1146</v>
      </c>
    </row>
    <row r="148" spans="1:9" ht="11.25" customHeight="1">
      <c r="A148" s="1739" t="s">
        <v>2736</v>
      </c>
      <c r="B148" s="1739" t="s">
        <v>3</v>
      </c>
      <c r="C148" t="s">
        <v>3218</v>
      </c>
      <c r="D148" t="s">
        <v>3219</v>
      </c>
      <c r="E148" t="s">
        <v>3220</v>
      </c>
      <c r="F148" t="s">
        <v>3221</v>
      </c>
      <c r="G148" t="s">
        <v>9</v>
      </c>
      <c r="H148" t="s">
        <v>9</v>
      </c>
      <c r="I148" t="s">
        <v>1146</v>
      </c>
    </row>
    <row r="149" spans="1:9" ht="11.25" customHeight="1">
      <c r="A149" s="1739" t="s">
        <v>2736</v>
      </c>
      <c r="B149" s="1739" t="s">
        <v>3</v>
      </c>
      <c r="C149" t="s">
        <v>3222</v>
      </c>
      <c r="D149" t="s">
        <v>3223</v>
      </c>
      <c r="E149" t="s">
        <v>3224</v>
      </c>
      <c r="F149" t="s">
        <v>2974</v>
      </c>
      <c r="G149" t="s">
        <v>9</v>
      </c>
      <c r="H149" t="s">
        <v>9</v>
      </c>
      <c r="I149" t="s">
        <v>1146</v>
      </c>
    </row>
    <row r="150" spans="1:9" ht="11.25" customHeight="1">
      <c r="A150" s="1739" t="s">
        <v>2736</v>
      </c>
      <c r="B150" s="1739" t="s">
        <v>3</v>
      </c>
      <c r="C150" t="s">
        <v>3225</v>
      </c>
      <c r="D150" t="s">
        <v>3226</v>
      </c>
      <c r="E150" t="s">
        <v>3227</v>
      </c>
      <c r="F150" t="s">
        <v>2974</v>
      </c>
      <c r="G150" t="s">
        <v>9</v>
      </c>
      <c r="H150" t="s">
        <v>9</v>
      </c>
      <c r="I150" t="s">
        <v>1146</v>
      </c>
    </row>
    <row r="151" spans="1:9" ht="11.25" customHeight="1">
      <c r="A151" s="1739" t="s">
        <v>2736</v>
      </c>
      <c r="B151" s="1739" t="s">
        <v>3</v>
      </c>
      <c r="C151" t="s">
        <v>3228</v>
      </c>
      <c r="D151" t="s">
        <v>3229</v>
      </c>
      <c r="E151" t="s">
        <v>3230</v>
      </c>
      <c r="F151" t="s">
        <v>2763</v>
      </c>
      <c r="G151" t="s">
        <v>9</v>
      </c>
      <c r="H151" t="s">
        <v>9</v>
      </c>
      <c r="I151" t="s">
        <v>1146</v>
      </c>
    </row>
    <row r="152" spans="1:9" ht="11.25" customHeight="1">
      <c r="A152" s="1739" t="s">
        <v>2736</v>
      </c>
      <c r="B152" s="1739" t="s">
        <v>3</v>
      </c>
      <c r="C152" t="s">
        <v>3231</v>
      </c>
      <c r="D152" t="s">
        <v>3232</v>
      </c>
      <c r="E152" t="s">
        <v>3233</v>
      </c>
      <c r="F152" t="s">
        <v>3234</v>
      </c>
      <c r="G152" t="s">
        <v>9</v>
      </c>
      <c r="H152" t="s">
        <v>9</v>
      </c>
      <c r="I152" t="s">
        <v>1146</v>
      </c>
    </row>
    <row r="153" spans="1:9" ht="11.25" customHeight="1">
      <c r="A153" s="1739" t="s">
        <v>2736</v>
      </c>
      <c r="B153" s="1739" t="s">
        <v>3</v>
      </c>
      <c r="C153" t="s">
        <v>3235</v>
      </c>
      <c r="D153" t="s">
        <v>3236</v>
      </c>
      <c r="E153" t="s">
        <v>3237</v>
      </c>
      <c r="F153" t="s">
        <v>3238</v>
      </c>
      <c r="G153" t="s">
        <v>9</v>
      </c>
      <c r="H153" t="s">
        <v>9</v>
      </c>
      <c r="I153" t="s">
        <v>1146</v>
      </c>
    </row>
    <row r="154" spans="1:9" ht="11.25" customHeight="1">
      <c r="A154" s="1739" t="s">
        <v>2736</v>
      </c>
      <c r="B154" s="1739" t="s">
        <v>3</v>
      </c>
      <c r="C154" t="s">
        <v>3239</v>
      </c>
      <c r="D154" t="s">
        <v>3240</v>
      </c>
      <c r="E154" t="s">
        <v>3241</v>
      </c>
      <c r="F154" t="s">
        <v>3192</v>
      </c>
      <c r="G154" t="s">
        <v>9</v>
      </c>
      <c r="H154" t="s">
        <v>9</v>
      </c>
      <c r="I154" t="s">
        <v>1146</v>
      </c>
    </row>
    <row r="155" spans="1:9" ht="11.25" customHeight="1">
      <c r="A155" s="1739" t="s">
        <v>2736</v>
      </c>
      <c r="B155" s="1739" t="s">
        <v>3</v>
      </c>
      <c r="C155" t="s">
        <v>3242</v>
      </c>
      <c r="D155" t="s">
        <v>3243</v>
      </c>
      <c r="E155" t="s">
        <v>3210</v>
      </c>
      <c r="F155" t="s">
        <v>3244</v>
      </c>
      <c r="G155" t="s">
        <v>9</v>
      </c>
      <c r="H155" t="s">
        <v>9</v>
      </c>
      <c r="I155" t="s">
        <v>1146</v>
      </c>
    </row>
    <row r="156" spans="1:9" ht="11.25" customHeight="1">
      <c r="A156" s="1739" t="s">
        <v>2736</v>
      </c>
      <c r="B156" s="1739" t="s">
        <v>3</v>
      </c>
      <c r="C156" t="s">
        <v>3245</v>
      </c>
      <c r="D156" t="s">
        <v>3246</v>
      </c>
      <c r="E156" t="s">
        <v>3210</v>
      </c>
      <c r="F156" t="s">
        <v>3247</v>
      </c>
      <c r="G156" t="s">
        <v>9</v>
      </c>
      <c r="H156" t="s">
        <v>9</v>
      </c>
      <c r="I156" t="s">
        <v>1146</v>
      </c>
    </row>
    <row r="157" spans="1:9" ht="11.25" customHeight="1">
      <c r="A157" s="1739" t="s">
        <v>2736</v>
      </c>
      <c r="B157" s="1739" t="s">
        <v>3</v>
      </c>
      <c r="C157" t="s">
        <v>2742</v>
      </c>
      <c r="D157" t="s">
        <v>2743</v>
      </c>
      <c r="E157" t="s">
        <v>2744</v>
      </c>
      <c r="F157" t="s">
        <v>2745</v>
      </c>
      <c r="G157" t="s">
        <v>9</v>
      </c>
      <c r="H157" t="s">
        <v>9</v>
      </c>
      <c r="I157" t="s">
        <v>1234</v>
      </c>
    </row>
    <row r="158" spans="1:9" ht="11.25" customHeight="1">
      <c r="A158" s="1739" t="s">
        <v>2736</v>
      </c>
      <c r="B158" s="1739" t="s">
        <v>3</v>
      </c>
      <c r="C158" t="s">
        <v>2746</v>
      </c>
      <c r="D158" t="s">
        <v>2743</v>
      </c>
      <c r="E158" t="s">
        <v>2744</v>
      </c>
      <c r="F158" t="s">
        <v>2747</v>
      </c>
      <c r="G158" t="s">
        <v>9</v>
      </c>
      <c r="H158" t="s">
        <v>9</v>
      </c>
      <c r="I158" t="s">
        <v>1234</v>
      </c>
    </row>
    <row r="159" spans="1:9" ht="11.25" customHeight="1">
      <c r="A159" s="1739" t="s">
        <v>2736</v>
      </c>
      <c r="B159" s="1739" t="s">
        <v>3</v>
      </c>
      <c r="C159" t="s">
        <v>2767</v>
      </c>
      <c r="D159" t="s">
        <v>2768</v>
      </c>
      <c r="E159" t="s">
        <v>2769</v>
      </c>
      <c r="F159" t="s">
        <v>2747</v>
      </c>
      <c r="G159" t="s">
        <v>9</v>
      </c>
      <c r="H159" t="s">
        <v>9</v>
      </c>
      <c r="I159" t="s">
        <v>1234</v>
      </c>
    </row>
    <row r="160" spans="1:9" ht="11.25" customHeight="1">
      <c r="A160" s="1739" t="s">
        <v>2736</v>
      </c>
      <c r="B160" s="1739" t="s">
        <v>3</v>
      </c>
      <c r="C160" t="s">
        <v>2770</v>
      </c>
      <c r="D160" t="s">
        <v>2771</v>
      </c>
      <c r="E160" t="s">
        <v>2772</v>
      </c>
      <c r="F160" t="s">
        <v>2773</v>
      </c>
      <c r="G160" t="s">
        <v>9</v>
      </c>
      <c r="H160" t="s">
        <v>9</v>
      </c>
      <c r="I160" t="s">
        <v>1234</v>
      </c>
    </row>
    <row r="161" spans="1:9" ht="11.25" customHeight="1">
      <c r="A161" s="1739" t="s">
        <v>2736</v>
      </c>
      <c r="B161" s="1739" t="s">
        <v>3</v>
      </c>
      <c r="C161" t="s">
        <v>2774</v>
      </c>
      <c r="D161" t="s">
        <v>2775</v>
      </c>
      <c r="E161" t="s">
        <v>2776</v>
      </c>
      <c r="F161" t="s">
        <v>2777</v>
      </c>
      <c r="G161" t="s">
        <v>9</v>
      </c>
      <c r="H161" t="s">
        <v>9</v>
      </c>
      <c r="I161" t="s">
        <v>1234</v>
      </c>
    </row>
    <row r="162" spans="1:9" ht="11.25" customHeight="1">
      <c r="A162" s="1739" t="s">
        <v>2736</v>
      </c>
      <c r="B162" s="1739" t="s">
        <v>3</v>
      </c>
      <c r="C162" t="s">
        <v>2785</v>
      </c>
      <c r="D162" t="s">
        <v>2786</v>
      </c>
      <c r="E162" t="s">
        <v>2787</v>
      </c>
      <c r="F162" t="s">
        <v>2788</v>
      </c>
      <c r="G162" t="s">
        <v>2789</v>
      </c>
      <c r="H162" t="s">
        <v>9</v>
      </c>
      <c r="I162" t="s">
        <v>1234</v>
      </c>
    </row>
    <row r="163" spans="1:9" ht="11.25" customHeight="1">
      <c r="A163" s="1739" t="s">
        <v>2736</v>
      </c>
      <c r="B163" s="1739" t="s">
        <v>3</v>
      </c>
      <c r="C163" t="s">
        <v>2790</v>
      </c>
      <c r="D163" t="s">
        <v>2791</v>
      </c>
      <c r="E163" t="s">
        <v>2792</v>
      </c>
      <c r="F163" t="s">
        <v>2793</v>
      </c>
      <c r="G163" t="s">
        <v>9</v>
      </c>
      <c r="H163" t="s">
        <v>9</v>
      </c>
      <c r="I163" t="s">
        <v>1234</v>
      </c>
    </row>
    <row r="164" spans="1:9" ht="11.25" customHeight="1">
      <c r="A164" s="1739" t="s">
        <v>2736</v>
      </c>
      <c r="B164" s="1739" t="s">
        <v>3</v>
      </c>
      <c r="C164" t="s">
        <v>2798</v>
      </c>
      <c r="D164" t="s">
        <v>2799</v>
      </c>
      <c r="E164" t="s">
        <v>2800</v>
      </c>
      <c r="F164" t="s">
        <v>2801</v>
      </c>
      <c r="G164" t="s">
        <v>9</v>
      </c>
      <c r="H164" t="s">
        <v>9</v>
      </c>
      <c r="I164" t="s">
        <v>1234</v>
      </c>
    </row>
    <row r="165" spans="1:9" ht="11.25" customHeight="1">
      <c r="A165" s="1739" t="s">
        <v>2736</v>
      </c>
      <c r="B165" s="1739" t="s">
        <v>3</v>
      </c>
      <c r="C165" t="s">
        <v>2806</v>
      </c>
      <c r="D165" t="s">
        <v>2807</v>
      </c>
      <c r="E165" t="s">
        <v>2808</v>
      </c>
      <c r="F165" t="s">
        <v>38</v>
      </c>
      <c r="G165" t="s">
        <v>9</v>
      </c>
      <c r="H165" t="s">
        <v>9</v>
      </c>
      <c r="I165" t="s">
        <v>1234</v>
      </c>
    </row>
    <row r="166" spans="1:9" ht="11.25" customHeight="1">
      <c r="A166" s="1739" t="s">
        <v>2736</v>
      </c>
      <c r="B166" s="1739" t="s">
        <v>3</v>
      </c>
      <c r="C166" t="s">
        <v>9</v>
      </c>
      <c r="D166" t="s">
        <v>2843</v>
      </c>
      <c r="E166" t="s">
        <v>2844</v>
      </c>
      <c r="F166" t="s">
        <v>2788</v>
      </c>
      <c r="G166" t="s">
        <v>9</v>
      </c>
      <c r="H166" t="s">
        <v>9</v>
      </c>
      <c r="I166" t="s">
        <v>1234</v>
      </c>
    </row>
    <row r="167" spans="1:9" ht="11.25" customHeight="1">
      <c r="A167" s="1739" t="s">
        <v>2736</v>
      </c>
      <c r="B167" s="1739" t="s">
        <v>3</v>
      </c>
      <c r="C167" t="s">
        <v>2871</v>
      </c>
      <c r="D167" t="s">
        <v>2872</v>
      </c>
      <c r="E167" t="s">
        <v>2873</v>
      </c>
      <c r="F167" t="s">
        <v>2763</v>
      </c>
      <c r="G167" t="s">
        <v>9</v>
      </c>
      <c r="H167" t="s">
        <v>9</v>
      </c>
      <c r="I167" t="s">
        <v>1234</v>
      </c>
    </row>
    <row r="168" spans="1:9" ht="11.25" customHeight="1">
      <c r="A168" s="1739" t="s">
        <v>2736</v>
      </c>
      <c r="B168" s="1739" t="s">
        <v>3</v>
      </c>
      <c r="C168" t="s">
        <v>2874</v>
      </c>
      <c r="D168" t="s">
        <v>2875</v>
      </c>
      <c r="E168" t="s">
        <v>2876</v>
      </c>
      <c r="F168" t="s">
        <v>2763</v>
      </c>
      <c r="G168" t="s">
        <v>2877</v>
      </c>
      <c r="H168" t="s">
        <v>9</v>
      </c>
      <c r="I168" t="s">
        <v>1234</v>
      </c>
    </row>
    <row r="169" spans="1:9" ht="11.25" customHeight="1">
      <c r="A169" s="1739" t="s">
        <v>2736</v>
      </c>
      <c r="B169" s="1739" t="s">
        <v>3</v>
      </c>
      <c r="C169" t="s">
        <v>2884</v>
      </c>
      <c r="D169" t="s">
        <v>2885</v>
      </c>
      <c r="E169" t="s">
        <v>2886</v>
      </c>
      <c r="F169" t="s">
        <v>2852</v>
      </c>
      <c r="G169" t="s">
        <v>9</v>
      </c>
      <c r="H169" t="s">
        <v>2887</v>
      </c>
      <c r="I169" t="s">
        <v>1234</v>
      </c>
    </row>
    <row r="170" spans="1:9" ht="11.25" customHeight="1">
      <c r="A170" s="1739" t="s">
        <v>2736</v>
      </c>
      <c r="B170" s="1739" t="s">
        <v>3</v>
      </c>
      <c r="C170" t="s">
        <v>2891</v>
      </c>
      <c r="D170" t="s">
        <v>2885</v>
      </c>
      <c r="E170" t="s">
        <v>2892</v>
      </c>
      <c r="F170" t="s">
        <v>2893</v>
      </c>
      <c r="G170" t="s">
        <v>9</v>
      </c>
      <c r="H170" t="s">
        <v>9</v>
      </c>
      <c r="I170" t="s">
        <v>1234</v>
      </c>
    </row>
    <row r="171" spans="1:9" ht="11.25" customHeight="1">
      <c r="A171" s="1739" t="s">
        <v>2736</v>
      </c>
      <c r="B171" s="1739" t="s">
        <v>3</v>
      </c>
      <c r="C171" t="s">
        <v>2899</v>
      </c>
      <c r="D171" t="s">
        <v>2900</v>
      </c>
      <c r="E171" t="s">
        <v>2901</v>
      </c>
      <c r="F171" t="s">
        <v>2797</v>
      </c>
      <c r="G171" t="s">
        <v>9</v>
      </c>
      <c r="H171" t="s">
        <v>9</v>
      </c>
      <c r="I171" t="s">
        <v>1234</v>
      </c>
    </row>
    <row r="172" spans="1:9" ht="11.25" customHeight="1">
      <c r="A172" s="1739" t="s">
        <v>2736</v>
      </c>
      <c r="B172" s="1739" t="s">
        <v>3</v>
      </c>
      <c r="C172" t="s">
        <v>2902</v>
      </c>
      <c r="D172" t="s">
        <v>2903</v>
      </c>
      <c r="E172" t="s">
        <v>2904</v>
      </c>
      <c r="F172" t="s">
        <v>2763</v>
      </c>
      <c r="G172" t="s">
        <v>9</v>
      </c>
      <c r="H172" t="s">
        <v>9</v>
      </c>
      <c r="I172" t="s">
        <v>1234</v>
      </c>
    </row>
    <row r="173" spans="1:9" ht="11.25" customHeight="1">
      <c r="A173" s="1739" t="s">
        <v>2736</v>
      </c>
      <c r="B173" s="1739" t="s">
        <v>3</v>
      </c>
      <c r="C173" t="s">
        <v>2908</v>
      </c>
      <c r="D173" t="s">
        <v>2909</v>
      </c>
      <c r="E173" t="s">
        <v>2910</v>
      </c>
      <c r="F173" t="s">
        <v>2763</v>
      </c>
      <c r="G173" t="s">
        <v>2911</v>
      </c>
      <c r="H173" t="s">
        <v>9</v>
      </c>
      <c r="I173" t="s">
        <v>1234</v>
      </c>
    </row>
    <row r="174" spans="1:9" ht="11.25" customHeight="1">
      <c r="A174" s="1739" t="s">
        <v>2736</v>
      </c>
      <c r="B174" s="1739" t="s">
        <v>3</v>
      </c>
      <c r="C174" t="s">
        <v>2915</v>
      </c>
      <c r="D174" t="s">
        <v>2916</v>
      </c>
      <c r="E174" t="s">
        <v>2917</v>
      </c>
      <c r="F174" t="s">
        <v>2788</v>
      </c>
      <c r="G174" t="s">
        <v>9</v>
      </c>
      <c r="H174" t="s">
        <v>9</v>
      </c>
      <c r="I174" t="s">
        <v>1234</v>
      </c>
    </row>
    <row r="175" spans="1:9" ht="11.25" customHeight="1">
      <c r="A175" s="1739" t="s">
        <v>2736</v>
      </c>
      <c r="B175" s="1739" t="s">
        <v>3</v>
      </c>
      <c r="C175" t="s">
        <v>2918</v>
      </c>
      <c r="D175" t="s">
        <v>2919</v>
      </c>
      <c r="E175" t="s">
        <v>2920</v>
      </c>
      <c r="F175" t="s">
        <v>2921</v>
      </c>
      <c r="G175" t="s">
        <v>9</v>
      </c>
      <c r="H175" t="s">
        <v>9</v>
      </c>
      <c r="I175" t="s">
        <v>1234</v>
      </c>
    </row>
    <row r="176" spans="1:9" ht="11.25" customHeight="1">
      <c r="A176" s="1739" t="s">
        <v>2736</v>
      </c>
      <c r="B176" s="1739" t="s">
        <v>3</v>
      </c>
      <c r="C176" t="s">
        <v>2922</v>
      </c>
      <c r="D176" t="s">
        <v>2923</v>
      </c>
      <c r="E176" t="s">
        <v>2924</v>
      </c>
      <c r="F176" t="s">
        <v>2859</v>
      </c>
      <c r="G176" t="s">
        <v>2925</v>
      </c>
      <c r="H176" t="s">
        <v>9</v>
      </c>
      <c r="I176" t="s">
        <v>1234</v>
      </c>
    </row>
    <row r="177" spans="1:9" ht="11.25" customHeight="1">
      <c r="A177" s="1739" t="s">
        <v>2736</v>
      </c>
      <c r="B177" s="1739" t="s">
        <v>3</v>
      </c>
      <c r="C177" t="s">
        <v>2929</v>
      </c>
      <c r="D177" t="s">
        <v>2930</v>
      </c>
      <c r="E177" t="s">
        <v>2931</v>
      </c>
      <c r="F177" t="s">
        <v>2740</v>
      </c>
      <c r="G177" t="s">
        <v>2932</v>
      </c>
      <c r="H177" t="s">
        <v>2933</v>
      </c>
      <c r="I177" t="s">
        <v>1234</v>
      </c>
    </row>
    <row r="178" spans="1:9" ht="11.25" customHeight="1">
      <c r="A178" s="1739" t="s">
        <v>2736</v>
      </c>
      <c r="B178" s="1739" t="s">
        <v>3</v>
      </c>
      <c r="C178" t="s">
        <v>2938</v>
      </c>
      <c r="D178" t="s">
        <v>2939</v>
      </c>
      <c r="E178" t="s">
        <v>2940</v>
      </c>
      <c r="F178" t="s">
        <v>2852</v>
      </c>
      <c r="G178" t="s">
        <v>9</v>
      </c>
      <c r="H178" t="s">
        <v>9</v>
      </c>
      <c r="I178" t="s">
        <v>1234</v>
      </c>
    </row>
    <row r="179" spans="1:9" ht="11.25" customHeight="1">
      <c r="A179" s="1739" t="s">
        <v>2736</v>
      </c>
      <c r="B179" s="1739" t="s">
        <v>3</v>
      </c>
      <c r="C179" t="s">
        <v>2945</v>
      </c>
      <c r="D179" t="s">
        <v>2946</v>
      </c>
      <c r="E179" t="s">
        <v>2947</v>
      </c>
      <c r="F179" t="s">
        <v>2763</v>
      </c>
      <c r="G179" t="s">
        <v>9</v>
      </c>
      <c r="H179" t="s">
        <v>9</v>
      </c>
      <c r="I179" t="s">
        <v>1234</v>
      </c>
    </row>
    <row r="180" spans="1:9" ht="11.25" customHeight="1">
      <c r="A180" s="1739" t="s">
        <v>2736</v>
      </c>
      <c r="B180" s="1739" t="s">
        <v>3</v>
      </c>
      <c r="C180" t="s">
        <v>2967</v>
      </c>
      <c r="D180" t="s">
        <v>2968</v>
      </c>
      <c r="E180" t="s">
        <v>2969</v>
      </c>
      <c r="F180" t="s">
        <v>2970</v>
      </c>
      <c r="G180" t="s">
        <v>9</v>
      </c>
      <c r="H180" t="s">
        <v>9</v>
      </c>
      <c r="I180" t="s">
        <v>1234</v>
      </c>
    </row>
    <row r="181" spans="1:9" ht="11.25" customHeight="1">
      <c r="A181" s="1739" t="s">
        <v>2736</v>
      </c>
      <c r="B181" s="1739" t="s">
        <v>3</v>
      </c>
      <c r="C181" t="s">
        <v>2971</v>
      </c>
      <c r="D181" t="s">
        <v>2972</v>
      </c>
      <c r="E181" t="s">
        <v>2973</v>
      </c>
      <c r="F181" t="s">
        <v>2974</v>
      </c>
      <c r="G181" t="s">
        <v>9</v>
      </c>
      <c r="H181" t="s">
        <v>9</v>
      </c>
      <c r="I181" t="s">
        <v>1234</v>
      </c>
    </row>
    <row r="182" spans="1:9" ht="11.25" customHeight="1">
      <c r="A182" s="1739" t="s">
        <v>2736</v>
      </c>
      <c r="B182" s="1739" t="s">
        <v>3</v>
      </c>
      <c r="C182" t="s">
        <v>2975</v>
      </c>
      <c r="D182" t="s">
        <v>2976</v>
      </c>
      <c r="E182" t="s">
        <v>2977</v>
      </c>
      <c r="F182" t="s">
        <v>2921</v>
      </c>
      <c r="G182" t="s">
        <v>9</v>
      </c>
      <c r="H182" t="s">
        <v>9</v>
      </c>
      <c r="I182" t="s">
        <v>1234</v>
      </c>
    </row>
    <row r="183" spans="1:9" ht="11.25" customHeight="1">
      <c r="A183" s="1739" t="s">
        <v>2736</v>
      </c>
      <c r="B183" s="1739" t="s">
        <v>3</v>
      </c>
      <c r="C183" t="s">
        <v>2994</v>
      </c>
      <c r="D183" t="s">
        <v>2995</v>
      </c>
      <c r="E183" t="s">
        <v>2996</v>
      </c>
      <c r="F183" t="s">
        <v>2788</v>
      </c>
      <c r="G183" t="s">
        <v>9</v>
      </c>
      <c r="H183" t="s">
        <v>9</v>
      </c>
      <c r="I183" t="s">
        <v>1234</v>
      </c>
    </row>
    <row r="184" spans="1:9" ht="11.25" customHeight="1">
      <c r="A184" s="1739" t="s">
        <v>2736</v>
      </c>
      <c r="B184" s="1739" t="s">
        <v>3</v>
      </c>
      <c r="C184" t="s">
        <v>3000</v>
      </c>
      <c r="D184" t="s">
        <v>3001</v>
      </c>
      <c r="E184" t="s">
        <v>3002</v>
      </c>
      <c r="F184" t="s">
        <v>38</v>
      </c>
      <c r="G184" t="s">
        <v>9</v>
      </c>
      <c r="H184" t="s">
        <v>9</v>
      </c>
      <c r="I184" t="s">
        <v>1234</v>
      </c>
    </row>
    <row r="185" spans="1:9" ht="11.25" customHeight="1">
      <c r="A185" s="1739" t="s">
        <v>2736</v>
      </c>
      <c r="B185" s="1739" t="s">
        <v>3</v>
      </c>
      <c r="C185" t="s">
        <v>3003</v>
      </c>
      <c r="D185" t="s">
        <v>3004</v>
      </c>
      <c r="E185" t="s">
        <v>3005</v>
      </c>
      <c r="F185" t="s">
        <v>3006</v>
      </c>
      <c r="G185" t="s">
        <v>9</v>
      </c>
      <c r="H185" t="s">
        <v>9</v>
      </c>
      <c r="I185" t="s">
        <v>1234</v>
      </c>
    </row>
    <row r="186" spans="1:9" ht="11.25" customHeight="1">
      <c r="A186" s="1739" t="s">
        <v>2736</v>
      </c>
      <c r="B186" s="1739" t="s">
        <v>3</v>
      </c>
      <c r="C186" t="s">
        <v>3010</v>
      </c>
      <c r="D186" t="s">
        <v>3011</v>
      </c>
      <c r="E186" t="s">
        <v>3012</v>
      </c>
      <c r="F186" t="s">
        <v>2740</v>
      </c>
      <c r="G186" t="s">
        <v>9</v>
      </c>
      <c r="H186" t="s">
        <v>9</v>
      </c>
      <c r="I186" t="s">
        <v>1234</v>
      </c>
    </row>
    <row r="187" spans="1:9" ht="11.25" customHeight="1">
      <c r="A187" s="1739" t="s">
        <v>2736</v>
      </c>
      <c r="B187" s="1739" t="s">
        <v>3</v>
      </c>
      <c r="C187" t="s">
        <v>3019</v>
      </c>
      <c r="D187" t="s">
        <v>3020</v>
      </c>
      <c r="E187" t="s">
        <v>3021</v>
      </c>
      <c r="F187" t="s">
        <v>2740</v>
      </c>
      <c r="G187" t="s">
        <v>9</v>
      </c>
      <c r="H187" t="s">
        <v>9</v>
      </c>
      <c r="I187" t="s">
        <v>1234</v>
      </c>
    </row>
    <row r="188" spans="1:9" ht="11.25" customHeight="1">
      <c r="A188" s="1739" t="s">
        <v>2736</v>
      </c>
      <c r="B188" s="1739" t="s">
        <v>3</v>
      </c>
      <c r="C188" t="s">
        <v>3022</v>
      </c>
      <c r="D188" t="s">
        <v>3023</v>
      </c>
      <c r="E188" t="s">
        <v>3024</v>
      </c>
      <c r="F188" t="s">
        <v>2788</v>
      </c>
      <c r="G188" t="s">
        <v>9</v>
      </c>
      <c r="H188" t="s">
        <v>9</v>
      </c>
      <c r="I188" t="s">
        <v>1234</v>
      </c>
    </row>
    <row r="189" spans="1:9" ht="11.25" customHeight="1">
      <c r="A189" s="1739" t="s">
        <v>2736</v>
      </c>
      <c r="B189" s="1739" t="s">
        <v>3</v>
      </c>
      <c r="C189" t="s">
        <v>3034</v>
      </c>
      <c r="D189" t="s">
        <v>3035</v>
      </c>
      <c r="E189" t="s">
        <v>3036</v>
      </c>
      <c r="F189" t="s">
        <v>2974</v>
      </c>
      <c r="G189" t="s">
        <v>9</v>
      </c>
      <c r="H189" t="s">
        <v>9</v>
      </c>
      <c r="I189" t="s">
        <v>1234</v>
      </c>
    </row>
    <row r="190" spans="1:9" ht="11.25" customHeight="1">
      <c r="A190" s="1739" t="s">
        <v>2736</v>
      </c>
      <c r="B190" s="1739" t="s">
        <v>3</v>
      </c>
      <c r="C190" t="s">
        <v>3037</v>
      </c>
      <c r="D190" t="s">
        <v>3038</v>
      </c>
      <c r="E190" t="s">
        <v>3039</v>
      </c>
      <c r="F190" t="s">
        <v>2801</v>
      </c>
      <c r="G190" t="s">
        <v>9</v>
      </c>
      <c r="H190" t="s">
        <v>9</v>
      </c>
      <c r="I190" t="s">
        <v>1234</v>
      </c>
    </row>
    <row r="191" spans="1:9" ht="11.25" customHeight="1">
      <c r="A191" s="1739" t="s">
        <v>2736</v>
      </c>
      <c r="B191" s="1739" t="s">
        <v>3</v>
      </c>
      <c r="C191" t="s">
        <v>3047</v>
      </c>
      <c r="D191" t="s">
        <v>3048</v>
      </c>
      <c r="E191" t="s">
        <v>3049</v>
      </c>
      <c r="F191" t="s">
        <v>2763</v>
      </c>
      <c r="G191" t="s">
        <v>3046</v>
      </c>
      <c r="H191" t="s">
        <v>9</v>
      </c>
      <c r="I191" t="s">
        <v>1234</v>
      </c>
    </row>
    <row r="192" spans="1:9" ht="11.25" customHeight="1">
      <c r="A192" s="1739" t="s">
        <v>2736</v>
      </c>
      <c r="B192" s="1739" t="s">
        <v>3</v>
      </c>
      <c r="C192" t="s">
        <v>3050</v>
      </c>
      <c r="D192" t="s">
        <v>3051</v>
      </c>
      <c r="E192" t="s">
        <v>3052</v>
      </c>
      <c r="F192" t="s">
        <v>2859</v>
      </c>
      <c r="G192" t="s">
        <v>9</v>
      </c>
      <c r="H192" t="s">
        <v>9</v>
      </c>
      <c r="I192" t="s">
        <v>1234</v>
      </c>
    </row>
    <row r="193" spans="1:9" ht="11.25" customHeight="1">
      <c r="A193" s="1739" t="s">
        <v>2736</v>
      </c>
      <c r="B193" s="1739" t="s">
        <v>3</v>
      </c>
      <c r="C193" t="s">
        <v>3057</v>
      </c>
      <c r="D193" t="s">
        <v>3058</v>
      </c>
      <c r="E193" t="s">
        <v>3059</v>
      </c>
      <c r="F193" t="s">
        <v>2763</v>
      </c>
      <c r="G193" t="s">
        <v>9</v>
      </c>
      <c r="H193" t="s">
        <v>9</v>
      </c>
      <c r="I193" t="s">
        <v>1234</v>
      </c>
    </row>
    <row r="194" spans="1:9" ht="11.25" customHeight="1">
      <c r="A194" s="1739" t="s">
        <v>2736</v>
      </c>
      <c r="B194" s="1739" t="s">
        <v>3</v>
      </c>
      <c r="C194" t="s">
        <v>3060</v>
      </c>
      <c r="D194" t="s">
        <v>3061</v>
      </c>
      <c r="E194" t="s">
        <v>3062</v>
      </c>
      <c r="F194" t="s">
        <v>2763</v>
      </c>
      <c r="G194" t="s">
        <v>9</v>
      </c>
      <c r="H194" t="s">
        <v>9</v>
      </c>
      <c r="I194" t="s">
        <v>1234</v>
      </c>
    </row>
    <row r="195" spans="1:9" ht="11.25" customHeight="1">
      <c r="A195" s="1739" t="s">
        <v>2736</v>
      </c>
      <c r="B195" s="1739" t="s">
        <v>3</v>
      </c>
      <c r="C195" t="s">
        <v>3063</v>
      </c>
      <c r="D195" t="s">
        <v>3064</v>
      </c>
      <c r="E195" t="s">
        <v>3065</v>
      </c>
      <c r="F195" t="s">
        <v>2763</v>
      </c>
      <c r="G195" t="s">
        <v>9</v>
      </c>
      <c r="H195" t="s">
        <v>9</v>
      </c>
      <c r="I195" t="s">
        <v>1234</v>
      </c>
    </row>
    <row r="196" spans="1:9" ht="11.25" customHeight="1">
      <c r="A196" s="1739" t="s">
        <v>2736</v>
      </c>
      <c r="B196" s="1739" t="s">
        <v>3</v>
      </c>
      <c r="C196" t="s">
        <v>3069</v>
      </c>
      <c r="D196" t="s">
        <v>3070</v>
      </c>
      <c r="E196" t="s">
        <v>3071</v>
      </c>
      <c r="F196" t="s">
        <v>2763</v>
      </c>
      <c r="G196" t="s">
        <v>9</v>
      </c>
      <c r="H196" t="s">
        <v>9</v>
      </c>
      <c r="I196" t="s">
        <v>1234</v>
      </c>
    </row>
    <row r="197" spans="1:9" ht="11.25" customHeight="1">
      <c r="A197" s="1739" t="s">
        <v>2736</v>
      </c>
      <c r="B197" s="1739" t="s">
        <v>3</v>
      </c>
      <c r="C197" t="s">
        <v>3077</v>
      </c>
      <c r="D197" t="s">
        <v>3078</v>
      </c>
      <c r="E197" t="s">
        <v>3079</v>
      </c>
      <c r="F197" t="s">
        <v>2763</v>
      </c>
      <c r="G197" t="s">
        <v>9</v>
      </c>
      <c r="H197" t="s">
        <v>9</v>
      </c>
      <c r="I197" t="s">
        <v>1234</v>
      </c>
    </row>
    <row r="198" spans="1:9" ht="11.25" customHeight="1">
      <c r="A198" s="1739" t="s">
        <v>2736</v>
      </c>
      <c r="B198" s="1739" t="s">
        <v>3</v>
      </c>
      <c r="C198" t="s">
        <v>3083</v>
      </c>
      <c r="D198" t="s">
        <v>3084</v>
      </c>
      <c r="E198" t="s">
        <v>3085</v>
      </c>
      <c r="F198" t="s">
        <v>38</v>
      </c>
      <c r="G198" t="s">
        <v>9</v>
      </c>
      <c r="H198" t="s">
        <v>9</v>
      </c>
      <c r="I198" t="s">
        <v>1234</v>
      </c>
    </row>
    <row r="199" spans="1:9" ht="11.25" customHeight="1">
      <c r="A199" s="1739" t="s">
        <v>2736</v>
      </c>
      <c r="B199" s="1739" t="s">
        <v>3</v>
      </c>
      <c r="C199" t="s">
        <v>3089</v>
      </c>
      <c r="D199" t="s">
        <v>3090</v>
      </c>
      <c r="E199" t="s">
        <v>3091</v>
      </c>
      <c r="F199" t="s">
        <v>2740</v>
      </c>
      <c r="G199" t="s">
        <v>9</v>
      </c>
      <c r="H199" t="s">
        <v>9</v>
      </c>
      <c r="I199" t="s">
        <v>1234</v>
      </c>
    </row>
    <row r="200" spans="1:9" ht="11.25" customHeight="1">
      <c r="A200" s="1739" t="s">
        <v>2736</v>
      </c>
      <c r="B200" s="1739" t="s">
        <v>3</v>
      </c>
      <c r="C200" t="s">
        <v>3095</v>
      </c>
      <c r="D200" t="s">
        <v>3096</v>
      </c>
      <c r="E200" t="s">
        <v>3097</v>
      </c>
      <c r="F200" t="s">
        <v>2740</v>
      </c>
      <c r="G200" t="s">
        <v>2963</v>
      </c>
      <c r="H200" t="s">
        <v>9</v>
      </c>
      <c r="I200" t="s">
        <v>1234</v>
      </c>
    </row>
    <row r="201" spans="1:9" ht="11.25" customHeight="1">
      <c r="A201" s="1739" t="s">
        <v>2736</v>
      </c>
      <c r="B201" s="1739" t="s">
        <v>3</v>
      </c>
      <c r="C201" t="s">
        <v>3107</v>
      </c>
      <c r="D201" t="s">
        <v>3108</v>
      </c>
      <c r="E201" t="s">
        <v>3109</v>
      </c>
      <c r="F201" t="s">
        <v>2848</v>
      </c>
      <c r="G201" t="s">
        <v>9</v>
      </c>
      <c r="H201" t="s">
        <v>9</v>
      </c>
      <c r="I201" t="s">
        <v>1234</v>
      </c>
    </row>
    <row r="202" spans="1:9" ht="11.25" customHeight="1">
      <c r="A202" s="1739" t="s">
        <v>2736</v>
      </c>
      <c r="B202" s="1739" t="s">
        <v>3</v>
      </c>
      <c r="C202" t="s">
        <v>3110</v>
      </c>
      <c r="D202" t="s">
        <v>3111</v>
      </c>
      <c r="E202" t="s">
        <v>3112</v>
      </c>
      <c r="F202" t="s">
        <v>2763</v>
      </c>
      <c r="G202" t="s">
        <v>9</v>
      </c>
      <c r="H202" t="s">
        <v>9</v>
      </c>
      <c r="I202" t="s">
        <v>1234</v>
      </c>
    </row>
    <row r="203" spans="1:9" ht="11.25" customHeight="1">
      <c r="A203" s="1739" t="s">
        <v>2736</v>
      </c>
      <c r="B203" s="1739" t="s">
        <v>3</v>
      </c>
      <c r="C203" t="s">
        <v>3116</v>
      </c>
      <c r="D203" t="s">
        <v>3117</v>
      </c>
      <c r="E203" t="s">
        <v>3118</v>
      </c>
      <c r="F203" t="s">
        <v>2740</v>
      </c>
      <c r="G203" t="s">
        <v>9</v>
      </c>
      <c r="H203" t="s">
        <v>9</v>
      </c>
      <c r="I203" t="s">
        <v>1234</v>
      </c>
    </row>
    <row r="204" spans="1:9" ht="11.25" customHeight="1">
      <c r="A204" s="1739" t="s">
        <v>2736</v>
      </c>
      <c r="B204" s="1739" t="s">
        <v>3</v>
      </c>
      <c r="C204" t="s">
        <v>0</v>
      </c>
      <c r="D204" t="s">
        <v>33</v>
      </c>
      <c r="E204" t="s">
        <v>36</v>
      </c>
      <c r="F204" t="s">
        <v>38</v>
      </c>
      <c r="G204" t="s">
        <v>9</v>
      </c>
      <c r="H204" t="s">
        <v>9</v>
      </c>
      <c r="I204" t="s">
        <v>1234</v>
      </c>
    </row>
    <row r="205" spans="1:9" ht="11.25" customHeight="1">
      <c r="A205" s="1739" t="s">
        <v>2736</v>
      </c>
      <c r="B205" s="1739" t="s">
        <v>3</v>
      </c>
      <c r="C205" t="s">
        <v>3119</v>
      </c>
      <c r="D205" t="s">
        <v>3120</v>
      </c>
      <c r="E205" t="s">
        <v>3121</v>
      </c>
      <c r="F205" t="s">
        <v>2921</v>
      </c>
      <c r="G205" t="s">
        <v>9</v>
      </c>
      <c r="H205" t="s">
        <v>9</v>
      </c>
      <c r="I205" t="s">
        <v>1234</v>
      </c>
    </row>
    <row r="206" spans="1:9" ht="11.25" customHeight="1">
      <c r="A206" s="1739" t="s">
        <v>2736</v>
      </c>
      <c r="B206" s="1739" t="s">
        <v>3</v>
      </c>
      <c r="C206" t="s">
        <v>3125</v>
      </c>
      <c r="D206" t="s">
        <v>3126</v>
      </c>
      <c r="E206" t="s">
        <v>3127</v>
      </c>
      <c r="F206" t="s">
        <v>3128</v>
      </c>
      <c r="G206" t="s">
        <v>9</v>
      </c>
      <c r="H206" t="s">
        <v>9</v>
      </c>
      <c r="I206" t="s">
        <v>1234</v>
      </c>
    </row>
    <row r="207" spans="1:9" ht="11.25" customHeight="1">
      <c r="A207" s="1739" t="s">
        <v>2736</v>
      </c>
      <c r="B207" s="1739" t="s">
        <v>3</v>
      </c>
      <c r="C207" t="s">
        <v>3133</v>
      </c>
      <c r="D207" t="s">
        <v>3134</v>
      </c>
      <c r="E207" t="s">
        <v>3135</v>
      </c>
      <c r="F207" t="s">
        <v>2740</v>
      </c>
      <c r="G207" t="s">
        <v>2911</v>
      </c>
      <c r="H207" t="s">
        <v>9</v>
      </c>
      <c r="I207" t="s">
        <v>1234</v>
      </c>
    </row>
    <row r="208" spans="1:9" ht="11.25" customHeight="1">
      <c r="A208" s="1739" t="s">
        <v>2736</v>
      </c>
      <c r="B208" s="1739" t="s">
        <v>3</v>
      </c>
      <c r="C208" t="s">
        <v>3136</v>
      </c>
      <c r="D208" t="s">
        <v>3137</v>
      </c>
      <c r="E208" t="s">
        <v>3138</v>
      </c>
      <c r="F208" t="s">
        <v>2921</v>
      </c>
      <c r="G208" t="s">
        <v>9</v>
      </c>
      <c r="H208" t="s">
        <v>9</v>
      </c>
      <c r="I208" t="s">
        <v>1234</v>
      </c>
    </row>
    <row r="209" spans="1:9" ht="11.25" customHeight="1">
      <c r="A209" s="1739" t="s">
        <v>2736</v>
      </c>
      <c r="B209" s="1739" t="s">
        <v>3</v>
      </c>
      <c r="C209" t="s">
        <v>3142</v>
      </c>
      <c r="D209" t="s">
        <v>3143</v>
      </c>
      <c r="E209" t="s">
        <v>3144</v>
      </c>
      <c r="F209" t="s">
        <v>3145</v>
      </c>
      <c r="G209" t="s">
        <v>9</v>
      </c>
      <c r="H209" t="s">
        <v>9</v>
      </c>
      <c r="I209" t="s">
        <v>1234</v>
      </c>
    </row>
    <row r="210" spans="1:9" ht="11.25" customHeight="1">
      <c r="A210" s="1739" t="s">
        <v>2736</v>
      </c>
      <c r="B210" s="1739" t="s">
        <v>3</v>
      </c>
      <c r="C210" t="s">
        <v>3156</v>
      </c>
      <c r="D210" t="s">
        <v>3157</v>
      </c>
      <c r="E210" t="s">
        <v>3158</v>
      </c>
      <c r="F210" t="s">
        <v>38</v>
      </c>
      <c r="G210" t="s">
        <v>9</v>
      </c>
      <c r="H210" t="s">
        <v>9</v>
      </c>
      <c r="I210" t="s">
        <v>1234</v>
      </c>
    </row>
    <row r="211" spans="1:9" ht="11.25" customHeight="1">
      <c r="A211" s="1739" t="s">
        <v>2736</v>
      </c>
      <c r="B211" s="1739" t="s">
        <v>3</v>
      </c>
      <c r="C211" t="s">
        <v>3159</v>
      </c>
      <c r="D211" t="s">
        <v>3160</v>
      </c>
      <c r="E211" t="s">
        <v>3161</v>
      </c>
      <c r="F211" t="s">
        <v>2788</v>
      </c>
      <c r="G211" t="s">
        <v>9</v>
      </c>
      <c r="H211" t="s">
        <v>9</v>
      </c>
      <c r="I211" t="s">
        <v>1234</v>
      </c>
    </row>
    <row r="212" spans="1:9" ht="11.25" customHeight="1">
      <c r="A212" s="1739" t="s">
        <v>2736</v>
      </c>
      <c r="B212" s="1739" t="s">
        <v>3</v>
      </c>
      <c r="C212" t="s">
        <v>3178</v>
      </c>
      <c r="D212" t="s">
        <v>3179</v>
      </c>
      <c r="E212" t="s">
        <v>3180</v>
      </c>
      <c r="F212" t="s">
        <v>2859</v>
      </c>
      <c r="G212" t="s">
        <v>9</v>
      </c>
      <c r="H212" t="s">
        <v>9</v>
      </c>
      <c r="I212" t="s">
        <v>1234</v>
      </c>
    </row>
    <row r="213" spans="1:9" ht="11.25" customHeight="1">
      <c r="A213" s="1739" t="s">
        <v>2736</v>
      </c>
      <c r="B213" s="1739" t="s">
        <v>3</v>
      </c>
      <c r="C213" t="s">
        <v>3185</v>
      </c>
      <c r="D213" t="s">
        <v>3186</v>
      </c>
      <c r="E213" t="s">
        <v>3187</v>
      </c>
      <c r="F213" t="s">
        <v>3188</v>
      </c>
      <c r="G213" t="s">
        <v>9</v>
      </c>
      <c r="H213" t="s">
        <v>9</v>
      </c>
      <c r="I213" t="s">
        <v>1234</v>
      </c>
    </row>
    <row r="214" spans="1:9" ht="11.25" customHeight="1">
      <c r="A214" s="1739" t="s">
        <v>2736</v>
      </c>
      <c r="B214" s="1739" t="s">
        <v>3</v>
      </c>
      <c r="C214" t="s">
        <v>3189</v>
      </c>
      <c r="D214" t="s">
        <v>3190</v>
      </c>
      <c r="E214" t="s">
        <v>3191</v>
      </c>
      <c r="F214" t="s">
        <v>3192</v>
      </c>
      <c r="G214" t="s">
        <v>9</v>
      </c>
      <c r="H214" t="s">
        <v>9</v>
      </c>
      <c r="I214" t="s">
        <v>1234</v>
      </c>
    </row>
    <row r="215" spans="1:9" ht="11.25" customHeight="1">
      <c r="A215" s="1739" t="s">
        <v>2736</v>
      </c>
      <c r="B215" s="1739" t="s">
        <v>3</v>
      </c>
      <c r="C215" t="s">
        <v>3248</v>
      </c>
      <c r="D215" t="s">
        <v>3190</v>
      </c>
      <c r="E215" t="s">
        <v>3191</v>
      </c>
      <c r="F215" t="s">
        <v>3249</v>
      </c>
      <c r="G215" t="s">
        <v>9</v>
      </c>
      <c r="H215" t="s">
        <v>9</v>
      </c>
      <c r="I215" t="s">
        <v>1234</v>
      </c>
    </row>
    <row r="216" spans="1:9" ht="11.25" customHeight="1">
      <c r="A216" s="1739" t="s">
        <v>2736</v>
      </c>
      <c r="B216" s="1739" t="s">
        <v>3</v>
      </c>
      <c r="C216" t="s">
        <v>3193</v>
      </c>
      <c r="D216" t="s">
        <v>3194</v>
      </c>
      <c r="E216" t="s">
        <v>2969</v>
      </c>
      <c r="F216" t="s">
        <v>3195</v>
      </c>
      <c r="G216" t="s">
        <v>9</v>
      </c>
      <c r="H216" t="s">
        <v>9</v>
      </c>
      <c r="I216" t="s">
        <v>1234</v>
      </c>
    </row>
    <row r="217" spans="1:9" ht="11.25" customHeight="1">
      <c r="A217" s="1739" t="s">
        <v>2736</v>
      </c>
      <c r="B217" s="1739" t="s">
        <v>3</v>
      </c>
      <c r="C217" t="s">
        <v>3196</v>
      </c>
      <c r="D217" t="s">
        <v>3197</v>
      </c>
      <c r="E217" t="s">
        <v>3198</v>
      </c>
      <c r="F217" t="s">
        <v>2763</v>
      </c>
      <c r="G217" t="s">
        <v>9</v>
      </c>
      <c r="H217" t="s">
        <v>9</v>
      </c>
      <c r="I217" t="s">
        <v>1234</v>
      </c>
    </row>
    <row r="218" spans="1:9" ht="11.25" customHeight="1">
      <c r="A218" s="1739" t="s">
        <v>2736</v>
      </c>
      <c r="B218" s="1739" t="s">
        <v>3</v>
      </c>
      <c r="C218" t="s">
        <v>3205</v>
      </c>
      <c r="D218" t="s">
        <v>3206</v>
      </c>
      <c r="E218" t="s">
        <v>2969</v>
      </c>
      <c r="F218" t="s">
        <v>3207</v>
      </c>
      <c r="G218" t="s">
        <v>9</v>
      </c>
      <c r="H218" t="s">
        <v>9</v>
      </c>
      <c r="I218" t="s">
        <v>1234</v>
      </c>
    </row>
    <row r="219" spans="1:9" ht="11.25" customHeight="1">
      <c r="A219" s="1739" t="s">
        <v>2736</v>
      </c>
      <c r="B219" s="1739" t="s">
        <v>3</v>
      </c>
      <c r="C219" t="s">
        <v>3211</v>
      </c>
      <c r="D219" t="s">
        <v>3212</v>
      </c>
      <c r="E219" t="s">
        <v>3213</v>
      </c>
      <c r="F219" t="s">
        <v>2777</v>
      </c>
      <c r="G219" t="s">
        <v>9</v>
      </c>
      <c r="H219" t="s">
        <v>9</v>
      </c>
      <c r="I219" t="s">
        <v>1234</v>
      </c>
    </row>
    <row r="220" spans="1:9" ht="11.25" customHeight="1">
      <c r="A220" s="1739" t="s">
        <v>2736</v>
      </c>
      <c r="B220" s="1739" t="s">
        <v>3</v>
      </c>
      <c r="C220" t="s">
        <v>3214</v>
      </c>
      <c r="D220" t="s">
        <v>3215</v>
      </c>
      <c r="E220" t="s">
        <v>3216</v>
      </c>
      <c r="F220" t="s">
        <v>3217</v>
      </c>
      <c r="G220" t="s">
        <v>9</v>
      </c>
      <c r="H220" t="s">
        <v>9</v>
      </c>
      <c r="I220" t="s">
        <v>1234</v>
      </c>
    </row>
    <row r="221" spans="1:9" ht="11.25" customHeight="1">
      <c r="A221" s="1739" t="s">
        <v>2736</v>
      </c>
      <c r="B221" s="1739" t="s">
        <v>3</v>
      </c>
      <c r="C221" t="s">
        <v>3222</v>
      </c>
      <c r="D221" t="s">
        <v>3223</v>
      </c>
      <c r="E221" t="s">
        <v>3224</v>
      </c>
      <c r="F221" t="s">
        <v>2974</v>
      </c>
      <c r="G221" t="s">
        <v>9</v>
      </c>
      <c r="H221" t="s">
        <v>9</v>
      </c>
      <c r="I221" t="s">
        <v>1234</v>
      </c>
    </row>
    <row r="222" spans="1:9" ht="11.25" customHeight="1">
      <c r="A222" s="1739" t="s">
        <v>2736</v>
      </c>
      <c r="B222" s="1739" t="s">
        <v>3</v>
      </c>
      <c r="C222" t="s">
        <v>3225</v>
      </c>
      <c r="D222" t="s">
        <v>3226</v>
      </c>
      <c r="E222" t="s">
        <v>3227</v>
      </c>
      <c r="F222" t="s">
        <v>2974</v>
      </c>
      <c r="G222" t="s">
        <v>9</v>
      </c>
      <c r="H222" t="s">
        <v>9</v>
      </c>
      <c r="I222" t="s">
        <v>1234</v>
      </c>
    </row>
    <row r="223" spans="1:9" ht="11.25" customHeight="1">
      <c r="A223" s="1739" t="s">
        <v>2736</v>
      </c>
      <c r="B223" s="1739" t="s">
        <v>3</v>
      </c>
      <c r="C223" t="s">
        <v>3228</v>
      </c>
      <c r="D223" t="s">
        <v>3229</v>
      </c>
      <c r="E223" t="s">
        <v>3230</v>
      </c>
      <c r="F223" t="s">
        <v>2763</v>
      </c>
      <c r="G223" t="s">
        <v>9</v>
      </c>
      <c r="H223" t="s">
        <v>9</v>
      </c>
      <c r="I223" t="s">
        <v>1234</v>
      </c>
    </row>
    <row r="224" spans="1:9" ht="11.25" customHeight="1">
      <c r="A224" s="1739" t="s">
        <v>2736</v>
      </c>
      <c r="B224" s="1739" t="s">
        <v>3</v>
      </c>
      <c r="C224" t="s">
        <v>3231</v>
      </c>
      <c r="D224" t="s">
        <v>3232</v>
      </c>
      <c r="E224" t="s">
        <v>3233</v>
      </c>
      <c r="F224" t="s">
        <v>3234</v>
      </c>
      <c r="G224" t="s">
        <v>9</v>
      </c>
      <c r="H224" t="s">
        <v>9</v>
      </c>
      <c r="I224" t="s">
        <v>1234</v>
      </c>
    </row>
    <row r="225" spans="1:9" ht="11.25" customHeight="1">
      <c r="A225" s="1739" t="s">
        <v>2736</v>
      </c>
      <c r="B225" s="1739" t="s">
        <v>3</v>
      </c>
      <c r="C225" t="s">
        <v>3239</v>
      </c>
      <c r="D225" t="s">
        <v>3240</v>
      </c>
      <c r="E225" t="s">
        <v>3241</v>
      </c>
      <c r="F225" t="s">
        <v>3192</v>
      </c>
      <c r="G225" t="s">
        <v>9</v>
      </c>
      <c r="H225" t="s">
        <v>9</v>
      </c>
      <c r="I225" t="s">
        <v>1234</v>
      </c>
    </row>
    <row r="226" spans="1:9" ht="11.25" customHeight="1">
      <c r="A226" s="1739" t="s">
        <v>2736</v>
      </c>
      <c r="B226" s="1739" t="s">
        <v>3</v>
      </c>
      <c r="C226" t="s">
        <v>3245</v>
      </c>
      <c r="D226" t="s">
        <v>3246</v>
      </c>
      <c r="E226" t="s">
        <v>3210</v>
      </c>
      <c r="F226" t="s">
        <v>3247</v>
      </c>
      <c r="G226" t="s">
        <v>9</v>
      </c>
      <c r="H226" t="s">
        <v>9</v>
      </c>
      <c r="I226" t="s">
        <v>1234</v>
      </c>
    </row>
    <row r="227" spans="1:9" ht="11.25" customHeight="1">
      <c r="A227" s="1739" t="s">
        <v>2736</v>
      </c>
      <c r="B227" s="1739" t="s">
        <v>3</v>
      </c>
      <c r="C227" t="s">
        <v>3250</v>
      </c>
      <c r="D227" t="s">
        <v>3251</v>
      </c>
      <c r="E227" t="s">
        <v>3252</v>
      </c>
      <c r="F227" t="s">
        <v>2921</v>
      </c>
      <c r="G227" t="s">
        <v>9</v>
      </c>
      <c r="H227" t="s">
        <v>9</v>
      </c>
      <c r="I227" t="s">
        <v>1194</v>
      </c>
    </row>
    <row r="228" spans="1:9" ht="11.25" customHeight="1">
      <c r="A228" s="1739" t="s">
        <v>2736</v>
      </c>
      <c r="B228" s="1739" t="s">
        <v>3</v>
      </c>
      <c r="C228" t="s">
        <v>2742</v>
      </c>
      <c r="D228" t="s">
        <v>2743</v>
      </c>
      <c r="E228" t="s">
        <v>2744</v>
      </c>
      <c r="F228" t="s">
        <v>2745</v>
      </c>
      <c r="G228" t="s">
        <v>9</v>
      </c>
      <c r="H228" t="s">
        <v>9</v>
      </c>
      <c r="I228" t="s">
        <v>1194</v>
      </c>
    </row>
    <row r="229" spans="1:9" ht="11.25" customHeight="1">
      <c r="A229" s="1739" t="s">
        <v>2736</v>
      </c>
      <c r="B229" s="1739" t="s">
        <v>3</v>
      </c>
      <c r="C229" t="s">
        <v>2746</v>
      </c>
      <c r="D229" t="s">
        <v>2743</v>
      </c>
      <c r="E229" t="s">
        <v>2744</v>
      </c>
      <c r="F229" t="s">
        <v>2747</v>
      </c>
      <c r="G229" t="s">
        <v>9</v>
      </c>
      <c r="H229" t="s">
        <v>9</v>
      </c>
      <c r="I229" t="s">
        <v>1194</v>
      </c>
    </row>
    <row r="230" spans="1:9" ht="11.25" customHeight="1">
      <c r="A230" s="1739" t="s">
        <v>2736</v>
      </c>
      <c r="B230" s="1739" t="s">
        <v>3</v>
      </c>
      <c r="C230" t="s">
        <v>2748</v>
      </c>
      <c r="D230" t="s">
        <v>2749</v>
      </c>
      <c r="E230" t="s">
        <v>2750</v>
      </c>
      <c r="F230" t="s">
        <v>2751</v>
      </c>
      <c r="G230" t="s">
        <v>9</v>
      </c>
      <c r="H230" t="s">
        <v>9</v>
      </c>
      <c r="I230" t="s">
        <v>1194</v>
      </c>
    </row>
    <row r="231" spans="1:9" ht="11.25" customHeight="1">
      <c r="A231" s="1739" t="s">
        <v>2736</v>
      </c>
      <c r="B231" s="1739" t="s">
        <v>3</v>
      </c>
      <c r="C231" t="s">
        <v>2760</v>
      </c>
      <c r="D231" t="s">
        <v>2761</v>
      </c>
      <c r="E231" t="s">
        <v>2762</v>
      </c>
      <c r="F231" t="s">
        <v>2763</v>
      </c>
      <c r="G231" t="s">
        <v>9</v>
      </c>
      <c r="H231" t="s">
        <v>9</v>
      </c>
      <c r="I231" t="s">
        <v>1194</v>
      </c>
    </row>
    <row r="232" spans="1:9" ht="11.25" customHeight="1">
      <c r="A232" s="1739" t="s">
        <v>2736</v>
      </c>
      <c r="B232" s="1739" t="s">
        <v>3</v>
      </c>
      <c r="C232" t="s">
        <v>2774</v>
      </c>
      <c r="D232" t="s">
        <v>2775</v>
      </c>
      <c r="E232" t="s">
        <v>2776</v>
      </c>
      <c r="F232" t="s">
        <v>2777</v>
      </c>
      <c r="G232" t="s">
        <v>9</v>
      </c>
      <c r="H232" t="s">
        <v>9</v>
      </c>
      <c r="I232" t="s">
        <v>1194</v>
      </c>
    </row>
    <row r="233" spans="1:9" ht="11.25" customHeight="1">
      <c r="A233" s="1739" t="s">
        <v>2736</v>
      </c>
      <c r="B233" s="1739" t="s">
        <v>3</v>
      </c>
      <c r="C233" t="s">
        <v>2778</v>
      </c>
      <c r="D233" t="s">
        <v>2779</v>
      </c>
      <c r="E233" t="s">
        <v>2780</v>
      </c>
      <c r="F233" t="s">
        <v>2781</v>
      </c>
      <c r="G233" t="s">
        <v>9</v>
      </c>
      <c r="H233" t="s">
        <v>9</v>
      </c>
      <c r="I233" t="s">
        <v>1194</v>
      </c>
    </row>
    <row r="234" spans="1:9" ht="11.25" customHeight="1">
      <c r="A234" s="1739" t="s">
        <v>2736</v>
      </c>
      <c r="B234" s="1739" t="s">
        <v>3</v>
      </c>
      <c r="C234" t="s">
        <v>3253</v>
      </c>
      <c r="D234" t="s">
        <v>3254</v>
      </c>
      <c r="E234" t="s">
        <v>3255</v>
      </c>
      <c r="F234" t="s">
        <v>624</v>
      </c>
      <c r="G234" t="s">
        <v>9</v>
      </c>
      <c r="H234" t="s">
        <v>9</v>
      </c>
      <c r="I234" t="s">
        <v>1194</v>
      </c>
    </row>
    <row r="235" spans="1:9" ht="11.25" customHeight="1">
      <c r="A235" s="1739" t="s">
        <v>2736</v>
      </c>
      <c r="B235" s="1739" t="s">
        <v>3</v>
      </c>
      <c r="C235" t="s">
        <v>9</v>
      </c>
      <c r="D235" t="s">
        <v>2843</v>
      </c>
      <c r="E235" t="s">
        <v>2844</v>
      </c>
      <c r="F235" t="s">
        <v>2788</v>
      </c>
      <c r="G235" t="s">
        <v>9</v>
      </c>
      <c r="H235" t="s">
        <v>9</v>
      </c>
      <c r="I235" t="s">
        <v>1194</v>
      </c>
    </row>
    <row r="236" spans="1:9" ht="11.25" customHeight="1">
      <c r="A236" s="1739" t="s">
        <v>2736</v>
      </c>
      <c r="B236" s="1739" t="s">
        <v>3</v>
      </c>
      <c r="C236" t="s">
        <v>3256</v>
      </c>
      <c r="D236" t="s">
        <v>3257</v>
      </c>
      <c r="E236" t="s">
        <v>3258</v>
      </c>
      <c r="F236" t="s">
        <v>2841</v>
      </c>
      <c r="G236" t="s">
        <v>9</v>
      </c>
      <c r="H236" t="s">
        <v>9</v>
      </c>
      <c r="I236" t="s">
        <v>1194</v>
      </c>
    </row>
    <row r="237" spans="1:9" ht="11.25" customHeight="1">
      <c r="A237" s="1739" t="s">
        <v>2736</v>
      </c>
      <c r="B237" s="1739" t="s">
        <v>3</v>
      </c>
      <c r="C237" t="s">
        <v>3259</v>
      </c>
      <c r="D237" t="s">
        <v>3260</v>
      </c>
      <c r="E237" t="s">
        <v>3261</v>
      </c>
      <c r="F237" t="s">
        <v>2974</v>
      </c>
      <c r="G237" t="s">
        <v>3262</v>
      </c>
      <c r="H237" t="s">
        <v>9</v>
      </c>
      <c r="I237" t="s">
        <v>1194</v>
      </c>
    </row>
    <row r="238" spans="1:9" ht="11.25" customHeight="1">
      <c r="A238" s="1739" t="s">
        <v>2736</v>
      </c>
      <c r="B238" s="1739" t="s">
        <v>3</v>
      </c>
      <c r="C238" t="s">
        <v>2845</v>
      </c>
      <c r="D238" t="s">
        <v>2846</v>
      </c>
      <c r="E238" t="s">
        <v>2847</v>
      </c>
      <c r="F238" t="s">
        <v>2848</v>
      </c>
      <c r="G238" t="s">
        <v>9</v>
      </c>
      <c r="H238" t="s">
        <v>9</v>
      </c>
      <c r="I238" t="s">
        <v>1194</v>
      </c>
    </row>
    <row r="239" spans="1:9" ht="11.25" customHeight="1">
      <c r="A239" s="1739" t="s">
        <v>2736</v>
      </c>
      <c r="B239" s="1739" t="s">
        <v>3</v>
      </c>
      <c r="C239" t="s">
        <v>3263</v>
      </c>
      <c r="D239" t="s">
        <v>3264</v>
      </c>
      <c r="E239" t="s">
        <v>3265</v>
      </c>
      <c r="F239" t="s">
        <v>2921</v>
      </c>
      <c r="G239" t="s">
        <v>9</v>
      </c>
      <c r="H239" t="s">
        <v>9</v>
      </c>
      <c r="I239" t="s">
        <v>1194</v>
      </c>
    </row>
    <row r="240" spans="1:9" ht="11.25" customHeight="1">
      <c r="A240" s="1739" t="s">
        <v>2736</v>
      </c>
      <c r="B240" s="1739" t="s">
        <v>3</v>
      </c>
      <c r="C240" t="s">
        <v>3266</v>
      </c>
      <c r="D240" t="s">
        <v>2854</v>
      </c>
      <c r="E240" t="s">
        <v>3267</v>
      </c>
      <c r="F240" t="s">
        <v>3188</v>
      </c>
      <c r="G240" t="s">
        <v>9</v>
      </c>
      <c r="H240" t="s">
        <v>9</v>
      </c>
      <c r="I240" t="s">
        <v>1194</v>
      </c>
    </row>
    <row r="241" spans="1:9" ht="11.25" customHeight="1">
      <c r="A241" s="1739" t="s">
        <v>2736</v>
      </c>
      <c r="B241" s="1739" t="s">
        <v>3</v>
      </c>
      <c r="C241" t="s">
        <v>2853</v>
      </c>
      <c r="D241" t="s">
        <v>2854</v>
      </c>
      <c r="E241" t="s">
        <v>2855</v>
      </c>
      <c r="F241" t="s">
        <v>2773</v>
      </c>
      <c r="G241" t="s">
        <v>9</v>
      </c>
      <c r="H241" t="s">
        <v>9</v>
      </c>
      <c r="I241" t="s">
        <v>1194</v>
      </c>
    </row>
    <row r="242" spans="1:9" ht="11.25" customHeight="1">
      <c r="A242" s="1739" t="s">
        <v>2736</v>
      </c>
      <c r="B242" s="1739" t="s">
        <v>3</v>
      </c>
      <c r="C242" t="s">
        <v>3268</v>
      </c>
      <c r="D242" t="s">
        <v>2854</v>
      </c>
      <c r="E242" t="s">
        <v>3269</v>
      </c>
      <c r="F242" t="s">
        <v>2773</v>
      </c>
      <c r="G242" t="s">
        <v>9</v>
      </c>
      <c r="H242" t="s">
        <v>9</v>
      </c>
      <c r="I242" t="s">
        <v>1194</v>
      </c>
    </row>
    <row r="243" spans="1:9" ht="11.25" customHeight="1">
      <c r="A243" s="1739" t="s">
        <v>2736</v>
      </c>
      <c r="B243" s="1739" t="s">
        <v>3</v>
      </c>
      <c r="C243" t="s">
        <v>3270</v>
      </c>
      <c r="D243" t="s">
        <v>2854</v>
      </c>
      <c r="E243" t="s">
        <v>3271</v>
      </c>
      <c r="F243" t="s">
        <v>2974</v>
      </c>
      <c r="G243" t="s">
        <v>9</v>
      </c>
      <c r="H243" t="s">
        <v>9</v>
      </c>
      <c r="I243" t="s">
        <v>1194</v>
      </c>
    </row>
    <row r="244" spans="1:9" ht="11.25" customHeight="1">
      <c r="A244" s="1739" t="s">
        <v>2736</v>
      </c>
      <c r="B244" s="1739" t="s">
        <v>3</v>
      </c>
      <c r="C244" t="s">
        <v>3272</v>
      </c>
      <c r="D244" t="s">
        <v>2854</v>
      </c>
      <c r="E244" t="s">
        <v>3273</v>
      </c>
      <c r="F244" t="s">
        <v>2859</v>
      </c>
      <c r="G244" t="s">
        <v>9</v>
      </c>
      <c r="H244" t="s">
        <v>9</v>
      </c>
      <c r="I244" t="s">
        <v>1194</v>
      </c>
    </row>
    <row r="245" spans="1:9" ht="11.25" customHeight="1">
      <c r="A245" s="1739" t="s">
        <v>2736</v>
      </c>
      <c r="B245" s="1739" t="s">
        <v>3</v>
      </c>
      <c r="C245" t="s">
        <v>3274</v>
      </c>
      <c r="D245" t="s">
        <v>3275</v>
      </c>
      <c r="E245" t="s">
        <v>3276</v>
      </c>
      <c r="F245" t="s">
        <v>2859</v>
      </c>
      <c r="G245" t="s">
        <v>9</v>
      </c>
      <c r="H245" t="s">
        <v>9</v>
      </c>
      <c r="I245" t="s">
        <v>1194</v>
      </c>
    </row>
    <row r="246" spans="1:9" ht="11.25" customHeight="1">
      <c r="A246" s="1739" t="s">
        <v>2736</v>
      </c>
      <c r="B246" s="1739" t="s">
        <v>3</v>
      </c>
      <c r="C246" t="s">
        <v>3277</v>
      </c>
      <c r="D246" t="s">
        <v>3278</v>
      </c>
      <c r="E246" t="s">
        <v>3279</v>
      </c>
      <c r="F246" t="s">
        <v>3280</v>
      </c>
      <c r="G246" t="s">
        <v>9</v>
      </c>
      <c r="H246" t="s">
        <v>9</v>
      </c>
      <c r="I246" t="s">
        <v>1194</v>
      </c>
    </row>
    <row r="247" spans="1:9" ht="11.25" customHeight="1">
      <c r="A247" s="1739" t="s">
        <v>2736</v>
      </c>
      <c r="B247" s="1739" t="s">
        <v>3</v>
      </c>
      <c r="C247" t="s">
        <v>3281</v>
      </c>
      <c r="D247" t="s">
        <v>3282</v>
      </c>
      <c r="E247" t="s">
        <v>3283</v>
      </c>
      <c r="F247" t="s">
        <v>2921</v>
      </c>
      <c r="G247" t="s">
        <v>9</v>
      </c>
      <c r="H247" t="s">
        <v>9</v>
      </c>
      <c r="I247" t="s">
        <v>1194</v>
      </c>
    </row>
    <row r="248" spans="1:9" ht="11.25" customHeight="1">
      <c r="A248" s="1739" t="s">
        <v>2736</v>
      </c>
      <c r="B248" s="1739" t="s">
        <v>3</v>
      </c>
      <c r="C248" t="s">
        <v>3284</v>
      </c>
      <c r="D248" t="s">
        <v>3285</v>
      </c>
      <c r="E248" t="s">
        <v>3286</v>
      </c>
      <c r="F248" t="s">
        <v>2921</v>
      </c>
      <c r="G248" t="s">
        <v>9</v>
      </c>
      <c r="H248" t="s">
        <v>9</v>
      </c>
      <c r="I248" t="s">
        <v>1194</v>
      </c>
    </row>
    <row r="249" spans="1:9" ht="11.25" customHeight="1">
      <c r="A249" s="1739" t="s">
        <v>2736</v>
      </c>
      <c r="B249" s="1739" t="s">
        <v>3</v>
      </c>
      <c r="C249" t="s">
        <v>3287</v>
      </c>
      <c r="D249" t="s">
        <v>3288</v>
      </c>
      <c r="E249" t="s">
        <v>3289</v>
      </c>
      <c r="F249" t="s">
        <v>2773</v>
      </c>
      <c r="G249" t="s">
        <v>9</v>
      </c>
      <c r="H249" t="s">
        <v>9</v>
      </c>
      <c r="I249" t="s">
        <v>1194</v>
      </c>
    </row>
    <row r="250" spans="1:9" ht="11.25" customHeight="1">
      <c r="A250" s="1739" t="s">
        <v>2736</v>
      </c>
      <c r="B250" s="1739" t="s">
        <v>3</v>
      </c>
      <c r="C250" t="s">
        <v>3290</v>
      </c>
      <c r="D250" t="s">
        <v>3291</v>
      </c>
      <c r="E250" t="s">
        <v>3292</v>
      </c>
      <c r="F250" t="s">
        <v>2921</v>
      </c>
      <c r="G250" t="s">
        <v>9</v>
      </c>
      <c r="H250" t="s">
        <v>9</v>
      </c>
      <c r="I250" t="s">
        <v>1194</v>
      </c>
    </row>
    <row r="251" spans="1:9" ht="11.25" customHeight="1">
      <c r="A251" s="1739" t="s">
        <v>2736</v>
      </c>
      <c r="B251" s="1739" t="s">
        <v>3</v>
      </c>
      <c r="C251" t="s">
        <v>3293</v>
      </c>
      <c r="D251" t="s">
        <v>2857</v>
      </c>
      <c r="E251" t="s">
        <v>3294</v>
      </c>
      <c r="F251" t="s">
        <v>2921</v>
      </c>
      <c r="G251" t="s">
        <v>9</v>
      </c>
      <c r="H251" t="s">
        <v>9</v>
      </c>
      <c r="I251" t="s">
        <v>1194</v>
      </c>
    </row>
    <row r="252" spans="1:9" ht="11.25" customHeight="1">
      <c r="A252" s="1739" t="s">
        <v>2736</v>
      </c>
      <c r="B252" s="1739" t="s">
        <v>3</v>
      </c>
      <c r="C252" t="s">
        <v>3295</v>
      </c>
      <c r="D252" t="s">
        <v>2857</v>
      </c>
      <c r="E252" t="s">
        <v>3296</v>
      </c>
      <c r="F252" t="s">
        <v>2974</v>
      </c>
      <c r="G252" t="s">
        <v>9</v>
      </c>
      <c r="H252" t="s">
        <v>9</v>
      </c>
      <c r="I252" t="s">
        <v>1194</v>
      </c>
    </row>
    <row r="253" spans="1:9" ht="11.25" customHeight="1">
      <c r="A253" s="1739" t="s">
        <v>2736</v>
      </c>
      <c r="B253" s="1739" t="s">
        <v>3</v>
      </c>
      <c r="C253" t="s">
        <v>2856</v>
      </c>
      <c r="D253" t="s">
        <v>2857</v>
      </c>
      <c r="E253" t="s">
        <v>2858</v>
      </c>
      <c r="F253" t="s">
        <v>2859</v>
      </c>
      <c r="G253" t="s">
        <v>9</v>
      </c>
      <c r="H253" t="s">
        <v>9</v>
      </c>
      <c r="I253" t="s">
        <v>1194</v>
      </c>
    </row>
    <row r="254" spans="1:9" ht="11.25" customHeight="1">
      <c r="A254" s="1739" t="s">
        <v>2736</v>
      </c>
      <c r="B254" s="1739" t="s">
        <v>3</v>
      </c>
      <c r="C254" t="s">
        <v>3297</v>
      </c>
      <c r="D254" t="s">
        <v>3298</v>
      </c>
      <c r="E254" t="s">
        <v>3299</v>
      </c>
      <c r="F254" t="s">
        <v>2763</v>
      </c>
      <c r="G254" t="s">
        <v>3300</v>
      </c>
      <c r="H254" t="s">
        <v>9</v>
      </c>
      <c r="I254" t="s">
        <v>1194</v>
      </c>
    </row>
    <row r="255" spans="1:9" ht="11.25" customHeight="1">
      <c r="A255" s="1739" t="s">
        <v>2736</v>
      </c>
      <c r="B255" s="1739" t="s">
        <v>3</v>
      </c>
      <c r="C255" t="s">
        <v>3301</v>
      </c>
      <c r="D255" t="s">
        <v>3302</v>
      </c>
      <c r="E255" t="s">
        <v>3303</v>
      </c>
      <c r="F255" t="s">
        <v>2841</v>
      </c>
      <c r="G255" t="s">
        <v>9</v>
      </c>
      <c r="H255" t="s">
        <v>9</v>
      </c>
      <c r="I255" t="s">
        <v>1194</v>
      </c>
    </row>
    <row r="256" spans="1:9" ht="11.25" customHeight="1">
      <c r="A256" s="1739" t="s">
        <v>2736</v>
      </c>
      <c r="B256" s="1739" t="s">
        <v>3</v>
      </c>
      <c r="C256" t="s">
        <v>3304</v>
      </c>
      <c r="D256" t="s">
        <v>3305</v>
      </c>
      <c r="E256" t="s">
        <v>3306</v>
      </c>
      <c r="F256" t="s">
        <v>2921</v>
      </c>
      <c r="G256" t="s">
        <v>9</v>
      </c>
      <c r="H256" t="s">
        <v>9</v>
      </c>
      <c r="I256" t="s">
        <v>1194</v>
      </c>
    </row>
    <row r="257" spans="1:9" ht="11.25" customHeight="1">
      <c r="A257" s="1739" t="s">
        <v>2736</v>
      </c>
      <c r="B257" s="1739" t="s">
        <v>3</v>
      </c>
      <c r="C257" t="s">
        <v>3307</v>
      </c>
      <c r="D257" t="s">
        <v>3308</v>
      </c>
      <c r="E257" t="s">
        <v>3309</v>
      </c>
      <c r="F257" t="s">
        <v>2763</v>
      </c>
      <c r="G257" t="s">
        <v>9</v>
      </c>
      <c r="H257" t="s">
        <v>9</v>
      </c>
      <c r="I257" t="s">
        <v>1194</v>
      </c>
    </row>
    <row r="258" spans="1:9" ht="11.25" customHeight="1">
      <c r="A258" s="1739" t="s">
        <v>2736</v>
      </c>
      <c r="B258" s="1739" t="s">
        <v>3</v>
      </c>
      <c r="C258" t="s">
        <v>3310</v>
      </c>
      <c r="D258" t="s">
        <v>3311</v>
      </c>
      <c r="E258" t="s">
        <v>3312</v>
      </c>
      <c r="F258" t="s">
        <v>3313</v>
      </c>
      <c r="G258" t="s">
        <v>9</v>
      </c>
      <c r="H258" t="s">
        <v>3314</v>
      </c>
      <c r="I258" t="s">
        <v>1194</v>
      </c>
    </row>
    <row r="259" spans="1:9" ht="11.25" customHeight="1">
      <c r="A259" s="1739" t="s">
        <v>2736</v>
      </c>
      <c r="B259" s="1739" t="s">
        <v>3</v>
      </c>
      <c r="C259" t="s">
        <v>3315</v>
      </c>
      <c r="D259" t="s">
        <v>3316</v>
      </c>
      <c r="E259" t="s">
        <v>3317</v>
      </c>
      <c r="F259" t="s">
        <v>3318</v>
      </c>
      <c r="G259" t="s">
        <v>9</v>
      </c>
      <c r="H259" t="s">
        <v>9</v>
      </c>
      <c r="I259" t="s">
        <v>1194</v>
      </c>
    </row>
    <row r="260" spans="1:9" ht="11.25" customHeight="1">
      <c r="A260" s="1739" t="s">
        <v>2736</v>
      </c>
      <c r="B260" s="1739" t="s">
        <v>3</v>
      </c>
      <c r="C260" t="s">
        <v>2860</v>
      </c>
      <c r="D260" t="s">
        <v>2861</v>
      </c>
      <c r="E260" t="s">
        <v>2862</v>
      </c>
      <c r="F260" t="s">
        <v>2863</v>
      </c>
      <c r="G260" t="s">
        <v>9</v>
      </c>
      <c r="H260" t="s">
        <v>9</v>
      </c>
      <c r="I260" t="s">
        <v>1194</v>
      </c>
    </row>
    <row r="261" spans="1:9" ht="11.25" customHeight="1">
      <c r="A261" s="1739" t="s">
        <v>2736</v>
      </c>
      <c r="B261" s="1739" t="s">
        <v>3</v>
      </c>
      <c r="C261" t="s">
        <v>3319</v>
      </c>
      <c r="D261" t="s">
        <v>3320</v>
      </c>
      <c r="E261" t="s">
        <v>3321</v>
      </c>
      <c r="F261" t="s">
        <v>2974</v>
      </c>
      <c r="G261" t="s">
        <v>3322</v>
      </c>
      <c r="H261" t="s">
        <v>9</v>
      </c>
      <c r="I261" t="s">
        <v>1194</v>
      </c>
    </row>
    <row r="262" spans="1:9" ht="11.25" customHeight="1">
      <c r="A262" s="1739" t="s">
        <v>2736</v>
      </c>
      <c r="B262" s="1739" t="s">
        <v>3</v>
      </c>
      <c r="C262" t="s">
        <v>2864</v>
      </c>
      <c r="D262" t="s">
        <v>2865</v>
      </c>
      <c r="E262" t="s">
        <v>2866</v>
      </c>
      <c r="F262" t="s">
        <v>2867</v>
      </c>
      <c r="G262" t="s">
        <v>9</v>
      </c>
      <c r="H262" t="s">
        <v>9</v>
      </c>
      <c r="I262" t="s">
        <v>1194</v>
      </c>
    </row>
    <row r="263" spans="1:9" ht="11.25" customHeight="1">
      <c r="A263" s="1739" t="s">
        <v>2736</v>
      </c>
      <c r="B263" s="1739" t="s">
        <v>3</v>
      </c>
      <c r="C263" t="s">
        <v>3323</v>
      </c>
      <c r="D263" t="s">
        <v>3324</v>
      </c>
      <c r="E263" t="s">
        <v>3325</v>
      </c>
      <c r="F263" t="s">
        <v>3280</v>
      </c>
      <c r="G263" t="s">
        <v>9</v>
      </c>
      <c r="H263" t="s">
        <v>9</v>
      </c>
      <c r="I263" t="s">
        <v>1194</v>
      </c>
    </row>
    <row r="264" spans="1:9" ht="11.25" customHeight="1">
      <c r="A264" s="1739" t="s">
        <v>2736</v>
      </c>
      <c r="B264" s="1739" t="s">
        <v>3</v>
      </c>
      <c r="C264" t="s">
        <v>2868</v>
      </c>
      <c r="D264" t="s">
        <v>2869</v>
      </c>
      <c r="E264" t="s">
        <v>2870</v>
      </c>
      <c r="F264" t="s">
        <v>2863</v>
      </c>
      <c r="G264" t="s">
        <v>9</v>
      </c>
      <c r="H264" t="s">
        <v>9</v>
      </c>
      <c r="I264" t="s">
        <v>1194</v>
      </c>
    </row>
    <row r="265" spans="1:9" ht="11.25" customHeight="1">
      <c r="A265" s="1739" t="s">
        <v>2736</v>
      </c>
      <c r="B265" s="1739" t="s">
        <v>3</v>
      </c>
      <c r="C265" t="s">
        <v>3326</v>
      </c>
      <c r="D265" t="s">
        <v>3327</v>
      </c>
      <c r="E265" t="s">
        <v>3328</v>
      </c>
      <c r="F265" t="s">
        <v>2859</v>
      </c>
      <c r="G265" t="s">
        <v>9</v>
      </c>
      <c r="H265" t="s">
        <v>3329</v>
      </c>
      <c r="I265" t="s">
        <v>1194</v>
      </c>
    </row>
    <row r="266" spans="1:9" ht="11.25" customHeight="1">
      <c r="A266" s="1739" t="s">
        <v>2736</v>
      </c>
      <c r="B266" s="1739" t="s">
        <v>3</v>
      </c>
      <c r="C266" t="s">
        <v>2871</v>
      </c>
      <c r="D266" t="s">
        <v>2872</v>
      </c>
      <c r="E266" t="s">
        <v>2873</v>
      </c>
      <c r="F266" t="s">
        <v>2763</v>
      </c>
      <c r="G266" t="s">
        <v>9</v>
      </c>
      <c r="H266" t="s">
        <v>9</v>
      </c>
      <c r="I266" t="s">
        <v>1194</v>
      </c>
    </row>
    <row r="267" spans="1:9" ht="11.25" customHeight="1">
      <c r="A267" s="1739" t="s">
        <v>2736</v>
      </c>
      <c r="B267" s="1739" t="s">
        <v>3</v>
      </c>
      <c r="C267" t="s">
        <v>2874</v>
      </c>
      <c r="D267" t="s">
        <v>2875</v>
      </c>
      <c r="E267" t="s">
        <v>2876</v>
      </c>
      <c r="F267" t="s">
        <v>2763</v>
      </c>
      <c r="G267" t="s">
        <v>2877</v>
      </c>
      <c r="H267" t="s">
        <v>9</v>
      </c>
      <c r="I267" t="s">
        <v>1194</v>
      </c>
    </row>
    <row r="268" spans="1:9" ht="11.25" customHeight="1">
      <c r="A268" s="1739" t="s">
        <v>2736</v>
      </c>
      <c r="B268" s="1739" t="s">
        <v>3</v>
      </c>
      <c r="C268" t="s">
        <v>2878</v>
      </c>
      <c r="D268" t="s">
        <v>2879</v>
      </c>
      <c r="E268" t="s">
        <v>2880</v>
      </c>
      <c r="F268" t="s">
        <v>2797</v>
      </c>
      <c r="G268" t="s">
        <v>9</v>
      </c>
      <c r="H268" t="s">
        <v>2881</v>
      </c>
      <c r="I268" t="s">
        <v>1194</v>
      </c>
    </row>
    <row r="269" spans="1:9" ht="11.25" customHeight="1">
      <c r="A269" s="1739" t="s">
        <v>2736</v>
      </c>
      <c r="B269" s="1739" t="s">
        <v>3</v>
      </c>
      <c r="C269" t="s">
        <v>2882</v>
      </c>
      <c r="D269" t="s">
        <v>2879</v>
      </c>
      <c r="E269" t="s">
        <v>2883</v>
      </c>
      <c r="F269" t="s">
        <v>2797</v>
      </c>
      <c r="G269" t="s">
        <v>9</v>
      </c>
      <c r="H269" t="s">
        <v>2881</v>
      </c>
      <c r="I269" t="s">
        <v>1194</v>
      </c>
    </row>
    <row r="270" spans="1:9" ht="11.25" customHeight="1">
      <c r="A270" s="1739" t="s">
        <v>2736</v>
      </c>
      <c r="B270" s="1739" t="s">
        <v>3</v>
      </c>
      <c r="C270" t="s">
        <v>3330</v>
      </c>
      <c r="D270" t="s">
        <v>2879</v>
      </c>
      <c r="E270" t="s">
        <v>3331</v>
      </c>
      <c r="F270" t="s">
        <v>3280</v>
      </c>
      <c r="G270" t="s">
        <v>9</v>
      </c>
      <c r="H270" t="s">
        <v>9</v>
      </c>
      <c r="I270" t="s">
        <v>1194</v>
      </c>
    </row>
    <row r="271" spans="1:9" ht="11.25" customHeight="1">
      <c r="A271" s="1739" t="s">
        <v>2736</v>
      </c>
      <c r="B271" s="1739" t="s">
        <v>3</v>
      </c>
      <c r="C271" t="s">
        <v>2884</v>
      </c>
      <c r="D271" t="s">
        <v>2885</v>
      </c>
      <c r="E271" t="s">
        <v>2886</v>
      </c>
      <c r="F271" t="s">
        <v>2852</v>
      </c>
      <c r="G271" t="s">
        <v>9</v>
      </c>
      <c r="H271" t="s">
        <v>2887</v>
      </c>
      <c r="I271" t="s">
        <v>1194</v>
      </c>
    </row>
    <row r="272" spans="1:9" ht="11.25" customHeight="1">
      <c r="A272" s="1739" t="s">
        <v>2736</v>
      </c>
      <c r="B272" s="1739" t="s">
        <v>3</v>
      </c>
      <c r="C272" t="s">
        <v>2888</v>
      </c>
      <c r="D272" t="s">
        <v>2885</v>
      </c>
      <c r="E272" t="s">
        <v>2889</v>
      </c>
      <c r="F272" t="s">
        <v>2890</v>
      </c>
      <c r="G272" t="s">
        <v>9</v>
      </c>
      <c r="H272" t="s">
        <v>9</v>
      </c>
      <c r="I272" t="s">
        <v>1194</v>
      </c>
    </row>
    <row r="273" spans="1:9" ht="11.25" customHeight="1">
      <c r="A273" s="1739" t="s">
        <v>2736</v>
      </c>
      <c r="B273" s="1739" t="s">
        <v>3</v>
      </c>
      <c r="C273" t="s">
        <v>2891</v>
      </c>
      <c r="D273" t="s">
        <v>2885</v>
      </c>
      <c r="E273" t="s">
        <v>2892</v>
      </c>
      <c r="F273" t="s">
        <v>2893</v>
      </c>
      <c r="G273" t="s">
        <v>9</v>
      </c>
      <c r="H273" t="s">
        <v>9</v>
      </c>
      <c r="I273" t="s">
        <v>1194</v>
      </c>
    </row>
    <row r="274" spans="1:9" ht="11.25" customHeight="1">
      <c r="A274" s="1739" t="s">
        <v>2736</v>
      </c>
      <c r="B274" s="1739" t="s">
        <v>3</v>
      </c>
      <c r="C274" t="s">
        <v>2894</v>
      </c>
      <c r="D274" t="s">
        <v>2885</v>
      </c>
      <c r="E274" t="s">
        <v>2895</v>
      </c>
      <c r="F274" t="s">
        <v>2896</v>
      </c>
      <c r="G274" t="s">
        <v>9</v>
      </c>
      <c r="H274" t="s">
        <v>9</v>
      </c>
      <c r="I274" t="s">
        <v>1194</v>
      </c>
    </row>
    <row r="275" spans="1:9" ht="11.25" customHeight="1">
      <c r="A275" s="1739" t="s">
        <v>2736</v>
      </c>
      <c r="B275" s="1739" t="s">
        <v>3</v>
      </c>
      <c r="C275" t="s">
        <v>2897</v>
      </c>
      <c r="D275" t="s">
        <v>2885</v>
      </c>
      <c r="E275" t="s">
        <v>2898</v>
      </c>
      <c r="F275" t="s">
        <v>2867</v>
      </c>
      <c r="G275" t="s">
        <v>9</v>
      </c>
      <c r="H275" t="s">
        <v>9</v>
      </c>
      <c r="I275" t="s">
        <v>1194</v>
      </c>
    </row>
    <row r="276" spans="1:9" ht="11.25" customHeight="1">
      <c r="A276" s="1739" t="s">
        <v>2736</v>
      </c>
      <c r="B276" s="1739" t="s">
        <v>3</v>
      </c>
      <c r="C276" t="s">
        <v>2899</v>
      </c>
      <c r="D276" t="s">
        <v>2900</v>
      </c>
      <c r="E276" t="s">
        <v>2901</v>
      </c>
      <c r="F276" t="s">
        <v>2797</v>
      </c>
      <c r="G276" t="s">
        <v>9</v>
      </c>
      <c r="H276" t="s">
        <v>9</v>
      </c>
      <c r="I276" t="s">
        <v>1194</v>
      </c>
    </row>
    <row r="277" spans="1:9" ht="11.25" customHeight="1">
      <c r="A277" s="1739" t="s">
        <v>2736</v>
      </c>
      <c r="B277" s="1739" t="s">
        <v>3</v>
      </c>
      <c r="C277" t="s">
        <v>3332</v>
      </c>
      <c r="D277" t="s">
        <v>3333</v>
      </c>
      <c r="E277" t="s">
        <v>3334</v>
      </c>
      <c r="F277" t="s">
        <v>2859</v>
      </c>
      <c r="G277" t="s">
        <v>9</v>
      </c>
      <c r="H277" t="s">
        <v>3335</v>
      </c>
      <c r="I277" t="s">
        <v>1194</v>
      </c>
    </row>
    <row r="278" spans="1:9" ht="11.25" customHeight="1">
      <c r="A278" s="1739" t="s">
        <v>2736</v>
      </c>
      <c r="B278" s="1739" t="s">
        <v>3</v>
      </c>
      <c r="C278" t="s">
        <v>2902</v>
      </c>
      <c r="D278" t="s">
        <v>2903</v>
      </c>
      <c r="E278" t="s">
        <v>2904</v>
      </c>
      <c r="F278" t="s">
        <v>2763</v>
      </c>
      <c r="G278" t="s">
        <v>9</v>
      </c>
      <c r="H278" t="s">
        <v>9</v>
      </c>
      <c r="I278" t="s">
        <v>1194</v>
      </c>
    </row>
    <row r="279" spans="1:9" ht="11.25" customHeight="1">
      <c r="A279" s="1739" t="s">
        <v>2736</v>
      </c>
      <c r="B279" s="1739" t="s">
        <v>3</v>
      </c>
      <c r="C279" t="s">
        <v>3336</v>
      </c>
      <c r="D279" t="s">
        <v>3337</v>
      </c>
      <c r="E279" t="s">
        <v>3338</v>
      </c>
      <c r="F279" t="s">
        <v>2773</v>
      </c>
      <c r="G279" t="s">
        <v>9</v>
      </c>
      <c r="H279" t="s">
        <v>3339</v>
      </c>
      <c r="I279" t="s">
        <v>1194</v>
      </c>
    </row>
    <row r="280" spans="1:9" ht="11.25" customHeight="1">
      <c r="A280" s="1739" t="s">
        <v>2736</v>
      </c>
      <c r="B280" s="1739" t="s">
        <v>3</v>
      </c>
      <c r="C280" t="s">
        <v>2905</v>
      </c>
      <c r="D280" t="s">
        <v>2906</v>
      </c>
      <c r="E280" t="s">
        <v>2907</v>
      </c>
      <c r="F280" t="s">
        <v>2773</v>
      </c>
      <c r="G280" t="s">
        <v>9</v>
      </c>
      <c r="H280" t="s">
        <v>9</v>
      </c>
      <c r="I280" t="s">
        <v>1194</v>
      </c>
    </row>
    <row r="281" spans="1:9" ht="11.25" customHeight="1">
      <c r="A281" s="1739" t="s">
        <v>2736</v>
      </c>
      <c r="B281" s="1739" t="s">
        <v>3</v>
      </c>
      <c r="C281" t="s">
        <v>3340</v>
      </c>
      <c r="D281" t="s">
        <v>3341</v>
      </c>
      <c r="E281" t="s">
        <v>3342</v>
      </c>
      <c r="F281" t="s">
        <v>2859</v>
      </c>
      <c r="G281" t="s">
        <v>3343</v>
      </c>
      <c r="H281" t="s">
        <v>3335</v>
      </c>
      <c r="I281" t="s">
        <v>1194</v>
      </c>
    </row>
    <row r="282" spans="1:9" ht="11.25" customHeight="1">
      <c r="A282" s="1739" t="s">
        <v>2736</v>
      </c>
      <c r="B282" s="1739" t="s">
        <v>3</v>
      </c>
      <c r="C282" t="s">
        <v>3344</v>
      </c>
      <c r="D282" t="s">
        <v>3345</v>
      </c>
      <c r="E282" t="s">
        <v>3346</v>
      </c>
      <c r="F282" t="s">
        <v>2773</v>
      </c>
      <c r="G282" t="s">
        <v>9</v>
      </c>
      <c r="H282" t="s">
        <v>9</v>
      </c>
      <c r="I282" t="s">
        <v>1194</v>
      </c>
    </row>
    <row r="283" spans="1:9" ht="11.25" customHeight="1">
      <c r="A283" s="1739" t="s">
        <v>2736</v>
      </c>
      <c r="B283" s="1739" t="s">
        <v>3</v>
      </c>
      <c r="C283" t="s">
        <v>3347</v>
      </c>
      <c r="D283" t="s">
        <v>3348</v>
      </c>
      <c r="E283" t="s">
        <v>3349</v>
      </c>
      <c r="F283" t="s">
        <v>2773</v>
      </c>
      <c r="G283" t="s">
        <v>9</v>
      </c>
      <c r="H283" t="s">
        <v>3339</v>
      </c>
      <c r="I283" t="s">
        <v>1194</v>
      </c>
    </row>
    <row r="284" spans="1:9" ht="11.25" customHeight="1">
      <c r="A284" s="1739" t="s">
        <v>2736</v>
      </c>
      <c r="B284" s="1739" t="s">
        <v>3</v>
      </c>
      <c r="C284" t="s">
        <v>2908</v>
      </c>
      <c r="D284" t="s">
        <v>2909</v>
      </c>
      <c r="E284" t="s">
        <v>2910</v>
      </c>
      <c r="F284" t="s">
        <v>2763</v>
      </c>
      <c r="G284" t="s">
        <v>2911</v>
      </c>
      <c r="H284" t="s">
        <v>9</v>
      </c>
      <c r="I284" t="s">
        <v>1194</v>
      </c>
    </row>
    <row r="285" spans="1:9" ht="11.25" customHeight="1">
      <c r="A285" s="1739" t="s">
        <v>2736</v>
      </c>
      <c r="B285" s="1739" t="s">
        <v>3</v>
      </c>
      <c r="C285" t="s">
        <v>3350</v>
      </c>
      <c r="D285" t="s">
        <v>3351</v>
      </c>
      <c r="E285" t="s">
        <v>3352</v>
      </c>
      <c r="F285" t="s">
        <v>3280</v>
      </c>
      <c r="G285" t="s">
        <v>9</v>
      </c>
      <c r="H285" t="s">
        <v>9</v>
      </c>
      <c r="I285" t="s">
        <v>1194</v>
      </c>
    </row>
    <row r="286" spans="1:9" ht="11.25" customHeight="1">
      <c r="A286" s="1739" t="s">
        <v>2736</v>
      </c>
      <c r="B286" s="1739" t="s">
        <v>3</v>
      </c>
      <c r="C286" t="s">
        <v>3353</v>
      </c>
      <c r="D286" t="s">
        <v>3354</v>
      </c>
      <c r="E286" t="s">
        <v>3355</v>
      </c>
      <c r="F286" t="s">
        <v>2841</v>
      </c>
      <c r="G286" t="s">
        <v>3356</v>
      </c>
      <c r="H286" t="s">
        <v>9</v>
      </c>
      <c r="I286" t="s">
        <v>1194</v>
      </c>
    </row>
    <row r="287" spans="1:9" ht="11.25" customHeight="1">
      <c r="A287" s="1739" t="s">
        <v>2736</v>
      </c>
      <c r="B287" s="1739" t="s">
        <v>3</v>
      </c>
      <c r="C287" t="s">
        <v>3357</v>
      </c>
      <c r="D287" t="s">
        <v>3358</v>
      </c>
      <c r="E287" t="s">
        <v>3359</v>
      </c>
      <c r="F287" t="s">
        <v>2837</v>
      </c>
      <c r="G287" t="s">
        <v>9</v>
      </c>
      <c r="H287" t="s">
        <v>9</v>
      </c>
      <c r="I287" t="s">
        <v>1194</v>
      </c>
    </row>
    <row r="288" spans="1:9" ht="11.25" customHeight="1">
      <c r="A288" s="1739" t="s">
        <v>2736</v>
      </c>
      <c r="B288" s="1739" t="s">
        <v>3</v>
      </c>
      <c r="C288" t="s">
        <v>2912</v>
      </c>
      <c r="D288" t="s">
        <v>2913</v>
      </c>
      <c r="E288" t="s">
        <v>2914</v>
      </c>
      <c r="F288" t="s">
        <v>2848</v>
      </c>
      <c r="G288" t="s">
        <v>9</v>
      </c>
      <c r="H288" t="s">
        <v>9</v>
      </c>
      <c r="I288" t="s">
        <v>1194</v>
      </c>
    </row>
    <row r="289" spans="1:9" ht="11.25" customHeight="1">
      <c r="A289" s="1739" t="s">
        <v>2736</v>
      </c>
      <c r="B289" s="1739" t="s">
        <v>3</v>
      </c>
      <c r="C289" t="s">
        <v>3360</v>
      </c>
      <c r="D289" t="s">
        <v>3361</v>
      </c>
      <c r="E289" t="s">
        <v>3362</v>
      </c>
      <c r="F289" t="s">
        <v>2763</v>
      </c>
      <c r="G289" t="s">
        <v>9</v>
      </c>
      <c r="H289" t="s">
        <v>9</v>
      </c>
      <c r="I289" t="s">
        <v>1194</v>
      </c>
    </row>
    <row r="290" spans="1:9" ht="11.25" customHeight="1">
      <c r="A290" s="1739" t="s">
        <v>2736</v>
      </c>
      <c r="B290" s="1739" t="s">
        <v>3</v>
      </c>
      <c r="C290" t="s">
        <v>3363</v>
      </c>
      <c r="D290" t="s">
        <v>3364</v>
      </c>
      <c r="E290" t="s">
        <v>3365</v>
      </c>
      <c r="F290" t="s">
        <v>2763</v>
      </c>
      <c r="G290" t="s">
        <v>9</v>
      </c>
      <c r="H290" t="s">
        <v>9</v>
      </c>
      <c r="I290" t="s">
        <v>1194</v>
      </c>
    </row>
    <row r="291" spans="1:9" ht="11.25" customHeight="1">
      <c r="A291" s="1739" t="s">
        <v>2736</v>
      </c>
      <c r="B291" s="1739" t="s">
        <v>3</v>
      </c>
      <c r="C291" t="s">
        <v>3366</v>
      </c>
      <c r="D291" t="s">
        <v>3367</v>
      </c>
      <c r="E291" t="s">
        <v>3368</v>
      </c>
      <c r="F291" t="s">
        <v>2859</v>
      </c>
      <c r="G291" t="s">
        <v>9</v>
      </c>
      <c r="H291" t="s">
        <v>9</v>
      </c>
      <c r="I291" t="s">
        <v>1194</v>
      </c>
    </row>
    <row r="292" spans="1:9" ht="11.25" customHeight="1">
      <c r="A292" s="1739" t="s">
        <v>2736</v>
      </c>
      <c r="B292" s="1739" t="s">
        <v>3</v>
      </c>
      <c r="C292" t="s">
        <v>2918</v>
      </c>
      <c r="D292" t="s">
        <v>2919</v>
      </c>
      <c r="E292" t="s">
        <v>2920</v>
      </c>
      <c r="F292" t="s">
        <v>2921</v>
      </c>
      <c r="G292" t="s">
        <v>9</v>
      </c>
      <c r="H292" t="s">
        <v>9</v>
      </c>
      <c r="I292" t="s">
        <v>1194</v>
      </c>
    </row>
    <row r="293" spans="1:9" ht="11.25" customHeight="1">
      <c r="A293" s="1739" t="s">
        <v>2736</v>
      </c>
      <c r="B293" s="1739" t="s">
        <v>3</v>
      </c>
      <c r="C293" t="s">
        <v>2922</v>
      </c>
      <c r="D293" t="s">
        <v>2923</v>
      </c>
      <c r="E293" t="s">
        <v>2924</v>
      </c>
      <c r="F293" t="s">
        <v>2859</v>
      </c>
      <c r="G293" t="s">
        <v>2925</v>
      </c>
      <c r="H293" t="s">
        <v>9</v>
      </c>
      <c r="I293" t="s">
        <v>1194</v>
      </c>
    </row>
    <row r="294" spans="1:9" ht="11.25" customHeight="1">
      <c r="A294" s="1739" t="s">
        <v>2736</v>
      </c>
      <c r="B294" s="1739" t="s">
        <v>3</v>
      </c>
      <c r="C294" t="s">
        <v>2926</v>
      </c>
      <c r="D294" t="s">
        <v>2927</v>
      </c>
      <c r="E294" t="s">
        <v>2928</v>
      </c>
      <c r="F294" t="s">
        <v>2763</v>
      </c>
      <c r="G294" t="s">
        <v>9</v>
      </c>
      <c r="H294" t="s">
        <v>9</v>
      </c>
      <c r="I294" t="s">
        <v>1194</v>
      </c>
    </row>
    <row r="295" spans="1:9" ht="11.25" customHeight="1">
      <c r="A295" s="1739" t="s">
        <v>2736</v>
      </c>
      <c r="B295" s="1739" t="s">
        <v>3</v>
      </c>
      <c r="C295" t="s">
        <v>3369</v>
      </c>
      <c r="D295" t="s">
        <v>3370</v>
      </c>
      <c r="E295" t="s">
        <v>3371</v>
      </c>
      <c r="F295" t="s">
        <v>2841</v>
      </c>
      <c r="G295" t="s">
        <v>3372</v>
      </c>
      <c r="H295" t="s">
        <v>9</v>
      </c>
      <c r="I295" t="s">
        <v>1194</v>
      </c>
    </row>
    <row r="296" spans="1:9" ht="11.25" customHeight="1">
      <c r="A296" s="1739" t="s">
        <v>2736</v>
      </c>
      <c r="B296" s="1739" t="s">
        <v>3</v>
      </c>
      <c r="C296" t="s">
        <v>3373</v>
      </c>
      <c r="D296" t="s">
        <v>3374</v>
      </c>
      <c r="E296" t="s">
        <v>3375</v>
      </c>
      <c r="F296" t="s">
        <v>2921</v>
      </c>
      <c r="G296" t="s">
        <v>9</v>
      </c>
      <c r="H296" t="s">
        <v>9</v>
      </c>
      <c r="I296" t="s">
        <v>1194</v>
      </c>
    </row>
    <row r="297" spans="1:9" ht="11.25" customHeight="1">
      <c r="A297" s="1739" t="s">
        <v>2736</v>
      </c>
      <c r="B297" s="1739" t="s">
        <v>3</v>
      </c>
      <c r="C297" t="s">
        <v>2934</v>
      </c>
      <c r="D297" t="s">
        <v>2935</v>
      </c>
      <c r="E297" t="s">
        <v>2936</v>
      </c>
      <c r="F297" t="s">
        <v>2937</v>
      </c>
      <c r="G297" t="s">
        <v>9</v>
      </c>
      <c r="H297" t="s">
        <v>9</v>
      </c>
      <c r="I297" t="s">
        <v>1194</v>
      </c>
    </row>
    <row r="298" spans="1:9" ht="11.25" customHeight="1">
      <c r="A298" s="1739" t="s">
        <v>2736</v>
      </c>
      <c r="B298" s="1739" t="s">
        <v>3</v>
      </c>
      <c r="C298" t="s">
        <v>3376</v>
      </c>
      <c r="D298" t="s">
        <v>3377</v>
      </c>
      <c r="E298" t="s">
        <v>3378</v>
      </c>
      <c r="F298" t="s">
        <v>2852</v>
      </c>
      <c r="G298" t="s">
        <v>9</v>
      </c>
      <c r="H298" t="s">
        <v>3379</v>
      </c>
      <c r="I298" t="s">
        <v>1194</v>
      </c>
    </row>
    <row r="299" spans="1:9" ht="11.25" customHeight="1">
      <c r="A299" s="1739" t="s">
        <v>2736</v>
      </c>
      <c r="B299" s="1739" t="s">
        <v>3</v>
      </c>
      <c r="C299" t="s">
        <v>2938</v>
      </c>
      <c r="D299" t="s">
        <v>2939</v>
      </c>
      <c r="E299" t="s">
        <v>2940</v>
      </c>
      <c r="F299" t="s">
        <v>2852</v>
      </c>
      <c r="G299" t="s">
        <v>9</v>
      </c>
      <c r="H299" t="s">
        <v>9</v>
      </c>
      <c r="I299" t="s">
        <v>1194</v>
      </c>
    </row>
    <row r="300" spans="1:9" ht="11.25" customHeight="1">
      <c r="A300" s="1739" t="s">
        <v>2736</v>
      </c>
      <c r="B300" s="1739" t="s">
        <v>3</v>
      </c>
      <c r="C300" t="s">
        <v>2941</v>
      </c>
      <c r="D300" t="s">
        <v>2942</v>
      </c>
      <c r="E300" t="s">
        <v>2943</v>
      </c>
      <c r="F300" t="s">
        <v>2837</v>
      </c>
      <c r="G300" t="s">
        <v>9</v>
      </c>
      <c r="H300" t="s">
        <v>2944</v>
      </c>
      <c r="I300" t="s">
        <v>1194</v>
      </c>
    </row>
    <row r="301" spans="1:9" ht="11.25" customHeight="1">
      <c r="A301" s="1739" t="s">
        <v>2736</v>
      </c>
      <c r="B301" s="1739" t="s">
        <v>3</v>
      </c>
      <c r="C301" t="s">
        <v>2945</v>
      </c>
      <c r="D301" t="s">
        <v>2946</v>
      </c>
      <c r="E301" t="s">
        <v>2947</v>
      </c>
      <c r="F301" t="s">
        <v>2763</v>
      </c>
      <c r="G301" t="s">
        <v>9</v>
      </c>
      <c r="H301" t="s">
        <v>9</v>
      </c>
      <c r="I301" t="s">
        <v>1194</v>
      </c>
    </row>
    <row r="302" spans="1:9" ht="11.25" customHeight="1">
      <c r="A302" s="1739" t="s">
        <v>2736</v>
      </c>
      <c r="B302" s="1739" t="s">
        <v>3</v>
      </c>
      <c r="C302" t="s">
        <v>2948</v>
      </c>
      <c r="D302" t="s">
        <v>2949</v>
      </c>
      <c r="E302" t="s">
        <v>2950</v>
      </c>
      <c r="F302" t="s">
        <v>2848</v>
      </c>
      <c r="G302" t="s">
        <v>9</v>
      </c>
      <c r="H302" t="s">
        <v>9</v>
      </c>
      <c r="I302" t="s">
        <v>1194</v>
      </c>
    </row>
    <row r="303" spans="1:9" ht="11.25" customHeight="1">
      <c r="A303" s="1739" t="s">
        <v>2736</v>
      </c>
      <c r="B303" s="1739" t="s">
        <v>3</v>
      </c>
      <c r="C303" t="s">
        <v>2951</v>
      </c>
      <c r="D303" t="s">
        <v>2952</v>
      </c>
      <c r="E303" t="s">
        <v>2953</v>
      </c>
      <c r="F303" t="s">
        <v>2848</v>
      </c>
      <c r="G303" t="s">
        <v>9</v>
      </c>
      <c r="H303" t="s">
        <v>9</v>
      </c>
      <c r="I303" t="s">
        <v>1194</v>
      </c>
    </row>
    <row r="304" spans="1:9" ht="11.25" customHeight="1">
      <c r="A304" s="1739" t="s">
        <v>2736</v>
      </c>
      <c r="B304" s="1739" t="s">
        <v>3</v>
      </c>
      <c r="C304" t="s">
        <v>2954</v>
      </c>
      <c r="D304" t="s">
        <v>2955</v>
      </c>
      <c r="E304" t="s">
        <v>2956</v>
      </c>
      <c r="F304" t="s">
        <v>2848</v>
      </c>
      <c r="G304" t="s">
        <v>9</v>
      </c>
      <c r="H304" t="s">
        <v>9</v>
      </c>
      <c r="I304" t="s">
        <v>1194</v>
      </c>
    </row>
    <row r="305" spans="1:9" ht="11.25" customHeight="1">
      <c r="A305" s="1739" t="s">
        <v>2736</v>
      </c>
      <c r="B305" s="1739" t="s">
        <v>3</v>
      </c>
      <c r="C305" t="s">
        <v>2960</v>
      </c>
      <c r="D305" t="s">
        <v>2961</v>
      </c>
      <c r="E305" t="s">
        <v>2962</v>
      </c>
      <c r="F305" t="s">
        <v>2863</v>
      </c>
      <c r="G305" t="s">
        <v>2963</v>
      </c>
      <c r="H305" t="s">
        <v>9</v>
      </c>
      <c r="I305" t="s">
        <v>1194</v>
      </c>
    </row>
    <row r="306" spans="1:9" ht="11.25" customHeight="1">
      <c r="A306" s="1739" t="s">
        <v>2736</v>
      </c>
      <c r="B306" s="1739" t="s">
        <v>3</v>
      </c>
      <c r="C306" t="s">
        <v>2964</v>
      </c>
      <c r="D306" t="s">
        <v>2965</v>
      </c>
      <c r="E306" t="s">
        <v>2966</v>
      </c>
      <c r="F306" t="s">
        <v>2763</v>
      </c>
      <c r="G306" t="s">
        <v>9</v>
      </c>
      <c r="H306" t="s">
        <v>9</v>
      </c>
      <c r="I306" t="s">
        <v>1194</v>
      </c>
    </row>
    <row r="307" spans="1:9" ht="11.25" customHeight="1">
      <c r="A307" s="1739" t="s">
        <v>2736</v>
      </c>
      <c r="B307" s="1739" t="s">
        <v>3</v>
      </c>
      <c r="C307" t="s">
        <v>3380</v>
      </c>
      <c r="D307" t="s">
        <v>3381</v>
      </c>
      <c r="E307" t="s">
        <v>3382</v>
      </c>
      <c r="F307" t="s">
        <v>2763</v>
      </c>
      <c r="G307" t="s">
        <v>9</v>
      </c>
      <c r="H307" t="s">
        <v>9</v>
      </c>
      <c r="I307" t="s">
        <v>1194</v>
      </c>
    </row>
    <row r="308" spans="1:9" ht="11.25" customHeight="1">
      <c r="A308" s="1739" t="s">
        <v>2736</v>
      </c>
      <c r="B308" s="1739" t="s">
        <v>3</v>
      </c>
      <c r="C308" t="s">
        <v>2967</v>
      </c>
      <c r="D308" t="s">
        <v>2968</v>
      </c>
      <c r="E308" t="s">
        <v>2969</v>
      </c>
      <c r="F308" t="s">
        <v>2970</v>
      </c>
      <c r="G308" t="s">
        <v>9</v>
      </c>
      <c r="H308" t="s">
        <v>9</v>
      </c>
      <c r="I308" t="s">
        <v>1194</v>
      </c>
    </row>
    <row r="309" spans="1:9" ht="11.25" customHeight="1">
      <c r="A309" s="1739" t="s">
        <v>2736</v>
      </c>
      <c r="B309" s="1739" t="s">
        <v>3</v>
      </c>
      <c r="C309" t="s">
        <v>3383</v>
      </c>
      <c r="D309" t="s">
        <v>3384</v>
      </c>
      <c r="E309" t="s">
        <v>3385</v>
      </c>
      <c r="F309" t="s">
        <v>2777</v>
      </c>
      <c r="G309" t="s">
        <v>3386</v>
      </c>
      <c r="H309" t="s">
        <v>9</v>
      </c>
      <c r="I309" t="s">
        <v>1194</v>
      </c>
    </row>
    <row r="310" spans="1:9" ht="11.25" customHeight="1">
      <c r="A310" s="1739" t="s">
        <v>2736</v>
      </c>
      <c r="B310" s="1739" t="s">
        <v>3</v>
      </c>
      <c r="C310" t="s">
        <v>3387</v>
      </c>
      <c r="D310" t="s">
        <v>3388</v>
      </c>
      <c r="E310" t="s">
        <v>3389</v>
      </c>
      <c r="F310" t="s">
        <v>2921</v>
      </c>
      <c r="G310" t="s">
        <v>9</v>
      </c>
      <c r="H310" t="s">
        <v>9</v>
      </c>
      <c r="I310" t="s">
        <v>1194</v>
      </c>
    </row>
    <row r="311" spans="1:9" ht="11.25" customHeight="1">
      <c r="A311" s="1739" t="s">
        <v>2736</v>
      </c>
      <c r="B311" s="1739" t="s">
        <v>3</v>
      </c>
      <c r="C311" t="s">
        <v>3390</v>
      </c>
      <c r="D311" t="s">
        <v>3391</v>
      </c>
      <c r="E311" t="s">
        <v>3392</v>
      </c>
      <c r="F311" t="s">
        <v>3393</v>
      </c>
      <c r="G311" t="s">
        <v>9</v>
      </c>
      <c r="H311" t="s">
        <v>9</v>
      </c>
      <c r="I311" t="s">
        <v>1194</v>
      </c>
    </row>
    <row r="312" spans="1:9" ht="11.25" customHeight="1">
      <c r="A312" s="1739" t="s">
        <v>2736</v>
      </c>
      <c r="B312" s="1739" t="s">
        <v>3</v>
      </c>
      <c r="C312" t="s">
        <v>3394</v>
      </c>
      <c r="D312" t="s">
        <v>3395</v>
      </c>
      <c r="E312" t="s">
        <v>3396</v>
      </c>
      <c r="F312" t="s">
        <v>2763</v>
      </c>
      <c r="G312" t="s">
        <v>9</v>
      </c>
      <c r="H312" t="s">
        <v>9</v>
      </c>
      <c r="I312" t="s">
        <v>1194</v>
      </c>
    </row>
    <row r="313" spans="1:9" ht="11.25" customHeight="1">
      <c r="A313" s="1739" t="s">
        <v>2736</v>
      </c>
      <c r="B313" s="1739" t="s">
        <v>3</v>
      </c>
      <c r="C313" t="s">
        <v>3397</v>
      </c>
      <c r="D313" t="s">
        <v>3398</v>
      </c>
      <c r="E313" t="s">
        <v>3399</v>
      </c>
      <c r="F313" t="s">
        <v>2740</v>
      </c>
      <c r="G313" t="s">
        <v>9</v>
      </c>
      <c r="H313" t="s">
        <v>9</v>
      </c>
      <c r="I313" t="s">
        <v>1194</v>
      </c>
    </row>
    <row r="314" spans="1:9" ht="11.25" customHeight="1">
      <c r="A314" s="1739" t="s">
        <v>2736</v>
      </c>
      <c r="B314" s="1739" t="s">
        <v>3</v>
      </c>
      <c r="C314" t="s">
        <v>3003</v>
      </c>
      <c r="D314" t="s">
        <v>3004</v>
      </c>
      <c r="E314" t="s">
        <v>3005</v>
      </c>
      <c r="F314" t="s">
        <v>3006</v>
      </c>
      <c r="G314" t="s">
        <v>9</v>
      </c>
      <c r="H314" t="s">
        <v>9</v>
      </c>
      <c r="I314" t="s">
        <v>1194</v>
      </c>
    </row>
    <row r="315" spans="1:9" ht="11.25" customHeight="1">
      <c r="A315" s="1739" t="s">
        <v>2736</v>
      </c>
      <c r="B315" s="1739" t="s">
        <v>3</v>
      </c>
      <c r="C315" t="s">
        <v>3400</v>
      </c>
      <c r="D315" t="s">
        <v>3401</v>
      </c>
      <c r="E315" t="s">
        <v>3402</v>
      </c>
      <c r="F315" t="s">
        <v>2921</v>
      </c>
      <c r="G315" t="s">
        <v>9</v>
      </c>
      <c r="H315" t="s">
        <v>3403</v>
      </c>
      <c r="I315" t="s">
        <v>1194</v>
      </c>
    </row>
    <row r="316" spans="1:9" ht="11.25" customHeight="1">
      <c r="A316" s="1739" t="s">
        <v>2736</v>
      </c>
      <c r="B316" s="1739" t="s">
        <v>3</v>
      </c>
      <c r="C316" t="s">
        <v>3013</v>
      </c>
      <c r="D316" t="s">
        <v>3014</v>
      </c>
      <c r="E316" t="s">
        <v>3015</v>
      </c>
      <c r="F316" t="s">
        <v>38</v>
      </c>
      <c r="G316" t="s">
        <v>9</v>
      </c>
      <c r="H316" t="s">
        <v>9</v>
      </c>
      <c r="I316" t="s">
        <v>1194</v>
      </c>
    </row>
    <row r="317" spans="1:9" ht="11.25" customHeight="1">
      <c r="A317" s="1739" t="s">
        <v>2736</v>
      </c>
      <c r="B317" s="1739" t="s">
        <v>3</v>
      </c>
      <c r="C317" t="s">
        <v>3404</v>
      </c>
      <c r="D317" t="s">
        <v>3405</v>
      </c>
      <c r="E317" t="s">
        <v>3406</v>
      </c>
      <c r="F317" t="s">
        <v>2863</v>
      </c>
      <c r="G317" t="s">
        <v>9</v>
      </c>
      <c r="H317" t="s">
        <v>3407</v>
      </c>
      <c r="I317" t="s">
        <v>1194</v>
      </c>
    </row>
    <row r="318" spans="1:9" ht="11.25" customHeight="1">
      <c r="A318" s="1739" t="s">
        <v>2736</v>
      </c>
      <c r="B318" s="1739" t="s">
        <v>3</v>
      </c>
      <c r="C318" t="s">
        <v>3019</v>
      </c>
      <c r="D318" t="s">
        <v>3020</v>
      </c>
      <c r="E318" t="s">
        <v>3021</v>
      </c>
      <c r="F318" t="s">
        <v>2740</v>
      </c>
      <c r="G318" t="s">
        <v>9</v>
      </c>
      <c r="H318" t="s">
        <v>9</v>
      </c>
      <c r="I318" t="s">
        <v>1194</v>
      </c>
    </row>
    <row r="319" spans="1:9" ht="11.25" customHeight="1">
      <c r="A319" s="1739" t="s">
        <v>2736</v>
      </c>
      <c r="B319" s="1739" t="s">
        <v>3</v>
      </c>
      <c r="C319" t="s">
        <v>3408</v>
      </c>
      <c r="D319" t="s">
        <v>3409</v>
      </c>
      <c r="E319" t="s">
        <v>3410</v>
      </c>
      <c r="F319" t="s">
        <v>2740</v>
      </c>
      <c r="G319" t="s">
        <v>9</v>
      </c>
      <c r="H319" t="s">
        <v>9</v>
      </c>
      <c r="I319" t="s">
        <v>1194</v>
      </c>
    </row>
    <row r="320" spans="1:9" ht="11.25" customHeight="1">
      <c r="A320" s="1739" t="s">
        <v>2736</v>
      </c>
      <c r="B320" s="1739" t="s">
        <v>3</v>
      </c>
      <c r="C320" t="s">
        <v>3022</v>
      </c>
      <c r="D320" t="s">
        <v>3023</v>
      </c>
      <c r="E320" t="s">
        <v>3024</v>
      </c>
      <c r="F320" t="s">
        <v>2788</v>
      </c>
      <c r="G320" t="s">
        <v>9</v>
      </c>
      <c r="H320" t="s">
        <v>9</v>
      </c>
      <c r="I320" t="s">
        <v>1194</v>
      </c>
    </row>
    <row r="321" spans="1:9" ht="11.25" customHeight="1">
      <c r="A321" s="1739" t="s">
        <v>2736</v>
      </c>
      <c r="B321" s="1739" t="s">
        <v>3</v>
      </c>
      <c r="C321" t="s">
        <v>3025</v>
      </c>
      <c r="D321" t="s">
        <v>3026</v>
      </c>
      <c r="E321" t="s">
        <v>3027</v>
      </c>
      <c r="F321" t="s">
        <v>2863</v>
      </c>
      <c r="G321" t="s">
        <v>9</v>
      </c>
      <c r="H321" t="s">
        <v>9</v>
      </c>
      <c r="I321" t="s">
        <v>1194</v>
      </c>
    </row>
    <row r="322" spans="1:9" ht="11.25" customHeight="1">
      <c r="A322" s="1739" t="s">
        <v>2736</v>
      </c>
      <c r="B322" s="1739" t="s">
        <v>3</v>
      </c>
      <c r="C322" t="s">
        <v>3034</v>
      </c>
      <c r="D322" t="s">
        <v>3035</v>
      </c>
      <c r="E322" t="s">
        <v>3036</v>
      </c>
      <c r="F322" t="s">
        <v>2974</v>
      </c>
      <c r="G322" t="s">
        <v>9</v>
      </c>
      <c r="H322" t="s">
        <v>9</v>
      </c>
      <c r="I322" t="s">
        <v>1194</v>
      </c>
    </row>
    <row r="323" spans="1:9" ht="11.25" customHeight="1">
      <c r="A323" s="1739" t="s">
        <v>2736</v>
      </c>
      <c r="B323" s="1739" t="s">
        <v>3</v>
      </c>
      <c r="C323" t="s">
        <v>3411</v>
      </c>
      <c r="D323" t="s">
        <v>3412</v>
      </c>
      <c r="E323" t="s">
        <v>3413</v>
      </c>
      <c r="F323" t="s">
        <v>2974</v>
      </c>
      <c r="G323" t="s">
        <v>9</v>
      </c>
      <c r="H323" t="s">
        <v>9</v>
      </c>
      <c r="I323" t="s">
        <v>1194</v>
      </c>
    </row>
    <row r="324" spans="1:9" ht="11.25" customHeight="1">
      <c r="A324" s="1739" t="s">
        <v>2736</v>
      </c>
      <c r="B324" s="1739" t="s">
        <v>3</v>
      </c>
      <c r="C324" t="s">
        <v>3414</v>
      </c>
      <c r="D324" t="s">
        <v>3415</v>
      </c>
      <c r="E324" t="s">
        <v>3416</v>
      </c>
      <c r="F324" t="s">
        <v>2740</v>
      </c>
      <c r="G324" t="s">
        <v>3417</v>
      </c>
      <c r="H324" t="s">
        <v>9</v>
      </c>
      <c r="I324" t="s">
        <v>1194</v>
      </c>
    </row>
    <row r="325" spans="1:9" ht="11.25" customHeight="1">
      <c r="A325" s="1739" t="s">
        <v>2736</v>
      </c>
      <c r="B325" s="1739" t="s">
        <v>3</v>
      </c>
      <c r="C325" t="s">
        <v>3418</v>
      </c>
      <c r="D325" t="s">
        <v>3419</v>
      </c>
      <c r="E325" t="s">
        <v>3420</v>
      </c>
      <c r="F325" t="s">
        <v>38</v>
      </c>
      <c r="G325" t="s">
        <v>9</v>
      </c>
      <c r="H325" t="s">
        <v>9</v>
      </c>
      <c r="I325" t="s">
        <v>1194</v>
      </c>
    </row>
    <row r="326" spans="1:9" ht="11.25" customHeight="1">
      <c r="A326" s="1739" t="s">
        <v>2736</v>
      </c>
      <c r="B326" s="1739" t="s">
        <v>3</v>
      </c>
      <c r="C326" t="s">
        <v>3047</v>
      </c>
      <c r="D326" t="s">
        <v>3048</v>
      </c>
      <c r="E326" t="s">
        <v>3049</v>
      </c>
      <c r="F326" t="s">
        <v>2763</v>
      </c>
      <c r="G326" t="s">
        <v>3046</v>
      </c>
      <c r="H326" t="s">
        <v>9</v>
      </c>
      <c r="I326" t="s">
        <v>1194</v>
      </c>
    </row>
    <row r="327" spans="1:9" ht="11.25" customHeight="1">
      <c r="A327" s="1739" t="s">
        <v>2736</v>
      </c>
      <c r="B327" s="1739" t="s">
        <v>3</v>
      </c>
      <c r="C327" t="s">
        <v>3421</v>
      </c>
      <c r="D327" t="s">
        <v>3422</v>
      </c>
      <c r="E327" t="s">
        <v>3423</v>
      </c>
      <c r="F327" t="s">
        <v>2859</v>
      </c>
      <c r="G327" t="s">
        <v>9</v>
      </c>
      <c r="H327" t="s">
        <v>9</v>
      </c>
      <c r="I327" t="s">
        <v>1194</v>
      </c>
    </row>
    <row r="328" spans="1:9" ht="11.25" customHeight="1">
      <c r="A328" s="1739" t="s">
        <v>2736</v>
      </c>
      <c r="B328" s="1739" t="s">
        <v>3</v>
      </c>
      <c r="C328" t="s">
        <v>3424</v>
      </c>
      <c r="D328" t="s">
        <v>3425</v>
      </c>
      <c r="E328" t="s">
        <v>3426</v>
      </c>
      <c r="F328" t="s">
        <v>2801</v>
      </c>
      <c r="G328" t="s">
        <v>9</v>
      </c>
      <c r="H328" t="s">
        <v>9</v>
      </c>
      <c r="I328" t="s">
        <v>1194</v>
      </c>
    </row>
    <row r="329" spans="1:9" ht="11.25" customHeight="1">
      <c r="A329" s="1739" t="s">
        <v>2736</v>
      </c>
      <c r="B329" s="1739" t="s">
        <v>3</v>
      </c>
      <c r="C329" t="s">
        <v>3053</v>
      </c>
      <c r="D329" t="s">
        <v>3054</v>
      </c>
      <c r="E329" t="s">
        <v>3055</v>
      </c>
      <c r="F329" t="s">
        <v>3056</v>
      </c>
      <c r="G329" t="s">
        <v>9</v>
      </c>
      <c r="H329" t="s">
        <v>9</v>
      </c>
      <c r="I329" t="s">
        <v>1194</v>
      </c>
    </row>
    <row r="330" spans="1:9" ht="11.25" customHeight="1">
      <c r="A330" s="1739" t="s">
        <v>2736</v>
      </c>
      <c r="B330" s="1739" t="s">
        <v>3</v>
      </c>
      <c r="C330" t="s">
        <v>3057</v>
      </c>
      <c r="D330" t="s">
        <v>3058</v>
      </c>
      <c r="E330" t="s">
        <v>3059</v>
      </c>
      <c r="F330" t="s">
        <v>2763</v>
      </c>
      <c r="G330" t="s">
        <v>9</v>
      </c>
      <c r="H330" t="s">
        <v>9</v>
      </c>
      <c r="I330" t="s">
        <v>1194</v>
      </c>
    </row>
    <row r="331" spans="1:9" ht="11.25" customHeight="1">
      <c r="A331" s="1739" t="s">
        <v>2736</v>
      </c>
      <c r="B331" s="1739" t="s">
        <v>3</v>
      </c>
      <c r="C331" t="s">
        <v>3060</v>
      </c>
      <c r="D331" t="s">
        <v>3061</v>
      </c>
      <c r="E331" t="s">
        <v>3062</v>
      </c>
      <c r="F331" t="s">
        <v>2763</v>
      </c>
      <c r="G331" t="s">
        <v>9</v>
      </c>
      <c r="H331" t="s">
        <v>9</v>
      </c>
      <c r="I331" t="s">
        <v>1194</v>
      </c>
    </row>
    <row r="332" spans="1:9" ht="11.25" customHeight="1">
      <c r="A332" s="1739" t="s">
        <v>2736</v>
      </c>
      <c r="B332" s="1739" t="s">
        <v>3</v>
      </c>
      <c r="C332" t="s">
        <v>3063</v>
      </c>
      <c r="D332" t="s">
        <v>3064</v>
      </c>
      <c r="E332" t="s">
        <v>3065</v>
      </c>
      <c r="F332" t="s">
        <v>2763</v>
      </c>
      <c r="G332" t="s">
        <v>9</v>
      </c>
      <c r="H332" t="s">
        <v>9</v>
      </c>
      <c r="I332" t="s">
        <v>1194</v>
      </c>
    </row>
    <row r="333" spans="1:9" ht="11.25" customHeight="1">
      <c r="A333" s="1739" t="s">
        <v>2736</v>
      </c>
      <c r="B333" s="1739" t="s">
        <v>3</v>
      </c>
      <c r="C333" t="s">
        <v>3069</v>
      </c>
      <c r="D333" t="s">
        <v>3070</v>
      </c>
      <c r="E333" t="s">
        <v>3071</v>
      </c>
      <c r="F333" t="s">
        <v>2763</v>
      </c>
      <c r="G333" t="s">
        <v>9</v>
      </c>
      <c r="H333" t="s">
        <v>9</v>
      </c>
      <c r="I333" t="s">
        <v>1194</v>
      </c>
    </row>
    <row r="334" spans="1:9" ht="11.25" customHeight="1">
      <c r="A334" s="1739" t="s">
        <v>2736</v>
      </c>
      <c r="B334" s="1739" t="s">
        <v>3</v>
      </c>
      <c r="C334" t="s">
        <v>3075</v>
      </c>
      <c r="D334" t="s">
        <v>3073</v>
      </c>
      <c r="E334" t="s">
        <v>3076</v>
      </c>
      <c r="F334" t="s">
        <v>3056</v>
      </c>
      <c r="G334" t="s">
        <v>9</v>
      </c>
      <c r="H334" t="s">
        <v>9</v>
      </c>
      <c r="I334" t="s">
        <v>1194</v>
      </c>
    </row>
    <row r="335" spans="1:9" ht="11.25" customHeight="1">
      <c r="A335" s="1739" t="s">
        <v>2736</v>
      </c>
      <c r="B335" s="1739" t="s">
        <v>3</v>
      </c>
      <c r="C335" t="s">
        <v>3077</v>
      </c>
      <c r="D335" t="s">
        <v>3078</v>
      </c>
      <c r="E335" t="s">
        <v>3079</v>
      </c>
      <c r="F335" t="s">
        <v>2763</v>
      </c>
      <c r="G335" t="s">
        <v>9</v>
      </c>
      <c r="H335" t="s">
        <v>9</v>
      </c>
      <c r="I335" t="s">
        <v>1194</v>
      </c>
    </row>
    <row r="336" spans="1:9" ht="11.25" customHeight="1">
      <c r="A336" s="1739" t="s">
        <v>2736</v>
      </c>
      <c r="B336" s="1739" t="s">
        <v>3</v>
      </c>
      <c r="C336" t="s">
        <v>3427</v>
      </c>
      <c r="D336" t="s">
        <v>3428</v>
      </c>
      <c r="E336" t="s">
        <v>3429</v>
      </c>
      <c r="F336" t="s">
        <v>2740</v>
      </c>
      <c r="G336" t="s">
        <v>9</v>
      </c>
      <c r="H336" t="s">
        <v>9</v>
      </c>
      <c r="I336" t="s">
        <v>1194</v>
      </c>
    </row>
    <row r="337" spans="1:9" ht="11.25" customHeight="1">
      <c r="A337" s="1739" t="s">
        <v>2736</v>
      </c>
      <c r="B337" s="1739" t="s">
        <v>3</v>
      </c>
      <c r="C337" t="s">
        <v>3430</v>
      </c>
      <c r="D337" t="s">
        <v>3431</v>
      </c>
      <c r="E337" t="s">
        <v>3432</v>
      </c>
      <c r="F337" t="s">
        <v>2773</v>
      </c>
      <c r="G337" t="s">
        <v>9</v>
      </c>
      <c r="H337" t="s">
        <v>9</v>
      </c>
      <c r="I337" t="s">
        <v>1194</v>
      </c>
    </row>
    <row r="338" spans="1:9" ht="11.25" customHeight="1">
      <c r="A338" s="1739" t="s">
        <v>2736</v>
      </c>
      <c r="B338" s="1739" t="s">
        <v>3</v>
      </c>
      <c r="C338" t="s">
        <v>3080</v>
      </c>
      <c r="D338" t="s">
        <v>3081</v>
      </c>
      <c r="E338" t="s">
        <v>3082</v>
      </c>
      <c r="F338" t="s">
        <v>2801</v>
      </c>
      <c r="G338" t="s">
        <v>9</v>
      </c>
      <c r="H338" t="s">
        <v>9</v>
      </c>
      <c r="I338" t="s">
        <v>1194</v>
      </c>
    </row>
    <row r="339" spans="1:9" ht="11.25" customHeight="1">
      <c r="A339" s="1739" t="s">
        <v>2736</v>
      </c>
      <c r="B339" s="1739" t="s">
        <v>3</v>
      </c>
      <c r="C339" t="s">
        <v>3433</v>
      </c>
      <c r="D339" t="s">
        <v>3434</v>
      </c>
      <c r="E339" t="s">
        <v>3435</v>
      </c>
      <c r="F339" t="s">
        <v>2773</v>
      </c>
      <c r="G339" t="s">
        <v>3436</v>
      </c>
      <c r="H339" t="s">
        <v>9</v>
      </c>
      <c r="I339" t="s">
        <v>1194</v>
      </c>
    </row>
    <row r="340" spans="1:9" ht="11.25" customHeight="1">
      <c r="A340" s="1739" t="s">
        <v>2736</v>
      </c>
      <c r="B340" s="1739" t="s">
        <v>3</v>
      </c>
      <c r="C340" t="s">
        <v>3437</v>
      </c>
      <c r="D340" t="s">
        <v>3438</v>
      </c>
      <c r="E340" t="s">
        <v>3439</v>
      </c>
      <c r="F340" t="s">
        <v>2740</v>
      </c>
      <c r="G340" t="s">
        <v>9</v>
      </c>
      <c r="H340" t="s">
        <v>9</v>
      </c>
      <c r="I340" t="s">
        <v>1194</v>
      </c>
    </row>
    <row r="341" spans="1:9" ht="11.25" customHeight="1">
      <c r="A341" s="1739" t="s">
        <v>2736</v>
      </c>
      <c r="B341" s="1739" t="s">
        <v>3</v>
      </c>
      <c r="C341" t="s">
        <v>3089</v>
      </c>
      <c r="D341" t="s">
        <v>3090</v>
      </c>
      <c r="E341" t="s">
        <v>3091</v>
      </c>
      <c r="F341" t="s">
        <v>2740</v>
      </c>
      <c r="G341" t="s">
        <v>9</v>
      </c>
      <c r="H341" t="s">
        <v>9</v>
      </c>
      <c r="I341" t="s">
        <v>1194</v>
      </c>
    </row>
    <row r="342" spans="1:9" ht="11.25" customHeight="1">
      <c r="A342" s="1739" t="s">
        <v>2736</v>
      </c>
      <c r="B342" s="1739" t="s">
        <v>3</v>
      </c>
      <c r="C342" t="s">
        <v>3092</v>
      </c>
      <c r="D342" t="s">
        <v>3093</v>
      </c>
      <c r="E342" t="s">
        <v>3094</v>
      </c>
      <c r="F342" t="s">
        <v>2863</v>
      </c>
      <c r="G342" t="s">
        <v>9</v>
      </c>
      <c r="H342" t="s">
        <v>9</v>
      </c>
      <c r="I342" t="s">
        <v>1194</v>
      </c>
    </row>
    <row r="343" spans="1:9" ht="11.25" customHeight="1">
      <c r="A343" s="1739" t="s">
        <v>2736</v>
      </c>
      <c r="B343" s="1739" t="s">
        <v>3</v>
      </c>
      <c r="C343" t="s">
        <v>3440</v>
      </c>
      <c r="D343" t="s">
        <v>3441</v>
      </c>
      <c r="E343" t="s">
        <v>3442</v>
      </c>
      <c r="F343" t="s">
        <v>2921</v>
      </c>
      <c r="G343" t="s">
        <v>9</v>
      </c>
      <c r="H343" t="s">
        <v>9</v>
      </c>
      <c r="I343" t="s">
        <v>1194</v>
      </c>
    </row>
    <row r="344" spans="1:9" ht="11.25" customHeight="1">
      <c r="A344" s="1739" t="s">
        <v>2736</v>
      </c>
      <c r="B344" s="1739" t="s">
        <v>3</v>
      </c>
      <c r="C344" t="s">
        <v>3098</v>
      </c>
      <c r="D344" t="s">
        <v>3099</v>
      </c>
      <c r="E344" t="s">
        <v>3100</v>
      </c>
      <c r="F344" t="s">
        <v>2974</v>
      </c>
      <c r="G344" t="s">
        <v>9</v>
      </c>
      <c r="H344" t="s">
        <v>9</v>
      </c>
      <c r="I344" t="s">
        <v>1194</v>
      </c>
    </row>
    <row r="345" spans="1:9" ht="11.25" customHeight="1">
      <c r="A345" s="1739" t="s">
        <v>2736</v>
      </c>
      <c r="B345" s="1739" t="s">
        <v>3</v>
      </c>
      <c r="C345" t="s">
        <v>3443</v>
      </c>
      <c r="D345" t="s">
        <v>3444</v>
      </c>
      <c r="E345" t="s">
        <v>3445</v>
      </c>
      <c r="F345" t="s">
        <v>2863</v>
      </c>
      <c r="G345" t="s">
        <v>9</v>
      </c>
      <c r="H345" t="s">
        <v>9</v>
      </c>
      <c r="I345" t="s">
        <v>1194</v>
      </c>
    </row>
    <row r="346" spans="1:9" ht="11.25" customHeight="1">
      <c r="A346" s="1739" t="s">
        <v>2736</v>
      </c>
      <c r="B346" s="1739" t="s">
        <v>3</v>
      </c>
      <c r="C346" t="s">
        <v>3446</v>
      </c>
      <c r="D346" t="s">
        <v>3447</v>
      </c>
      <c r="E346" t="s">
        <v>3448</v>
      </c>
      <c r="F346" t="s">
        <v>2773</v>
      </c>
      <c r="G346" t="s">
        <v>9</v>
      </c>
      <c r="H346" t="s">
        <v>9</v>
      </c>
      <c r="I346" t="s">
        <v>1194</v>
      </c>
    </row>
    <row r="347" spans="1:9" ht="11.25" customHeight="1">
      <c r="A347" s="1739" t="s">
        <v>2736</v>
      </c>
      <c r="B347" s="1739" t="s">
        <v>3</v>
      </c>
      <c r="C347" t="s">
        <v>3107</v>
      </c>
      <c r="D347" t="s">
        <v>3108</v>
      </c>
      <c r="E347" t="s">
        <v>3109</v>
      </c>
      <c r="F347" t="s">
        <v>2848</v>
      </c>
      <c r="G347" t="s">
        <v>9</v>
      </c>
      <c r="H347" t="s">
        <v>9</v>
      </c>
      <c r="I347" t="s">
        <v>1194</v>
      </c>
    </row>
    <row r="348" spans="1:9" ht="11.25" customHeight="1">
      <c r="A348" s="1739" t="s">
        <v>2736</v>
      </c>
      <c r="B348" s="1739" t="s">
        <v>3</v>
      </c>
      <c r="C348" t="s">
        <v>3110</v>
      </c>
      <c r="D348" t="s">
        <v>3111</v>
      </c>
      <c r="E348" t="s">
        <v>3112</v>
      </c>
      <c r="F348" t="s">
        <v>2763</v>
      </c>
      <c r="G348" t="s">
        <v>9</v>
      </c>
      <c r="H348" t="s">
        <v>9</v>
      </c>
      <c r="I348" t="s">
        <v>1194</v>
      </c>
    </row>
    <row r="349" spans="1:9" ht="11.25" customHeight="1">
      <c r="A349" s="1739" t="s">
        <v>2736</v>
      </c>
      <c r="B349" s="1739" t="s">
        <v>3</v>
      </c>
      <c r="C349" t="s">
        <v>3449</v>
      </c>
      <c r="D349" t="s">
        <v>3450</v>
      </c>
      <c r="E349" t="s">
        <v>3451</v>
      </c>
      <c r="F349" t="s">
        <v>2921</v>
      </c>
      <c r="G349" t="s">
        <v>9</v>
      </c>
      <c r="H349" t="s">
        <v>9</v>
      </c>
      <c r="I349" t="s">
        <v>1194</v>
      </c>
    </row>
    <row r="350" spans="1:9" ht="11.25" customHeight="1">
      <c r="A350" s="1739" t="s">
        <v>2736</v>
      </c>
      <c r="B350" s="1739" t="s">
        <v>3</v>
      </c>
      <c r="C350" t="s">
        <v>3119</v>
      </c>
      <c r="D350" t="s">
        <v>3120</v>
      </c>
      <c r="E350" t="s">
        <v>3121</v>
      </c>
      <c r="F350" t="s">
        <v>2921</v>
      </c>
      <c r="G350" t="s">
        <v>9</v>
      </c>
      <c r="H350" t="s">
        <v>9</v>
      </c>
      <c r="I350" t="s">
        <v>1194</v>
      </c>
    </row>
    <row r="351" spans="1:9" ht="11.25" customHeight="1">
      <c r="A351" s="1739" t="s">
        <v>2736</v>
      </c>
      <c r="B351" s="1739" t="s">
        <v>3</v>
      </c>
      <c r="C351" t="s">
        <v>3122</v>
      </c>
      <c r="D351" t="s">
        <v>3123</v>
      </c>
      <c r="E351" t="s">
        <v>3124</v>
      </c>
      <c r="F351" t="s">
        <v>2863</v>
      </c>
      <c r="G351" t="s">
        <v>9</v>
      </c>
      <c r="H351" t="s">
        <v>9</v>
      </c>
      <c r="I351" t="s">
        <v>1194</v>
      </c>
    </row>
    <row r="352" spans="1:9" ht="11.25" customHeight="1">
      <c r="A352" s="1739" t="s">
        <v>2736</v>
      </c>
      <c r="B352" s="1739" t="s">
        <v>3</v>
      </c>
      <c r="C352" t="s">
        <v>3452</v>
      </c>
      <c r="D352" t="s">
        <v>3453</v>
      </c>
      <c r="E352" t="s">
        <v>3454</v>
      </c>
      <c r="F352" t="s">
        <v>2859</v>
      </c>
      <c r="G352" t="s">
        <v>9</v>
      </c>
      <c r="H352" t="s">
        <v>9</v>
      </c>
      <c r="I352" t="s">
        <v>1194</v>
      </c>
    </row>
    <row r="353" spans="1:9" ht="11.25" customHeight="1">
      <c r="A353" s="1739" t="s">
        <v>2736</v>
      </c>
      <c r="B353" s="1739" t="s">
        <v>3</v>
      </c>
      <c r="C353" t="s">
        <v>3455</v>
      </c>
      <c r="D353" t="s">
        <v>3456</v>
      </c>
      <c r="E353" t="s">
        <v>3457</v>
      </c>
      <c r="F353" t="s">
        <v>2848</v>
      </c>
      <c r="G353" t="s">
        <v>9</v>
      </c>
      <c r="H353" t="s">
        <v>9</v>
      </c>
      <c r="I353" t="s">
        <v>1194</v>
      </c>
    </row>
    <row r="354" spans="1:9" ht="11.25" customHeight="1">
      <c r="A354" s="1739" t="s">
        <v>2736</v>
      </c>
      <c r="B354" s="1739" t="s">
        <v>3</v>
      </c>
      <c r="C354" t="s">
        <v>3458</v>
      </c>
      <c r="D354" t="s">
        <v>3459</v>
      </c>
      <c r="E354" t="s">
        <v>3460</v>
      </c>
      <c r="F354" t="s">
        <v>2830</v>
      </c>
      <c r="G354" t="s">
        <v>9</v>
      </c>
      <c r="H354" t="s">
        <v>3461</v>
      </c>
      <c r="I354" t="s">
        <v>1194</v>
      </c>
    </row>
    <row r="355" spans="1:9" ht="11.25" customHeight="1">
      <c r="A355" s="1739" t="s">
        <v>2736</v>
      </c>
      <c r="B355" s="1739" t="s">
        <v>3</v>
      </c>
      <c r="C355" t="s">
        <v>3159</v>
      </c>
      <c r="D355" t="s">
        <v>3160</v>
      </c>
      <c r="E355" t="s">
        <v>3161</v>
      </c>
      <c r="F355" t="s">
        <v>2788</v>
      </c>
      <c r="G355" t="s">
        <v>9</v>
      </c>
      <c r="H355" t="s">
        <v>9</v>
      </c>
      <c r="I355" t="s">
        <v>1194</v>
      </c>
    </row>
    <row r="356" spans="1:9" ht="11.25" customHeight="1">
      <c r="A356" s="1739" t="s">
        <v>2736</v>
      </c>
      <c r="B356" s="1739" t="s">
        <v>3</v>
      </c>
      <c r="C356" t="s">
        <v>3462</v>
      </c>
      <c r="D356" t="s">
        <v>3463</v>
      </c>
      <c r="E356" t="s">
        <v>3464</v>
      </c>
      <c r="F356" t="s">
        <v>2763</v>
      </c>
      <c r="G356" t="s">
        <v>3465</v>
      </c>
      <c r="H356" t="s">
        <v>9</v>
      </c>
      <c r="I356" t="s">
        <v>1194</v>
      </c>
    </row>
    <row r="357" spans="1:9" ht="11.25" customHeight="1">
      <c r="A357" s="1739" t="s">
        <v>2736</v>
      </c>
      <c r="B357" s="1739" t="s">
        <v>3</v>
      </c>
      <c r="C357" t="s">
        <v>3466</v>
      </c>
      <c r="D357" t="s">
        <v>3467</v>
      </c>
      <c r="E357" t="s">
        <v>3468</v>
      </c>
      <c r="F357" t="s">
        <v>2974</v>
      </c>
      <c r="G357" t="s">
        <v>9</v>
      </c>
      <c r="H357" t="s">
        <v>9</v>
      </c>
      <c r="I357" t="s">
        <v>1194</v>
      </c>
    </row>
    <row r="358" spans="1:9" ht="11.25" customHeight="1">
      <c r="A358" s="1739" t="s">
        <v>2736</v>
      </c>
      <c r="B358" s="1739" t="s">
        <v>3</v>
      </c>
      <c r="C358" t="s">
        <v>3175</v>
      </c>
      <c r="D358" t="s">
        <v>3176</v>
      </c>
      <c r="E358" t="s">
        <v>3177</v>
      </c>
      <c r="F358" t="s">
        <v>2859</v>
      </c>
      <c r="G358" t="s">
        <v>9</v>
      </c>
      <c r="H358" t="s">
        <v>9</v>
      </c>
      <c r="I358" t="s">
        <v>1194</v>
      </c>
    </row>
    <row r="359" spans="1:9" ht="11.25" customHeight="1">
      <c r="A359" s="1739" t="s">
        <v>2736</v>
      </c>
      <c r="B359" s="1739" t="s">
        <v>3</v>
      </c>
      <c r="C359" t="s">
        <v>3178</v>
      </c>
      <c r="D359" t="s">
        <v>3179</v>
      </c>
      <c r="E359" t="s">
        <v>3180</v>
      </c>
      <c r="F359" t="s">
        <v>2859</v>
      </c>
      <c r="G359" t="s">
        <v>9</v>
      </c>
      <c r="H359" t="s">
        <v>9</v>
      </c>
      <c r="I359" t="s">
        <v>1194</v>
      </c>
    </row>
    <row r="360" spans="1:9" ht="11.25" customHeight="1">
      <c r="A360" s="1739" t="s">
        <v>2736</v>
      </c>
      <c r="B360" s="1739" t="s">
        <v>3</v>
      </c>
      <c r="C360" t="s">
        <v>3469</v>
      </c>
      <c r="D360" t="s">
        <v>3470</v>
      </c>
      <c r="E360" t="s">
        <v>3471</v>
      </c>
      <c r="F360" t="s">
        <v>2863</v>
      </c>
      <c r="G360" t="s">
        <v>3472</v>
      </c>
      <c r="H360" t="s">
        <v>9</v>
      </c>
      <c r="I360" t="s">
        <v>1194</v>
      </c>
    </row>
    <row r="361" spans="1:9" ht="11.25" customHeight="1">
      <c r="A361" s="1739" t="s">
        <v>2736</v>
      </c>
      <c r="B361" s="1739" t="s">
        <v>3</v>
      </c>
      <c r="C361" t="s">
        <v>3185</v>
      </c>
      <c r="D361" t="s">
        <v>3186</v>
      </c>
      <c r="E361" t="s">
        <v>3187</v>
      </c>
      <c r="F361" t="s">
        <v>3188</v>
      </c>
      <c r="G361" t="s">
        <v>9</v>
      </c>
      <c r="H361" t="s">
        <v>9</v>
      </c>
      <c r="I361" t="s">
        <v>1194</v>
      </c>
    </row>
    <row r="362" spans="1:9" ht="11.25" customHeight="1">
      <c r="A362" s="1739" t="s">
        <v>2736</v>
      </c>
      <c r="B362" s="1739" t="s">
        <v>3</v>
      </c>
      <c r="C362" t="s">
        <v>3473</v>
      </c>
      <c r="D362" t="s">
        <v>3474</v>
      </c>
      <c r="E362" t="s">
        <v>3475</v>
      </c>
      <c r="F362" t="s">
        <v>38</v>
      </c>
      <c r="G362" t="s">
        <v>3476</v>
      </c>
      <c r="H362" t="s">
        <v>9</v>
      </c>
      <c r="I362" t="s">
        <v>1194</v>
      </c>
    </row>
    <row r="363" spans="1:9" ht="11.25" customHeight="1">
      <c r="A363" s="1739" t="s">
        <v>2736</v>
      </c>
      <c r="B363" s="1739" t="s">
        <v>3</v>
      </c>
      <c r="C363" t="s">
        <v>3189</v>
      </c>
      <c r="D363" t="s">
        <v>3190</v>
      </c>
      <c r="E363" t="s">
        <v>3191</v>
      </c>
      <c r="F363" t="s">
        <v>3192</v>
      </c>
      <c r="G363" t="s">
        <v>9</v>
      </c>
      <c r="H363" t="s">
        <v>9</v>
      </c>
      <c r="I363" t="s">
        <v>1194</v>
      </c>
    </row>
    <row r="364" spans="1:9" ht="11.25" customHeight="1">
      <c r="A364" s="1739" t="s">
        <v>2736</v>
      </c>
      <c r="B364" s="1739" t="s">
        <v>3</v>
      </c>
      <c r="C364" t="s">
        <v>3248</v>
      </c>
      <c r="D364" t="s">
        <v>3190</v>
      </c>
      <c r="E364" t="s">
        <v>3191</v>
      </c>
      <c r="F364" t="s">
        <v>3249</v>
      </c>
      <c r="G364" t="s">
        <v>9</v>
      </c>
      <c r="H364" t="s">
        <v>9</v>
      </c>
      <c r="I364" t="s">
        <v>1194</v>
      </c>
    </row>
    <row r="365" spans="1:9" ht="11.25" customHeight="1">
      <c r="A365" s="1739" t="s">
        <v>2736</v>
      </c>
      <c r="B365" s="1739" t="s">
        <v>3</v>
      </c>
      <c r="C365" t="s">
        <v>3477</v>
      </c>
      <c r="D365" t="s">
        <v>3478</v>
      </c>
      <c r="E365" t="s">
        <v>3479</v>
      </c>
      <c r="F365" t="s">
        <v>2974</v>
      </c>
      <c r="G365" t="s">
        <v>9</v>
      </c>
      <c r="H365" t="s">
        <v>9</v>
      </c>
      <c r="I365" t="s">
        <v>1194</v>
      </c>
    </row>
    <row r="366" spans="1:9" ht="11.25" customHeight="1">
      <c r="A366" s="1739" t="s">
        <v>2736</v>
      </c>
      <c r="B366" s="1739" t="s">
        <v>3</v>
      </c>
      <c r="C366" t="s">
        <v>3480</v>
      </c>
      <c r="D366" t="s">
        <v>3481</v>
      </c>
      <c r="E366" t="s">
        <v>3482</v>
      </c>
      <c r="F366" t="s">
        <v>38</v>
      </c>
      <c r="G366" t="s">
        <v>9</v>
      </c>
      <c r="H366" t="s">
        <v>9</v>
      </c>
      <c r="I366" t="s">
        <v>1194</v>
      </c>
    </row>
    <row r="367" spans="1:9" ht="11.25" customHeight="1">
      <c r="A367" s="1739" t="s">
        <v>2736</v>
      </c>
      <c r="B367" s="1739" t="s">
        <v>3</v>
      </c>
      <c r="C367" t="s">
        <v>3483</v>
      </c>
      <c r="D367" t="s">
        <v>3484</v>
      </c>
      <c r="E367" t="s">
        <v>3485</v>
      </c>
      <c r="F367" t="s">
        <v>2893</v>
      </c>
      <c r="G367" t="s">
        <v>9</v>
      </c>
      <c r="H367" t="s">
        <v>9</v>
      </c>
      <c r="I367" t="s">
        <v>1194</v>
      </c>
    </row>
    <row r="368" spans="1:9" ht="11.25" customHeight="1">
      <c r="A368" s="1739" t="s">
        <v>2736</v>
      </c>
      <c r="B368" s="1739" t="s">
        <v>3</v>
      </c>
      <c r="C368" t="s">
        <v>3486</v>
      </c>
      <c r="D368" t="s">
        <v>3487</v>
      </c>
      <c r="E368" t="s">
        <v>3488</v>
      </c>
      <c r="F368" t="s">
        <v>2763</v>
      </c>
      <c r="G368" t="s">
        <v>9</v>
      </c>
      <c r="H368" t="s">
        <v>9</v>
      </c>
      <c r="I368" t="s">
        <v>1194</v>
      </c>
    </row>
    <row r="369" spans="1:9" ht="11.25" customHeight="1">
      <c r="A369" s="1739" t="s">
        <v>2736</v>
      </c>
      <c r="B369" s="1739" t="s">
        <v>3</v>
      </c>
      <c r="C369" t="s">
        <v>3196</v>
      </c>
      <c r="D369" t="s">
        <v>3197</v>
      </c>
      <c r="E369" t="s">
        <v>3198</v>
      </c>
      <c r="F369" t="s">
        <v>2763</v>
      </c>
      <c r="G369" t="s">
        <v>9</v>
      </c>
      <c r="H369" t="s">
        <v>9</v>
      </c>
      <c r="I369" t="s">
        <v>1194</v>
      </c>
    </row>
    <row r="370" spans="1:9" ht="11.25" customHeight="1">
      <c r="A370" s="1739" t="s">
        <v>2736</v>
      </c>
      <c r="B370" s="1739" t="s">
        <v>3</v>
      </c>
      <c r="C370" t="s">
        <v>3489</v>
      </c>
      <c r="D370" t="s">
        <v>3490</v>
      </c>
      <c r="E370" t="s">
        <v>3491</v>
      </c>
      <c r="F370" t="s">
        <v>2921</v>
      </c>
      <c r="G370" t="s">
        <v>9</v>
      </c>
      <c r="H370" t="s">
        <v>9</v>
      </c>
      <c r="I370" t="s">
        <v>1194</v>
      </c>
    </row>
    <row r="371" spans="1:9" ht="11.25" customHeight="1">
      <c r="A371" s="1739" t="s">
        <v>2736</v>
      </c>
      <c r="B371" s="1739" t="s">
        <v>3</v>
      </c>
      <c r="C371" t="s">
        <v>3211</v>
      </c>
      <c r="D371" t="s">
        <v>3212</v>
      </c>
      <c r="E371" t="s">
        <v>3213</v>
      </c>
      <c r="F371" t="s">
        <v>2777</v>
      </c>
      <c r="G371" t="s">
        <v>9</v>
      </c>
      <c r="H371" t="s">
        <v>9</v>
      </c>
      <c r="I371" t="s">
        <v>1194</v>
      </c>
    </row>
    <row r="372" spans="1:9" ht="11.25" customHeight="1">
      <c r="A372" s="1739" t="s">
        <v>2736</v>
      </c>
      <c r="B372" s="1739" t="s">
        <v>3</v>
      </c>
      <c r="C372" t="s">
        <v>3214</v>
      </c>
      <c r="D372" t="s">
        <v>3215</v>
      </c>
      <c r="E372" t="s">
        <v>3216</v>
      </c>
      <c r="F372" t="s">
        <v>3217</v>
      </c>
      <c r="G372" t="s">
        <v>9</v>
      </c>
      <c r="H372" t="s">
        <v>9</v>
      </c>
      <c r="I372" t="s">
        <v>1194</v>
      </c>
    </row>
    <row r="373" spans="1:9" ht="11.25" customHeight="1">
      <c r="A373" s="1739" t="s">
        <v>2736</v>
      </c>
      <c r="B373" s="1739" t="s">
        <v>3</v>
      </c>
      <c r="C373" t="s">
        <v>3222</v>
      </c>
      <c r="D373" t="s">
        <v>3223</v>
      </c>
      <c r="E373" t="s">
        <v>3224</v>
      </c>
      <c r="F373" t="s">
        <v>2974</v>
      </c>
      <c r="G373" t="s">
        <v>9</v>
      </c>
      <c r="H373" t="s">
        <v>9</v>
      </c>
      <c r="I373" t="s">
        <v>1194</v>
      </c>
    </row>
    <row r="374" spans="1:9" ht="11.25" customHeight="1">
      <c r="A374" s="1739" t="s">
        <v>2736</v>
      </c>
      <c r="B374" s="1739" t="s">
        <v>3</v>
      </c>
      <c r="C374" t="s">
        <v>3225</v>
      </c>
      <c r="D374" t="s">
        <v>3226</v>
      </c>
      <c r="E374" t="s">
        <v>3227</v>
      </c>
      <c r="F374" t="s">
        <v>2974</v>
      </c>
      <c r="G374" t="s">
        <v>9</v>
      </c>
      <c r="H374" t="s">
        <v>9</v>
      </c>
      <c r="I374" t="s">
        <v>1194</v>
      </c>
    </row>
    <row r="375" spans="1:9" ht="11.25" customHeight="1">
      <c r="A375" s="1739" t="s">
        <v>2736</v>
      </c>
      <c r="B375" s="1739" t="s">
        <v>3</v>
      </c>
      <c r="C375" t="s">
        <v>3228</v>
      </c>
      <c r="D375" t="s">
        <v>3229</v>
      </c>
      <c r="E375" t="s">
        <v>3230</v>
      </c>
      <c r="F375" t="s">
        <v>2763</v>
      </c>
      <c r="G375" t="s">
        <v>9</v>
      </c>
      <c r="H375" t="s">
        <v>9</v>
      </c>
      <c r="I375" t="s">
        <v>1194</v>
      </c>
    </row>
    <row r="376" spans="1:9" ht="11.25" customHeight="1">
      <c r="A376" s="1739" t="s">
        <v>2736</v>
      </c>
      <c r="B376" s="1739" t="s">
        <v>3</v>
      </c>
      <c r="C376" t="s">
        <v>3235</v>
      </c>
      <c r="D376" t="s">
        <v>3236</v>
      </c>
      <c r="E376" t="s">
        <v>3237</v>
      </c>
      <c r="F376" t="s">
        <v>3238</v>
      </c>
      <c r="G376" t="s">
        <v>9</v>
      </c>
      <c r="H376" t="s">
        <v>9</v>
      </c>
      <c r="I376" t="s">
        <v>1194</v>
      </c>
    </row>
    <row r="377" spans="1:9" ht="11.25" customHeight="1">
      <c r="A377" s="1739" t="s">
        <v>2736</v>
      </c>
      <c r="B377" s="1739" t="s">
        <v>3</v>
      </c>
      <c r="C377" t="s">
        <v>3239</v>
      </c>
      <c r="D377" t="s">
        <v>3240</v>
      </c>
      <c r="E377" t="s">
        <v>3241</v>
      </c>
      <c r="F377" t="s">
        <v>3192</v>
      </c>
      <c r="G377" t="s">
        <v>9</v>
      </c>
      <c r="H377" t="s">
        <v>9</v>
      </c>
      <c r="I377" t="s">
        <v>1194</v>
      </c>
    </row>
    <row r="378" spans="1:9" ht="11.25" customHeight="1">
      <c r="A378" s="1739" t="s">
        <v>2736</v>
      </c>
      <c r="B378" s="1739" t="s">
        <v>3</v>
      </c>
      <c r="C378" t="s">
        <v>3245</v>
      </c>
      <c r="D378" t="s">
        <v>3246</v>
      </c>
      <c r="E378" t="s">
        <v>3210</v>
      </c>
      <c r="F378" t="s">
        <v>3247</v>
      </c>
      <c r="G378" t="s">
        <v>9</v>
      </c>
      <c r="H378" t="s">
        <v>9</v>
      </c>
      <c r="I378" t="s">
        <v>1194</v>
      </c>
    </row>
    <row r="379" spans="1:9" ht="11.25" customHeight="1">
      <c r="A379" s="1739" t="s">
        <v>2736</v>
      </c>
      <c r="B379" s="1739" t="s">
        <v>3</v>
      </c>
      <c r="C379" t="s">
        <v>3492</v>
      </c>
      <c r="D379" t="s">
        <v>3493</v>
      </c>
      <c r="E379" t="s">
        <v>3494</v>
      </c>
      <c r="F379" t="s">
        <v>2773</v>
      </c>
      <c r="G379" t="s">
        <v>9</v>
      </c>
      <c r="H379" t="s">
        <v>9</v>
      </c>
      <c r="I379" t="s">
        <v>1247</v>
      </c>
    </row>
    <row r="380" spans="1:9" ht="11.25" customHeight="1">
      <c r="A380" s="1739" t="s">
        <v>2736</v>
      </c>
      <c r="B380" s="1739" t="s">
        <v>3</v>
      </c>
      <c r="C380" t="s">
        <v>2742</v>
      </c>
      <c r="D380" t="s">
        <v>2743</v>
      </c>
      <c r="E380" t="s">
        <v>2744</v>
      </c>
      <c r="F380" t="s">
        <v>2745</v>
      </c>
      <c r="G380" t="s">
        <v>9</v>
      </c>
      <c r="H380" t="s">
        <v>9</v>
      </c>
      <c r="I380" t="s">
        <v>1247</v>
      </c>
    </row>
    <row r="381" spans="1:9" ht="11.25" customHeight="1">
      <c r="A381" s="1739" t="s">
        <v>2736</v>
      </c>
      <c r="B381" s="1739" t="s">
        <v>3</v>
      </c>
      <c r="C381" t="s">
        <v>2746</v>
      </c>
      <c r="D381" t="s">
        <v>2743</v>
      </c>
      <c r="E381" t="s">
        <v>2744</v>
      </c>
      <c r="F381" t="s">
        <v>2747</v>
      </c>
      <c r="G381" t="s">
        <v>9</v>
      </c>
      <c r="H381" t="s">
        <v>9</v>
      </c>
      <c r="I381" t="s">
        <v>1247</v>
      </c>
    </row>
    <row r="382" spans="1:9" ht="11.25" customHeight="1">
      <c r="A382" s="1739" t="s">
        <v>2736</v>
      </c>
      <c r="B382" s="1739" t="s">
        <v>3</v>
      </c>
      <c r="C382" t="s">
        <v>3495</v>
      </c>
      <c r="D382" t="s">
        <v>3496</v>
      </c>
      <c r="E382" t="s">
        <v>3497</v>
      </c>
      <c r="F382" t="s">
        <v>3498</v>
      </c>
      <c r="G382" t="s">
        <v>3499</v>
      </c>
      <c r="H382" t="s">
        <v>9</v>
      </c>
      <c r="I382" t="s">
        <v>1247</v>
      </c>
    </row>
    <row r="383" spans="1:9" ht="11.25" customHeight="1">
      <c r="A383" s="1739" t="s">
        <v>2736</v>
      </c>
      <c r="B383" s="1739" t="s">
        <v>3</v>
      </c>
      <c r="C383" t="s">
        <v>2748</v>
      </c>
      <c r="D383" t="s">
        <v>2749</v>
      </c>
      <c r="E383" t="s">
        <v>2750</v>
      </c>
      <c r="F383" t="s">
        <v>2751</v>
      </c>
      <c r="G383" t="s">
        <v>9</v>
      </c>
      <c r="H383" t="s">
        <v>9</v>
      </c>
      <c r="I383" t="s">
        <v>1247</v>
      </c>
    </row>
    <row r="384" spans="1:9" ht="11.25" customHeight="1">
      <c r="A384" s="1739" t="s">
        <v>2736</v>
      </c>
      <c r="B384" s="1739" t="s">
        <v>3</v>
      </c>
      <c r="C384" t="s">
        <v>2760</v>
      </c>
      <c r="D384" t="s">
        <v>2761</v>
      </c>
      <c r="E384" t="s">
        <v>2762</v>
      </c>
      <c r="F384" t="s">
        <v>2763</v>
      </c>
      <c r="G384" t="s">
        <v>9</v>
      </c>
      <c r="H384" t="s">
        <v>9</v>
      </c>
      <c r="I384" t="s">
        <v>1247</v>
      </c>
    </row>
    <row r="385" spans="1:9" ht="11.25" customHeight="1">
      <c r="A385" s="1739" t="s">
        <v>2736</v>
      </c>
      <c r="B385" s="1739" t="s">
        <v>3</v>
      </c>
      <c r="C385" t="s">
        <v>2770</v>
      </c>
      <c r="D385" t="s">
        <v>2771</v>
      </c>
      <c r="E385" t="s">
        <v>2772</v>
      </c>
      <c r="F385" t="s">
        <v>2773</v>
      </c>
      <c r="G385" t="s">
        <v>9</v>
      </c>
      <c r="H385" t="s">
        <v>9</v>
      </c>
      <c r="I385" t="s">
        <v>1247</v>
      </c>
    </row>
    <row r="386" spans="1:9" ht="11.25" customHeight="1">
      <c r="A386" s="1739" t="s">
        <v>2736</v>
      </c>
      <c r="B386" s="1739" t="s">
        <v>3</v>
      </c>
      <c r="C386" t="s">
        <v>3500</v>
      </c>
      <c r="D386" t="s">
        <v>3501</v>
      </c>
      <c r="E386" t="s">
        <v>3502</v>
      </c>
      <c r="F386" t="s">
        <v>2773</v>
      </c>
      <c r="G386" t="s">
        <v>9</v>
      </c>
      <c r="H386" t="s">
        <v>9</v>
      </c>
      <c r="I386" t="s">
        <v>1247</v>
      </c>
    </row>
    <row r="387" spans="1:9" ht="11.25" customHeight="1">
      <c r="A387" s="1739" t="s">
        <v>2736</v>
      </c>
      <c r="B387" s="1739" t="s">
        <v>3</v>
      </c>
      <c r="C387" t="s">
        <v>2774</v>
      </c>
      <c r="D387" t="s">
        <v>2775</v>
      </c>
      <c r="E387" t="s">
        <v>2776</v>
      </c>
      <c r="F387" t="s">
        <v>2777</v>
      </c>
      <c r="G387" t="s">
        <v>9</v>
      </c>
      <c r="H387" t="s">
        <v>9</v>
      </c>
      <c r="I387" t="s">
        <v>1247</v>
      </c>
    </row>
    <row r="388" spans="1:9" ht="11.25" customHeight="1">
      <c r="A388" s="1739" t="s">
        <v>2736</v>
      </c>
      <c r="B388" s="1739" t="s">
        <v>3</v>
      </c>
      <c r="C388" t="s">
        <v>9</v>
      </c>
      <c r="D388" t="s">
        <v>2843</v>
      </c>
      <c r="E388" t="s">
        <v>2844</v>
      </c>
      <c r="F388" t="s">
        <v>2788</v>
      </c>
      <c r="G388" t="s">
        <v>9</v>
      </c>
      <c r="H388" t="s">
        <v>9</v>
      </c>
      <c r="I388" t="s">
        <v>1247</v>
      </c>
    </row>
    <row r="389" spans="1:9" ht="11.25" customHeight="1">
      <c r="A389" s="1739" t="s">
        <v>2736</v>
      </c>
      <c r="B389" s="1739" t="s">
        <v>3</v>
      </c>
      <c r="C389" t="s">
        <v>3256</v>
      </c>
      <c r="D389" t="s">
        <v>3257</v>
      </c>
      <c r="E389" t="s">
        <v>3258</v>
      </c>
      <c r="F389" t="s">
        <v>2841</v>
      </c>
      <c r="G389" t="s">
        <v>9</v>
      </c>
      <c r="H389" t="s">
        <v>9</v>
      </c>
      <c r="I389" t="s">
        <v>1247</v>
      </c>
    </row>
    <row r="390" spans="1:9" ht="11.25" customHeight="1">
      <c r="A390" s="1739" t="s">
        <v>2736</v>
      </c>
      <c r="B390" s="1739" t="s">
        <v>3</v>
      </c>
      <c r="C390" t="s">
        <v>3259</v>
      </c>
      <c r="D390" t="s">
        <v>3260</v>
      </c>
      <c r="E390" t="s">
        <v>3261</v>
      </c>
      <c r="F390" t="s">
        <v>2974</v>
      </c>
      <c r="G390" t="s">
        <v>3262</v>
      </c>
      <c r="H390" t="s">
        <v>9</v>
      </c>
      <c r="I390" t="s">
        <v>1247</v>
      </c>
    </row>
    <row r="391" spans="1:9" ht="11.25" customHeight="1">
      <c r="A391" s="1739" t="s">
        <v>2736</v>
      </c>
      <c r="B391" s="1739" t="s">
        <v>3</v>
      </c>
      <c r="C391" t="s">
        <v>3263</v>
      </c>
      <c r="D391" t="s">
        <v>3264</v>
      </c>
      <c r="E391" t="s">
        <v>3265</v>
      </c>
      <c r="F391" t="s">
        <v>2921</v>
      </c>
      <c r="G391" t="s">
        <v>9</v>
      </c>
      <c r="H391" t="s">
        <v>9</v>
      </c>
      <c r="I391" t="s">
        <v>1247</v>
      </c>
    </row>
    <row r="392" spans="1:9" ht="11.25" customHeight="1">
      <c r="A392" s="1739" t="s">
        <v>2736</v>
      </c>
      <c r="B392" s="1739" t="s">
        <v>3</v>
      </c>
      <c r="C392" t="s">
        <v>3266</v>
      </c>
      <c r="D392" t="s">
        <v>2854</v>
      </c>
      <c r="E392" t="s">
        <v>3267</v>
      </c>
      <c r="F392" t="s">
        <v>3188</v>
      </c>
      <c r="G392" t="s">
        <v>9</v>
      </c>
      <c r="H392" t="s">
        <v>9</v>
      </c>
      <c r="I392" t="s">
        <v>1247</v>
      </c>
    </row>
    <row r="393" spans="1:9" ht="11.25" customHeight="1">
      <c r="A393" s="1739" t="s">
        <v>2736</v>
      </c>
      <c r="B393" s="1739" t="s">
        <v>3</v>
      </c>
      <c r="C393" t="s">
        <v>2853</v>
      </c>
      <c r="D393" t="s">
        <v>2854</v>
      </c>
      <c r="E393" t="s">
        <v>2855</v>
      </c>
      <c r="F393" t="s">
        <v>2773</v>
      </c>
      <c r="G393" t="s">
        <v>9</v>
      </c>
      <c r="H393" t="s">
        <v>9</v>
      </c>
      <c r="I393" t="s">
        <v>1247</v>
      </c>
    </row>
    <row r="394" spans="1:9" ht="11.25" customHeight="1">
      <c r="A394" s="1739" t="s">
        <v>2736</v>
      </c>
      <c r="B394" s="1739" t="s">
        <v>3</v>
      </c>
      <c r="C394" t="s">
        <v>3268</v>
      </c>
      <c r="D394" t="s">
        <v>2854</v>
      </c>
      <c r="E394" t="s">
        <v>3269</v>
      </c>
      <c r="F394" t="s">
        <v>2773</v>
      </c>
      <c r="G394" t="s">
        <v>9</v>
      </c>
      <c r="H394" t="s">
        <v>9</v>
      </c>
      <c r="I394" t="s">
        <v>1247</v>
      </c>
    </row>
    <row r="395" spans="1:9" ht="11.25" customHeight="1">
      <c r="A395" s="1739" t="s">
        <v>2736</v>
      </c>
      <c r="B395" s="1739" t="s">
        <v>3</v>
      </c>
      <c r="C395" t="s">
        <v>3270</v>
      </c>
      <c r="D395" t="s">
        <v>2854</v>
      </c>
      <c r="E395" t="s">
        <v>3271</v>
      </c>
      <c r="F395" t="s">
        <v>2974</v>
      </c>
      <c r="G395" t="s">
        <v>9</v>
      </c>
      <c r="H395" t="s">
        <v>9</v>
      </c>
      <c r="I395" t="s">
        <v>1247</v>
      </c>
    </row>
    <row r="396" spans="1:9" ht="11.25" customHeight="1">
      <c r="A396" s="1739" t="s">
        <v>2736</v>
      </c>
      <c r="B396" s="1739" t="s">
        <v>3</v>
      </c>
      <c r="C396" t="s">
        <v>3272</v>
      </c>
      <c r="D396" t="s">
        <v>2854</v>
      </c>
      <c r="E396" t="s">
        <v>3273</v>
      </c>
      <c r="F396" t="s">
        <v>2859</v>
      </c>
      <c r="G396" t="s">
        <v>9</v>
      </c>
      <c r="H396" t="s">
        <v>9</v>
      </c>
      <c r="I396" t="s">
        <v>1247</v>
      </c>
    </row>
    <row r="397" spans="1:9" ht="11.25" customHeight="1">
      <c r="A397" s="1739" t="s">
        <v>2736</v>
      </c>
      <c r="B397" s="1739" t="s">
        <v>3</v>
      </c>
      <c r="C397" t="s">
        <v>3274</v>
      </c>
      <c r="D397" t="s">
        <v>3275</v>
      </c>
      <c r="E397" t="s">
        <v>3276</v>
      </c>
      <c r="F397" t="s">
        <v>2859</v>
      </c>
      <c r="G397" t="s">
        <v>9</v>
      </c>
      <c r="H397" t="s">
        <v>9</v>
      </c>
      <c r="I397" t="s">
        <v>1247</v>
      </c>
    </row>
    <row r="398" spans="1:9" ht="11.25" customHeight="1">
      <c r="A398" s="1739" t="s">
        <v>2736</v>
      </c>
      <c r="B398" s="1739" t="s">
        <v>3</v>
      </c>
      <c r="C398" t="s">
        <v>3281</v>
      </c>
      <c r="D398" t="s">
        <v>3282</v>
      </c>
      <c r="E398" t="s">
        <v>3283</v>
      </c>
      <c r="F398" t="s">
        <v>2921</v>
      </c>
      <c r="G398" t="s">
        <v>9</v>
      </c>
      <c r="H398" t="s">
        <v>9</v>
      </c>
      <c r="I398" t="s">
        <v>1247</v>
      </c>
    </row>
    <row r="399" spans="1:9" ht="11.25" customHeight="1">
      <c r="A399" s="1739" t="s">
        <v>2736</v>
      </c>
      <c r="B399" s="1739" t="s">
        <v>3</v>
      </c>
      <c r="C399" t="s">
        <v>3284</v>
      </c>
      <c r="D399" t="s">
        <v>3285</v>
      </c>
      <c r="E399" t="s">
        <v>3286</v>
      </c>
      <c r="F399" t="s">
        <v>2921</v>
      </c>
      <c r="G399" t="s">
        <v>9</v>
      </c>
      <c r="H399" t="s">
        <v>9</v>
      </c>
      <c r="I399" t="s">
        <v>1247</v>
      </c>
    </row>
    <row r="400" spans="1:9" ht="11.25" customHeight="1">
      <c r="A400" s="1739" t="s">
        <v>2736</v>
      </c>
      <c r="B400" s="1739" t="s">
        <v>3</v>
      </c>
      <c r="C400" t="s">
        <v>3287</v>
      </c>
      <c r="D400" t="s">
        <v>3288</v>
      </c>
      <c r="E400" t="s">
        <v>3289</v>
      </c>
      <c r="F400" t="s">
        <v>2773</v>
      </c>
      <c r="G400" t="s">
        <v>9</v>
      </c>
      <c r="H400" t="s">
        <v>9</v>
      </c>
      <c r="I400" t="s">
        <v>1247</v>
      </c>
    </row>
    <row r="401" spans="1:9" ht="11.25" customHeight="1">
      <c r="A401" s="1739" t="s">
        <v>2736</v>
      </c>
      <c r="B401" s="1739" t="s">
        <v>3</v>
      </c>
      <c r="C401" t="s">
        <v>3290</v>
      </c>
      <c r="D401" t="s">
        <v>3291</v>
      </c>
      <c r="E401" t="s">
        <v>3292</v>
      </c>
      <c r="F401" t="s">
        <v>2921</v>
      </c>
      <c r="G401" t="s">
        <v>9</v>
      </c>
      <c r="H401" t="s">
        <v>9</v>
      </c>
      <c r="I401" t="s">
        <v>1247</v>
      </c>
    </row>
    <row r="402" spans="1:9" ht="11.25" customHeight="1">
      <c r="A402" s="1739" t="s">
        <v>2736</v>
      </c>
      <c r="B402" s="1739" t="s">
        <v>3</v>
      </c>
      <c r="C402" t="s">
        <v>3293</v>
      </c>
      <c r="D402" t="s">
        <v>2857</v>
      </c>
      <c r="E402" t="s">
        <v>3294</v>
      </c>
      <c r="F402" t="s">
        <v>2921</v>
      </c>
      <c r="G402" t="s">
        <v>9</v>
      </c>
      <c r="H402" t="s">
        <v>9</v>
      </c>
      <c r="I402" t="s">
        <v>1247</v>
      </c>
    </row>
    <row r="403" spans="1:9" ht="11.25" customHeight="1">
      <c r="A403" s="1739" t="s">
        <v>2736</v>
      </c>
      <c r="B403" s="1739" t="s">
        <v>3</v>
      </c>
      <c r="C403" t="s">
        <v>3295</v>
      </c>
      <c r="D403" t="s">
        <v>2857</v>
      </c>
      <c r="E403" t="s">
        <v>3296</v>
      </c>
      <c r="F403" t="s">
        <v>2974</v>
      </c>
      <c r="G403" t="s">
        <v>9</v>
      </c>
      <c r="H403" t="s">
        <v>9</v>
      </c>
      <c r="I403" t="s">
        <v>1247</v>
      </c>
    </row>
    <row r="404" spans="1:9" ht="11.25" customHeight="1">
      <c r="A404" s="1739" t="s">
        <v>2736</v>
      </c>
      <c r="B404" s="1739" t="s">
        <v>3</v>
      </c>
      <c r="C404" t="s">
        <v>2856</v>
      </c>
      <c r="D404" t="s">
        <v>2857</v>
      </c>
      <c r="E404" t="s">
        <v>2858</v>
      </c>
      <c r="F404" t="s">
        <v>2859</v>
      </c>
      <c r="G404" t="s">
        <v>9</v>
      </c>
      <c r="H404" t="s">
        <v>9</v>
      </c>
      <c r="I404" t="s">
        <v>1247</v>
      </c>
    </row>
    <row r="405" spans="1:9" ht="11.25" customHeight="1">
      <c r="A405" s="1739" t="s">
        <v>2736</v>
      </c>
      <c r="B405" s="1739" t="s">
        <v>3</v>
      </c>
      <c r="C405" t="s">
        <v>3297</v>
      </c>
      <c r="D405" t="s">
        <v>3298</v>
      </c>
      <c r="E405" t="s">
        <v>3299</v>
      </c>
      <c r="F405" t="s">
        <v>2763</v>
      </c>
      <c r="G405" t="s">
        <v>3300</v>
      </c>
      <c r="H405" t="s">
        <v>9</v>
      </c>
      <c r="I405" t="s">
        <v>1247</v>
      </c>
    </row>
    <row r="406" spans="1:9" ht="11.25" customHeight="1">
      <c r="A406" s="1739" t="s">
        <v>2736</v>
      </c>
      <c r="B406" s="1739" t="s">
        <v>3</v>
      </c>
      <c r="C406" t="s">
        <v>3301</v>
      </c>
      <c r="D406" t="s">
        <v>3302</v>
      </c>
      <c r="E406" t="s">
        <v>3303</v>
      </c>
      <c r="F406" t="s">
        <v>2841</v>
      </c>
      <c r="G406" t="s">
        <v>9</v>
      </c>
      <c r="H406" t="s">
        <v>9</v>
      </c>
      <c r="I406" t="s">
        <v>1247</v>
      </c>
    </row>
    <row r="407" spans="1:9" ht="11.25" customHeight="1">
      <c r="A407" s="1739" t="s">
        <v>2736</v>
      </c>
      <c r="B407" s="1739" t="s">
        <v>3</v>
      </c>
      <c r="C407" t="s">
        <v>3304</v>
      </c>
      <c r="D407" t="s">
        <v>3305</v>
      </c>
      <c r="E407" t="s">
        <v>3306</v>
      </c>
      <c r="F407" t="s">
        <v>2921</v>
      </c>
      <c r="G407" t="s">
        <v>9</v>
      </c>
      <c r="H407" t="s">
        <v>9</v>
      </c>
      <c r="I407" t="s">
        <v>1247</v>
      </c>
    </row>
    <row r="408" spans="1:9" ht="11.25" customHeight="1">
      <c r="A408" s="1739" t="s">
        <v>2736</v>
      </c>
      <c r="B408" s="1739" t="s">
        <v>3</v>
      </c>
      <c r="C408" t="s">
        <v>3307</v>
      </c>
      <c r="D408" t="s">
        <v>3308</v>
      </c>
      <c r="E408" t="s">
        <v>3309</v>
      </c>
      <c r="F408" t="s">
        <v>2763</v>
      </c>
      <c r="G408" t="s">
        <v>9</v>
      </c>
      <c r="H408" t="s">
        <v>9</v>
      </c>
      <c r="I408" t="s">
        <v>1247</v>
      </c>
    </row>
    <row r="409" spans="1:9" ht="11.25" customHeight="1">
      <c r="A409" s="1739" t="s">
        <v>2736</v>
      </c>
      <c r="B409" s="1739" t="s">
        <v>3</v>
      </c>
      <c r="C409" t="s">
        <v>3310</v>
      </c>
      <c r="D409" t="s">
        <v>3311</v>
      </c>
      <c r="E409" t="s">
        <v>3312</v>
      </c>
      <c r="F409" t="s">
        <v>3313</v>
      </c>
      <c r="G409" t="s">
        <v>9</v>
      </c>
      <c r="H409" t="s">
        <v>3314</v>
      </c>
      <c r="I409" t="s">
        <v>1247</v>
      </c>
    </row>
    <row r="410" spans="1:9" ht="11.25" customHeight="1">
      <c r="A410" s="1739" t="s">
        <v>2736</v>
      </c>
      <c r="B410" s="1739" t="s">
        <v>3</v>
      </c>
      <c r="C410" t="s">
        <v>3315</v>
      </c>
      <c r="D410" t="s">
        <v>3316</v>
      </c>
      <c r="E410" t="s">
        <v>3317</v>
      </c>
      <c r="F410" t="s">
        <v>3318</v>
      </c>
      <c r="G410" t="s">
        <v>9</v>
      </c>
      <c r="H410" t="s">
        <v>9</v>
      </c>
      <c r="I410" t="s">
        <v>1247</v>
      </c>
    </row>
    <row r="411" spans="1:9" ht="11.25" customHeight="1">
      <c r="A411" s="1739" t="s">
        <v>2736</v>
      </c>
      <c r="B411" s="1739" t="s">
        <v>3</v>
      </c>
      <c r="C411" t="s">
        <v>2860</v>
      </c>
      <c r="D411" t="s">
        <v>2861</v>
      </c>
      <c r="E411" t="s">
        <v>2862</v>
      </c>
      <c r="F411" t="s">
        <v>2863</v>
      </c>
      <c r="G411" t="s">
        <v>9</v>
      </c>
      <c r="H411" t="s">
        <v>9</v>
      </c>
      <c r="I411" t="s">
        <v>1247</v>
      </c>
    </row>
    <row r="412" spans="1:9" ht="11.25" customHeight="1">
      <c r="A412" s="1739" t="s">
        <v>2736</v>
      </c>
      <c r="B412" s="1739" t="s">
        <v>3</v>
      </c>
      <c r="C412" t="s">
        <v>3319</v>
      </c>
      <c r="D412" t="s">
        <v>3320</v>
      </c>
      <c r="E412" t="s">
        <v>3321</v>
      </c>
      <c r="F412" t="s">
        <v>2974</v>
      </c>
      <c r="G412" t="s">
        <v>3322</v>
      </c>
      <c r="H412" t="s">
        <v>9</v>
      </c>
      <c r="I412" t="s">
        <v>1247</v>
      </c>
    </row>
    <row r="413" spans="1:9" ht="11.25" customHeight="1">
      <c r="A413" s="1739" t="s">
        <v>2736</v>
      </c>
      <c r="B413" s="1739" t="s">
        <v>3</v>
      </c>
      <c r="C413" t="s">
        <v>2864</v>
      </c>
      <c r="D413" t="s">
        <v>2865</v>
      </c>
      <c r="E413" t="s">
        <v>2866</v>
      </c>
      <c r="F413" t="s">
        <v>2867</v>
      </c>
      <c r="G413" t="s">
        <v>9</v>
      </c>
      <c r="H413" t="s">
        <v>9</v>
      </c>
      <c r="I413" t="s">
        <v>1247</v>
      </c>
    </row>
    <row r="414" spans="1:9" ht="11.25" customHeight="1">
      <c r="A414" s="1739" t="s">
        <v>2736</v>
      </c>
      <c r="B414" s="1739" t="s">
        <v>3</v>
      </c>
      <c r="C414" t="s">
        <v>2871</v>
      </c>
      <c r="D414" t="s">
        <v>2872</v>
      </c>
      <c r="E414" t="s">
        <v>2873</v>
      </c>
      <c r="F414" t="s">
        <v>2763</v>
      </c>
      <c r="G414" t="s">
        <v>9</v>
      </c>
      <c r="H414" t="s">
        <v>9</v>
      </c>
      <c r="I414" t="s">
        <v>1247</v>
      </c>
    </row>
    <row r="415" spans="1:9" ht="11.25" customHeight="1">
      <c r="A415" s="1739" t="s">
        <v>2736</v>
      </c>
      <c r="B415" s="1739" t="s">
        <v>3</v>
      </c>
      <c r="C415" t="s">
        <v>2874</v>
      </c>
      <c r="D415" t="s">
        <v>2875</v>
      </c>
      <c r="E415" t="s">
        <v>2876</v>
      </c>
      <c r="F415" t="s">
        <v>2763</v>
      </c>
      <c r="G415" t="s">
        <v>2877</v>
      </c>
      <c r="H415" t="s">
        <v>9</v>
      </c>
      <c r="I415" t="s">
        <v>1247</v>
      </c>
    </row>
    <row r="416" spans="1:9" ht="11.25" customHeight="1">
      <c r="A416" s="1739" t="s">
        <v>2736</v>
      </c>
      <c r="B416" s="1739" t="s">
        <v>3</v>
      </c>
      <c r="C416" t="s">
        <v>2884</v>
      </c>
      <c r="D416" t="s">
        <v>2885</v>
      </c>
      <c r="E416" t="s">
        <v>2886</v>
      </c>
      <c r="F416" t="s">
        <v>2852</v>
      </c>
      <c r="G416" t="s">
        <v>9</v>
      </c>
      <c r="H416" t="s">
        <v>2887</v>
      </c>
      <c r="I416" t="s">
        <v>1247</v>
      </c>
    </row>
    <row r="417" spans="1:9" ht="11.25" customHeight="1">
      <c r="A417" s="1739" t="s">
        <v>2736</v>
      </c>
      <c r="B417" s="1739" t="s">
        <v>3</v>
      </c>
      <c r="C417" t="s">
        <v>2891</v>
      </c>
      <c r="D417" t="s">
        <v>2885</v>
      </c>
      <c r="E417" t="s">
        <v>2892</v>
      </c>
      <c r="F417" t="s">
        <v>2893</v>
      </c>
      <c r="G417" t="s">
        <v>9</v>
      </c>
      <c r="H417" t="s">
        <v>9</v>
      </c>
      <c r="I417" t="s">
        <v>1247</v>
      </c>
    </row>
    <row r="418" spans="1:9" ht="11.25" customHeight="1">
      <c r="A418" s="1739" t="s">
        <v>2736</v>
      </c>
      <c r="B418" s="1739" t="s">
        <v>3</v>
      </c>
      <c r="C418" t="s">
        <v>2894</v>
      </c>
      <c r="D418" t="s">
        <v>2885</v>
      </c>
      <c r="E418" t="s">
        <v>2895</v>
      </c>
      <c r="F418" t="s">
        <v>2896</v>
      </c>
      <c r="G418" t="s">
        <v>9</v>
      </c>
      <c r="H418" t="s">
        <v>9</v>
      </c>
      <c r="I418" t="s">
        <v>1247</v>
      </c>
    </row>
    <row r="419" spans="1:9" ht="11.25" customHeight="1">
      <c r="A419" s="1739" t="s">
        <v>2736</v>
      </c>
      <c r="B419" s="1739" t="s">
        <v>3</v>
      </c>
      <c r="C419" t="s">
        <v>2897</v>
      </c>
      <c r="D419" t="s">
        <v>2885</v>
      </c>
      <c r="E419" t="s">
        <v>2898</v>
      </c>
      <c r="F419" t="s">
        <v>2867</v>
      </c>
      <c r="G419" t="s">
        <v>9</v>
      </c>
      <c r="H419" t="s">
        <v>9</v>
      </c>
      <c r="I419" t="s">
        <v>1247</v>
      </c>
    </row>
    <row r="420" spans="1:9" ht="11.25" customHeight="1">
      <c r="A420" s="1739" t="s">
        <v>2736</v>
      </c>
      <c r="B420" s="1739" t="s">
        <v>3</v>
      </c>
      <c r="C420" t="s">
        <v>2899</v>
      </c>
      <c r="D420" t="s">
        <v>2900</v>
      </c>
      <c r="E420" t="s">
        <v>2901</v>
      </c>
      <c r="F420" t="s">
        <v>2797</v>
      </c>
      <c r="G420" t="s">
        <v>9</v>
      </c>
      <c r="H420" t="s">
        <v>9</v>
      </c>
      <c r="I420" t="s">
        <v>1247</v>
      </c>
    </row>
    <row r="421" spans="1:9" ht="11.25" customHeight="1">
      <c r="A421" s="1739" t="s">
        <v>2736</v>
      </c>
      <c r="B421" s="1739" t="s">
        <v>3</v>
      </c>
      <c r="C421" t="s">
        <v>2902</v>
      </c>
      <c r="D421" t="s">
        <v>2903</v>
      </c>
      <c r="E421" t="s">
        <v>2904</v>
      </c>
      <c r="F421" t="s">
        <v>2763</v>
      </c>
      <c r="G421" t="s">
        <v>9</v>
      </c>
      <c r="H421" t="s">
        <v>9</v>
      </c>
      <c r="I421" t="s">
        <v>1247</v>
      </c>
    </row>
    <row r="422" spans="1:9" ht="11.25" customHeight="1">
      <c r="A422" s="1739" t="s">
        <v>2736</v>
      </c>
      <c r="B422" s="1739" t="s">
        <v>3</v>
      </c>
      <c r="C422" t="s">
        <v>2905</v>
      </c>
      <c r="D422" t="s">
        <v>2906</v>
      </c>
      <c r="E422" t="s">
        <v>2907</v>
      </c>
      <c r="F422" t="s">
        <v>2773</v>
      </c>
      <c r="G422" t="s">
        <v>9</v>
      </c>
      <c r="H422" t="s">
        <v>9</v>
      </c>
      <c r="I422" t="s">
        <v>1247</v>
      </c>
    </row>
    <row r="423" spans="1:9" ht="11.25" customHeight="1">
      <c r="A423" s="1739" t="s">
        <v>2736</v>
      </c>
      <c r="B423" s="1739" t="s">
        <v>3</v>
      </c>
      <c r="C423" t="s">
        <v>3340</v>
      </c>
      <c r="D423" t="s">
        <v>3341</v>
      </c>
      <c r="E423" t="s">
        <v>3342</v>
      </c>
      <c r="F423" t="s">
        <v>2859</v>
      </c>
      <c r="G423" t="s">
        <v>3343</v>
      </c>
      <c r="H423" t="s">
        <v>3335</v>
      </c>
      <c r="I423" t="s">
        <v>1247</v>
      </c>
    </row>
    <row r="424" spans="1:9" ht="11.25" customHeight="1">
      <c r="A424" s="1739" t="s">
        <v>2736</v>
      </c>
      <c r="B424" s="1739" t="s">
        <v>3</v>
      </c>
      <c r="C424" t="s">
        <v>3344</v>
      </c>
      <c r="D424" t="s">
        <v>3345</v>
      </c>
      <c r="E424" t="s">
        <v>3346</v>
      </c>
      <c r="F424" t="s">
        <v>2773</v>
      </c>
      <c r="G424" t="s">
        <v>9</v>
      </c>
      <c r="H424" t="s">
        <v>9</v>
      </c>
      <c r="I424" t="s">
        <v>1247</v>
      </c>
    </row>
    <row r="425" spans="1:9" ht="11.25" customHeight="1">
      <c r="A425" s="1739" t="s">
        <v>2736</v>
      </c>
      <c r="B425" s="1739" t="s">
        <v>3</v>
      </c>
      <c r="C425" t="s">
        <v>3347</v>
      </c>
      <c r="D425" t="s">
        <v>3348</v>
      </c>
      <c r="E425" t="s">
        <v>3349</v>
      </c>
      <c r="F425" t="s">
        <v>2773</v>
      </c>
      <c r="G425" t="s">
        <v>9</v>
      </c>
      <c r="H425" t="s">
        <v>3339</v>
      </c>
      <c r="I425" t="s">
        <v>1247</v>
      </c>
    </row>
    <row r="426" spans="1:9" ht="11.25" customHeight="1">
      <c r="A426" s="1739" t="s">
        <v>2736</v>
      </c>
      <c r="B426" s="1739" t="s">
        <v>3</v>
      </c>
      <c r="C426" t="s">
        <v>2908</v>
      </c>
      <c r="D426" t="s">
        <v>2909</v>
      </c>
      <c r="E426" t="s">
        <v>2910</v>
      </c>
      <c r="F426" t="s">
        <v>2763</v>
      </c>
      <c r="G426" t="s">
        <v>2911</v>
      </c>
      <c r="H426" t="s">
        <v>9</v>
      </c>
      <c r="I426" t="s">
        <v>1247</v>
      </c>
    </row>
    <row r="427" spans="1:9" ht="11.25" customHeight="1">
      <c r="A427" s="1739" t="s">
        <v>2736</v>
      </c>
      <c r="B427" s="1739" t="s">
        <v>3</v>
      </c>
      <c r="C427" t="s">
        <v>3353</v>
      </c>
      <c r="D427" t="s">
        <v>3354</v>
      </c>
      <c r="E427" t="s">
        <v>3355</v>
      </c>
      <c r="F427" t="s">
        <v>2841</v>
      </c>
      <c r="G427" t="s">
        <v>3356</v>
      </c>
      <c r="H427" t="s">
        <v>9</v>
      </c>
      <c r="I427" t="s">
        <v>1247</v>
      </c>
    </row>
    <row r="428" spans="1:9" ht="11.25" customHeight="1">
      <c r="A428" s="1739" t="s">
        <v>2736</v>
      </c>
      <c r="B428" s="1739" t="s">
        <v>3</v>
      </c>
      <c r="C428" t="s">
        <v>3357</v>
      </c>
      <c r="D428" t="s">
        <v>3358</v>
      </c>
      <c r="E428" t="s">
        <v>3359</v>
      </c>
      <c r="F428" t="s">
        <v>2837</v>
      </c>
      <c r="G428" t="s">
        <v>9</v>
      </c>
      <c r="H428" t="s">
        <v>9</v>
      </c>
      <c r="I428" t="s">
        <v>1247</v>
      </c>
    </row>
    <row r="429" spans="1:9" ht="11.25" customHeight="1">
      <c r="A429" s="1739" t="s">
        <v>2736</v>
      </c>
      <c r="B429" s="1739" t="s">
        <v>3</v>
      </c>
      <c r="C429" t="s">
        <v>2912</v>
      </c>
      <c r="D429" t="s">
        <v>2913</v>
      </c>
      <c r="E429" t="s">
        <v>2914</v>
      </c>
      <c r="F429" t="s">
        <v>2848</v>
      </c>
      <c r="G429" t="s">
        <v>9</v>
      </c>
      <c r="H429" t="s">
        <v>9</v>
      </c>
      <c r="I429" t="s">
        <v>1247</v>
      </c>
    </row>
    <row r="430" spans="1:9" ht="11.25" customHeight="1">
      <c r="A430" s="1739" t="s">
        <v>2736</v>
      </c>
      <c r="B430" s="1739" t="s">
        <v>3</v>
      </c>
      <c r="C430" t="s">
        <v>3360</v>
      </c>
      <c r="D430" t="s">
        <v>3361</v>
      </c>
      <c r="E430" t="s">
        <v>3362</v>
      </c>
      <c r="F430" t="s">
        <v>2763</v>
      </c>
      <c r="G430" t="s">
        <v>9</v>
      </c>
      <c r="H430" t="s">
        <v>9</v>
      </c>
      <c r="I430" t="s">
        <v>1247</v>
      </c>
    </row>
    <row r="431" spans="1:9" ht="11.25" customHeight="1">
      <c r="A431" s="1739" t="s">
        <v>2736</v>
      </c>
      <c r="B431" s="1739" t="s">
        <v>3</v>
      </c>
      <c r="C431" t="s">
        <v>3366</v>
      </c>
      <c r="D431" t="s">
        <v>3367</v>
      </c>
      <c r="E431" t="s">
        <v>3368</v>
      </c>
      <c r="F431" t="s">
        <v>2859</v>
      </c>
      <c r="G431" t="s">
        <v>9</v>
      </c>
      <c r="H431" t="s">
        <v>9</v>
      </c>
      <c r="I431" t="s">
        <v>1247</v>
      </c>
    </row>
    <row r="432" spans="1:9" ht="11.25" customHeight="1">
      <c r="A432" s="1739" t="s">
        <v>2736</v>
      </c>
      <c r="B432" s="1739" t="s">
        <v>3</v>
      </c>
      <c r="C432" t="s">
        <v>2918</v>
      </c>
      <c r="D432" t="s">
        <v>2919</v>
      </c>
      <c r="E432" t="s">
        <v>2920</v>
      </c>
      <c r="F432" t="s">
        <v>2921</v>
      </c>
      <c r="G432" t="s">
        <v>9</v>
      </c>
      <c r="H432" t="s">
        <v>9</v>
      </c>
      <c r="I432" t="s">
        <v>1247</v>
      </c>
    </row>
    <row r="433" spans="1:9" ht="11.25" customHeight="1">
      <c r="A433" s="1739" t="s">
        <v>2736</v>
      </c>
      <c r="B433" s="1739" t="s">
        <v>3</v>
      </c>
      <c r="C433" t="s">
        <v>2922</v>
      </c>
      <c r="D433" t="s">
        <v>2923</v>
      </c>
      <c r="E433" t="s">
        <v>2924</v>
      </c>
      <c r="F433" t="s">
        <v>2859</v>
      </c>
      <c r="G433" t="s">
        <v>2925</v>
      </c>
      <c r="H433" t="s">
        <v>9</v>
      </c>
      <c r="I433" t="s">
        <v>1247</v>
      </c>
    </row>
    <row r="434" spans="1:9" ht="11.25" customHeight="1">
      <c r="A434" s="1739" t="s">
        <v>2736</v>
      </c>
      <c r="B434" s="1739" t="s">
        <v>3</v>
      </c>
      <c r="C434" t="s">
        <v>2926</v>
      </c>
      <c r="D434" t="s">
        <v>2927</v>
      </c>
      <c r="E434" t="s">
        <v>2928</v>
      </c>
      <c r="F434" t="s">
        <v>2763</v>
      </c>
      <c r="G434" t="s">
        <v>9</v>
      </c>
      <c r="H434" t="s">
        <v>9</v>
      </c>
      <c r="I434" t="s">
        <v>1247</v>
      </c>
    </row>
    <row r="435" spans="1:9" ht="11.25" customHeight="1">
      <c r="A435" s="1739" t="s">
        <v>2736</v>
      </c>
      <c r="B435" s="1739" t="s">
        <v>3</v>
      </c>
      <c r="C435" t="s">
        <v>3369</v>
      </c>
      <c r="D435" t="s">
        <v>3370</v>
      </c>
      <c r="E435" t="s">
        <v>3371</v>
      </c>
      <c r="F435" t="s">
        <v>2841</v>
      </c>
      <c r="G435" t="s">
        <v>3372</v>
      </c>
      <c r="H435" t="s">
        <v>9</v>
      </c>
      <c r="I435" t="s">
        <v>1247</v>
      </c>
    </row>
    <row r="436" spans="1:9" ht="11.25" customHeight="1">
      <c r="A436" s="1739" t="s">
        <v>2736</v>
      </c>
      <c r="B436" s="1739" t="s">
        <v>3</v>
      </c>
      <c r="C436" t="s">
        <v>3373</v>
      </c>
      <c r="D436" t="s">
        <v>3374</v>
      </c>
      <c r="E436" t="s">
        <v>3375</v>
      </c>
      <c r="F436" t="s">
        <v>2921</v>
      </c>
      <c r="G436" t="s">
        <v>9</v>
      </c>
      <c r="H436" t="s">
        <v>9</v>
      </c>
      <c r="I436" t="s">
        <v>1247</v>
      </c>
    </row>
    <row r="437" spans="1:9" ht="11.25" customHeight="1">
      <c r="A437" s="1739" t="s">
        <v>2736</v>
      </c>
      <c r="B437" s="1739" t="s">
        <v>3</v>
      </c>
      <c r="C437" t="s">
        <v>2934</v>
      </c>
      <c r="D437" t="s">
        <v>2935</v>
      </c>
      <c r="E437" t="s">
        <v>2936</v>
      </c>
      <c r="F437" t="s">
        <v>2937</v>
      </c>
      <c r="G437" t="s">
        <v>9</v>
      </c>
      <c r="H437" t="s">
        <v>9</v>
      </c>
      <c r="I437" t="s">
        <v>1247</v>
      </c>
    </row>
    <row r="438" spans="1:9" ht="11.25" customHeight="1">
      <c r="A438" s="1739" t="s">
        <v>2736</v>
      </c>
      <c r="B438" s="1739" t="s">
        <v>3</v>
      </c>
      <c r="C438" t="s">
        <v>2938</v>
      </c>
      <c r="D438" t="s">
        <v>2939</v>
      </c>
      <c r="E438" t="s">
        <v>2940</v>
      </c>
      <c r="F438" t="s">
        <v>2852</v>
      </c>
      <c r="G438" t="s">
        <v>9</v>
      </c>
      <c r="H438" t="s">
        <v>9</v>
      </c>
      <c r="I438" t="s">
        <v>1247</v>
      </c>
    </row>
    <row r="439" spans="1:9" ht="11.25" customHeight="1">
      <c r="A439" s="1739" t="s">
        <v>2736</v>
      </c>
      <c r="B439" s="1739" t="s">
        <v>3</v>
      </c>
      <c r="C439" t="s">
        <v>2941</v>
      </c>
      <c r="D439" t="s">
        <v>2942</v>
      </c>
      <c r="E439" t="s">
        <v>2943</v>
      </c>
      <c r="F439" t="s">
        <v>2837</v>
      </c>
      <c r="G439" t="s">
        <v>9</v>
      </c>
      <c r="H439" t="s">
        <v>2944</v>
      </c>
      <c r="I439" t="s">
        <v>1247</v>
      </c>
    </row>
    <row r="440" spans="1:9" ht="11.25" customHeight="1">
      <c r="A440" s="1739" t="s">
        <v>2736</v>
      </c>
      <c r="B440" s="1739" t="s">
        <v>3</v>
      </c>
      <c r="C440" t="s">
        <v>2945</v>
      </c>
      <c r="D440" t="s">
        <v>2946</v>
      </c>
      <c r="E440" t="s">
        <v>2947</v>
      </c>
      <c r="F440" t="s">
        <v>2763</v>
      </c>
      <c r="G440" t="s">
        <v>9</v>
      </c>
      <c r="H440" t="s">
        <v>9</v>
      </c>
      <c r="I440" t="s">
        <v>1247</v>
      </c>
    </row>
    <row r="441" spans="1:9" ht="11.25" customHeight="1">
      <c r="A441" s="1739" t="s">
        <v>2736</v>
      </c>
      <c r="B441" s="1739" t="s">
        <v>3</v>
      </c>
      <c r="C441" t="s">
        <v>2948</v>
      </c>
      <c r="D441" t="s">
        <v>2949</v>
      </c>
      <c r="E441" t="s">
        <v>2950</v>
      </c>
      <c r="F441" t="s">
        <v>2848</v>
      </c>
      <c r="G441" t="s">
        <v>9</v>
      </c>
      <c r="H441" t="s">
        <v>9</v>
      </c>
      <c r="I441" t="s">
        <v>1247</v>
      </c>
    </row>
    <row r="442" spans="1:9" ht="11.25" customHeight="1">
      <c r="A442" s="1739" t="s">
        <v>2736</v>
      </c>
      <c r="B442" s="1739" t="s">
        <v>3</v>
      </c>
      <c r="C442" t="s">
        <v>2951</v>
      </c>
      <c r="D442" t="s">
        <v>2952</v>
      </c>
      <c r="E442" t="s">
        <v>2953</v>
      </c>
      <c r="F442" t="s">
        <v>2848</v>
      </c>
      <c r="G442" t="s">
        <v>9</v>
      </c>
      <c r="H442" t="s">
        <v>9</v>
      </c>
      <c r="I442" t="s">
        <v>1247</v>
      </c>
    </row>
    <row r="443" spans="1:9" ht="11.25" customHeight="1">
      <c r="A443" s="1739" t="s">
        <v>2736</v>
      </c>
      <c r="B443" s="1739" t="s">
        <v>3</v>
      </c>
      <c r="C443" t="s">
        <v>2954</v>
      </c>
      <c r="D443" t="s">
        <v>2955</v>
      </c>
      <c r="E443" t="s">
        <v>2956</v>
      </c>
      <c r="F443" t="s">
        <v>2848</v>
      </c>
      <c r="G443" t="s">
        <v>9</v>
      </c>
      <c r="H443" t="s">
        <v>9</v>
      </c>
      <c r="I443" t="s">
        <v>1247</v>
      </c>
    </row>
    <row r="444" spans="1:9" ht="11.25" customHeight="1">
      <c r="A444" s="1739" t="s">
        <v>2736</v>
      </c>
      <c r="B444" s="1739" t="s">
        <v>3</v>
      </c>
      <c r="C444" t="s">
        <v>2960</v>
      </c>
      <c r="D444" t="s">
        <v>2961</v>
      </c>
      <c r="E444" t="s">
        <v>2962</v>
      </c>
      <c r="F444" t="s">
        <v>2863</v>
      </c>
      <c r="G444" t="s">
        <v>2963</v>
      </c>
      <c r="H444" t="s">
        <v>9</v>
      </c>
      <c r="I444" t="s">
        <v>1247</v>
      </c>
    </row>
    <row r="445" spans="1:9" ht="11.25" customHeight="1">
      <c r="A445" s="1739" t="s">
        <v>2736</v>
      </c>
      <c r="B445" s="1739" t="s">
        <v>3</v>
      </c>
      <c r="C445" t="s">
        <v>2964</v>
      </c>
      <c r="D445" t="s">
        <v>2965</v>
      </c>
      <c r="E445" t="s">
        <v>2966</v>
      </c>
      <c r="F445" t="s">
        <v>2763</v>
      </c>
      <c r="G445" t="s">
        <v>9</v>
      </c>
      <c r="H445" t="s">
        <v>9</v>
      </c>
      <c r="I445" t="s">
        <v>1247</v>
      </c>
    </row>
    <row r="446" spans="1:9" ht="11.25" customHeight="1">
      <c r="A446" s="1739" t="s">
        <v>2736</v>
      </c>
      <c r="B446" s="1739" t="s">
        <v>3</v>
      </c>
      <c r="C446" t="s">
        <v>2967</v>
      </c>
      <c r="D446" t="s">
        <v>2968</v>
      </c>
      <c r="E446" t="s">
        <v>2969</v>
      </c>
      <c r="F446" t="s">
        <v>2970</v>
      </c>
      <c r="G446" t="s">
        <v>9</v>
      </c>
      <c r="H446" t="s">
        <v>9</v>
      </c>
      <c r="I446" t="s">
        <v>1247</v>
      </c>
    </row>
    <row r="447" spans="1:9" ht="11.25" customHeight="1">
      <c r="A447" s="1739" t="s">
        <v>2736</v>
      </c>
      <c r="B447" s="1739" t="s">
        <v>3</v>
      </c>
      <c r="C447" t="s">
        <v>2971</v>
      </c>
      <c r="D447" t="s">
        <v>2972</v>
      </c>
      <c r="E447" t="s">
        <v>2973</v>
      </c>
      <c r="F447" t="s">
        <v>2974</v>
      </c>
      <c r="G447" t="s">
        <v>9</v>
      </c>
      <c r="H447" t="s">
        <v>9</v>
      </c>
      <c r="I447" t="s">
        <v>1247</v>
      </c>
    </row>
    <row r="448" spans="1:9" ht="11.25" customHeight="1">
      <c r="A448" s="1739" t="s">
        <v>2736</v>
      </c>
      <c r="B448" s="1739" t="s">
        <v>3</v>
      </c>
      <c r="C448" t="s">
        <v>3387</v>
      </c>
      <c r="D448" t="s">
        <v>3388</v>
      </c>
      <c r="E448" t="s">
        <v>3389</v>
      </c>
      <c r="F448" t="s">
        <v>2921</v>
      </c>
      <c r="G448" t="s">
        <v>9</v>
      </c>
      <c r="H448" t="s">
        <v>9</v>
      </c>
      <c r="I448" t="s">
        <v>1247</v>
      </c>
    </row>
    <row r="449" spans="1:9" ht="11.25" customHeight="1">
      <c r="A449" s="1739" t="s">
        <v>2736</v>
      </c>
      <c r="B449" s="1739" t="s">
        <v>3</v>
      </c>
      <c r="C449" t="s">
        <v>2984</v>
      </c>
      <c r="D449" t="s">
        <v>2985</v>
      </c>
      <c r="E449" t="s">
        <v>2986</v>
      </c>
      <c r="F449" t="s">
        <v>2974</v>
      </c>
      <c r="G449" t="s">
        <v>9</v>
      </c>
      <c r="H449" t="s">
        <v>9</v>
      </c>
      <c r="I449" t="s">
        <v>1247</v>
      </c>
    </row>
    <row r="450" spans="1:9" ht="11.25" customHeight="1">
      <c r="A450" s="1739" t="s">
        <v>2736</v>
      </c>
      <c r="B450" s="1739" t="s">
        <v>3</v>
      </c>
      <c r="C450" t="s">
        <v>3397</v>
      </c>
      <c r="D450" t="s">
        <v>3398</v>
      </c>
      <c r="E450" t="s">
        <v>3399</v>
      </c>
      <c r="F450" t="s">
        <v>2740</v>
      </c>
      <c r="G450" t="s">
        <v>9</v>
      </c>
      <c r="H450" t="s">
        <v>9</v>
      </c>
      <c r="I450" t="s">
        <v>1247</v>
      </c>
    </row>
    <row r="451" spans="1:9" ht="11.25" customHeight="1">
      <c r="A451" s="1739" t="s">
        <v>2736</v>
      </c>
      <c r="B451" s="1739" t="s">
        <v>3</v>
      </c>
      <c r="C451" t="s">
        <v>3003</v>
      </c>
      <c r="D451" t="s">
        <v>3004</v>
      </c>
      <c r="E451" t="s">
        <v>3005</v>
      </c>
      <c r="F451" t="s">
        <v>3006</v>
      </c>
      <c r="G451" t="s">
        <v>9</v>
      </c>
      <c r="H451" t="s">
        <v>9</v>
      </c>
      <c r="I451" t="s">
        <v>1247</v>
      </c>
    </row>
    <row r="452" spans="1:9" ht="11.25" customHeight="1">
      <c r="A452" s="1739" t="s">
        <v>2736</v>
      </c>
      <c r="B452" s="1739" t="s">
        <v>3</v>
      </c>
      <c r="C452" t="s">
        <v>3400</v>
      </c>
      <c r="D452" t="s">
        <v>3401</v>
      </c>
      <c r="E452" t="s">
        <v>3402</v>
      </c>
      <c r="F452" t="s">
        <v>2921</v>
      </c>
      <c r="G452" t="s">
        <v>9</v>
      </c>
      <c r="H452" t="s">
        <v>3403</v>
      </c>
      <c r="I452" t="s">
        <v>1247</v>
      </c>
    </row>
    <row r="453" spans="1:9" ht="11.25" customHeight="1">
      <c r="A453" s="1739" t="s">
        <v>2736</v>
      </c>
      <c r="B453" s="1739" t="s">
        <v>3</v>
      </c>
      <c r="C453" t="s">
        <v>3503</v>
      </c>
      <c r="D453" t="s">
        <v>3504</v>
      </c>
      <c r="E453" t="s">
        <v>3505</v>
      </c>
      <c r="F453" t="s">
        <v>3506</v>
      </c>
      <c r="G453" t="s">
        <v>9</v>
      </c>
      <c r="H453" t="s">
        <v>9</v>
      </c>
      <c r="I453" t="s">
        <v>1247</v>
      </c>
    </row>
    <row r="454" spans="1:9" ht="11.25" customHeight="1">
      <c r="A454" s="1739" t="s">
        <v>2736</v>
      </c>
      <c r="B454" s="1739" t="s">
        <v>3</v>
      </c>
      <c r="C454" t="s">
        <v>3507</v>
      </c>
      <c r="D454" t="s">
        <v>3508</v>
      </c>
      <c r="E454" t="s">
        <v>3509</v>
      </c>
      <c r="F454" t="s">
        <v>2763</v>
      </c>
      <c r="G454" t="s">
        <v>3510</v>
      </c>
      <c r="H454" t="s">
        <v>9</v>
      </c>
      <c r="I454" t="s">
        <v>1247</v>
      </c>
    </row>
    <row r="455" spans="1:9" ht="11.25" customHeight="1">
      <c r="A455" s="1739" t="s">
        <v>2736</v>
      </c>
      <c r="B455" s="1739" t="s">
        <v>3</v>
      </c>
      <c r="C455" t="s">
        <v>3511</v>
      </c>
      <c r="D455" t="s">
        <v>3512</v>
      </c>
      <c r="E455" t="s">
        <v>3513</v>
      </c>
      <c r="F455" t="s">
        <v>2740</v>
      </c>
      <c r="G455" t="s">
        <v>9</v>
      </c>
      <c r="H455" t="s">
        <v>9</v>
      </c>
      <c r="I455" t="s">
        <v>1247</v>
      </c>
    </row>
    <row r="456" spans="1:9" ht="11.25" customHeight="1">
      <c r="A456" s="1739" t="s">
        <v>2736</v>
      </c>
      <c r="B456" s="1739" t="s">
        <v>3</v>
      </c>
      <c r="C456" t="s">
        <v>3013</v>
      </c>
      <c r="D456" t="s">
        <v>3014</v>
      </c>
      <c r="E456" t="s">
        <v>3015</v>
      </c>
      <c r="F456" t="s">
        <v>38</v>
      </c>
      <c r="G456" t="s">
        <v>9</v>
      </c>
      <c r="H456" t="s">
        <v>9</v>
      </c>
      <c r="I456" t="s">
        <v>1247</v>
      </c>
    </row>
    <row r="457" spans="1:9" ht="11.25" customHeight="1">
      <c r="A457" s="1739" t="s">
        <v>2736</v>
      </c>
      <c r="B457" s="1739" t="s">
        <v>3</v>
      </c>
      <c r="C457" t="s">
        <v>3404</v>
      </c>
      <c r="D457" t="s">
        <v>3405</v>
      </c>
      <c r="E457" t="s">
        <v>3406</v>
      </c>
      <c r="F457" t="s">
        <v>2863</v>
      </c>
      <c r="G457" t="s">
        <v>9</v>
      </c>
      <c r="H457" t="s">
        <v>3407</v>
      </c>
      <c r="I457" t="s">
        <v>1247</v>
      </c>
    </row>
    <row r="458" spans="1:9" ht="11.25" customHeight="1">
      <c r="A458" s="1739" t="s">
        <v>2736</v>
      </c>
      <c r="B458" s="1739" t="s">
        <v>3</v>
      </c>
      <c r="C458" t="s">
        <v>3019</v>
      </c>
      <c r="D458" t="s">
        <v>3020</v>
      </c>
      <c r="E458" t="s">
        <v>3021</v>
      </c>
      <c r="F458" t="s">
        <v>2740</v>
      </c>
      <c r="G458" t="s">
        <v>9</v>
      </c>
      <c r="H458" t="s">
        <v>9</v>
      </c>
      <c r="I458" t="s">
        <v>1247</v>
      </c>
    </row>
    <row r="459" spans="1:9" ht="11.25" customHeight="1">
      <c r="A459" s="1739" t="s">
        <v>2736</v>
      </c>
      <c r="B459" s="1739" t="s">
        <v>3</v>
      </c>
      <c r="C459" t="s">
        <v>3408</v>
      </c>
      <c r="D459" t="s">
        <v>3409</v>
      </c>
      <c r="E459" t="s">
        <v>3410</v>
      </c>
      <c r="F459" t="s">
        <v>2740</v>
      </c>
      <c r="G459" t="s">
        <v>9</v>
      </c>
      <c r="H459" t="s">
        <v>9</v>
      </c>
      <c r="I459" t="s">
        <v>1247</v>
      </c>
    </row>
    <row r="460" spans="1:9" ht="11.25" customHeight="1">
      <c r="A460" s="1739" t="s">
        <v>2736</v>
      </c>
      <c r="B460" s="1739" t="s">
        <v>3</v>
      </c>
      <c r="C460" t="s">
        <v>3025</v>
      </c>
      <c r="D460" t="s">
        <v>3026</v>
      </c>
      <c r="E460" t="s">
        <v>3027</v>
      </c>
      <c r="F460" t="s">
        <v>2863</v>
      </c>
      <c r="G460" t="s">
        <v>9</v>
      </c>
      <c r="H460" t="s">
        <v>9</v>
      </c>
      <c r="I460" t="s">
        <v>1247</v>
      </c>
    </row>
    <row r="461" spans="1:9" ht="11.25" customHeight="1">
      <c r="A461" s="1739" t="s">
        <v>2736</v>
      </c>
      <c r="B461" s="1739" t="s">
        <v>3</v>
      </c>
      <c r="C461" t="s">
        <v>3040</v>
      </c>
      <c r="D461" t="s">
        <v>3041</v>
      </c>
      <c r="E461" t="s">
        <v>3042</v>
      </c>
      <c r="F461" t="s">
        <v>2974</v>
      </c>
      <c r="G461" t="s">
        <v>9</v>
      </c>
      <c r="H461" t="s">
        <v>9</v>
      </c>
      <c r="I461" t="s">
        <v>1247</v>
      </c>
    </row>
    <row r="462" spans="1:9" ht="11.25" customHeight="1">
      <c r="A462" s="1739" t="s">
        <v>2736</v>
      </c>
      <c r="B462" s="1739" t="s">
        <v>3</v>
      </c>
      <c r="C462" t="s">
        <v>3043</v>
      </c>
      <c r="D462" t="s">
        <v>3044</v>
      </c>
      <c r="E462" t="s">
        <v>3045</v>
      </c>
      <c r="F462" t="s">
        <v>2974</v>
      </c>
      <c r="G462" t="s">
        <v>3046</v>
      </c>
      <c r="H462" t="s">
        <v>9</v>
      </c>
      <c r="I462" t="s">
        <v>1247</v>
      </c>
    </row>
    <row r="463" spans="1:9" ht="11.25" customHeight="1">
      <c r="A463" s="1739" t="s">
        <v>2736</v>
      </c>
      <c r="B463" s="1739" t="s">
        <v>3</v>
      </c>
      <c r="C463" t="s">
        <v>3414</v>
      </c>
      <c r="D463" t="s">
        <v>3415</v>
      </c>
      <c r="E463" t="s">
        <v>3416</v>
      </c>
      <c r="F463" t="s">
        <v>2740</v>
      </c>
      <c r="G463" t="s">
        <v>3417</v>
      </c>
      <c r="H463" t="s">
        <v>9</v>
      </c>
      <c r="I463" t="s">
        <v>1247</v>
      </c>
    </row>
    <row r="464" spans="1:9" ht="11.25" customHeight="1">
      <c r="A464" s="1739" t="s">
        <v>2736</v>
      </c>
      <c r="B464" s="1739" t="s">
        <v>3</v>
      </c>
      <c r="C464" t="s">
        <v>3047</v>
      </c>
      <c r="D464" t="s">
        <v>3048</v>
      </c>
      <c r="E464" t="s">
        <v>3049</v>
      </c>
      <c r="F464" t="s">
        <v>2763</v>
      </c>
      <c r="G464" t="s">
        <v>3046</v>
      </c>
      <c r="H464" t="s">
        <v>9</v>
      </c>
      <c r="I464" t="s">
        <v>1247</v>
      </c>
    </row>
    <row r="465" spans="1:9" ht="11.25" customHeight="1">
      <c r="A465" s="1739" t="s">
        <v>2736</v>
      </c>
      <c r="B465" s="1739" t="s">
        <v>3</v>
      </c>
      <c r="C465" t="s">
        <v>3514</v>
      </c>
      <c r="D465" t="s">
        <v>3515</v>
      </c>
      <c r="E465" t="s">
        <v>3516</v>
      </c>
      <c r="F465" t="s">
        <v>2859</v>
      </c>
      <c r="G465" t="s">
        <v>9</v>
      </c>
      <c r="H465" t="s">
        <v>9</v>
      </c>
      <c r="I465" t="s">
        <v>1247</v>
      </c>
    </row>
    <row r="466" spans="1:9" ht="11.25" customHeight="1">
      <c r="A466" s="1739" t="s">
        <v>2736</v>
      </c>
      <c r="B466" s="1739" t="s">
        <v>3</v>
      </c>
      <c r="C466" t="s">
        <v>3421</v>
      </c>
      <c r="D466" t="s">
        <v>3422</v>
      </c>
      <c r="E466" t="s">
        <v>3423</v>
      </c>
      <c r="F466" t="s">
        <v>2859</v>
      </c>
      <c r="G466" t="s">
        <v>9</v>
      </c>
      <c r="H466" t="s">
        <v>9</v>
      </c>
      <c r="I466" t="s">
        <v>1247</v>
      </c>
    </row>
    <row r="467" spans="1:9" ht="11.25" customHeight="1">
      <c r="A467" s="1739" t="s">
        <v>2736</v>
      </c>
      <c r="B467" s="1739" t="s">
        <v>3</v>
      </c>
      <c r="C467" t="s">
        <v>3424</v>
      </c>
      <c r="D467" t="s">
        <v>3425</v>
      </c>
      <c r="E467" t="s">
        <v>3426</v>
      </c>
      <c r="F467" t="s">
        <v>2801</v>
      </c>
      <c r="G467" t="s">
        <v>9</v>
      </c>
      <c r="H467" t="s">
        <v>9</v>
      </c>
      <c r="I467" t="s">
        <v>1247</v>
      </c>
    </row>
    <row r="468" spans="1:9" ht="11.25" customHeight="1">
      <c r="A468" s="1739" t="s">
        <v>2736</v>
      </c>
      <c r="B468" s="1739" t="s">
        <v>3</v>
      </c>
      <c r="C468" t="s">
        <v>3057</v>
      </c>
      <c r="D468" t="s">
        <v>3058</v>
      </c>
      <c r="E468" t="s">
        <v>3059</v>
      </c>
      <c r="F468" t="s">
        <v>2763</v>
      </c>
      <c r="G468" t="s">
        <v>9</v>
      </c>
      <c r="H468" t="s">
        <v>9</v>
      </c>
      <c r="I468" t="s">
        <v>1247</v>
      </c>
    </row>
    <row r="469" spans="1:9" ht="11.25" customHeight="1">
      <c r="A469" s="1739" t="s">
        <v>2736</v>
      </c>
      <c r="B469" s="1739" t="s">
        <v>3</v>
      </c>
      <c r="C469" t="s">
        <v>3060</v>
      </c>
      <c r="D469" t="s">
        <v>3061</v>
      </c>
      <c r="E469" t="s">
        <v>3062</v>
      </c>
      <c r="F469" t="s">
        <v>2763</v>
      </c>
      <c r="G469" t="s">
        <v>9</v>
      </c>
      <c r="H469" t="s">
        <v>9</v>
      </c>
      <c r="I469" t="s">
        <v>1247</v>
      </c>
    </row>
    <row r="470" spans="1:9" ht="11.25" customHeight="1">
      <c r="A470" s="1739" t="s">
        <v>2736</v>
      </c>
      <c r="B470" s="1739" t="s">
        <v>3</v>
      </c>
      <c r="C470" t="s">
        <v>3063</v>
      </c>
      <c r="D470" t="s">
        <v>3064</v>
      </c>
      <c r="E470" t="s">
        <v>3065</v>
      </c>
      <c r="F470" t="s">
        <v>2763</v>
      </c>
      <c r="G470" t="s">
        <v>9</v>
      </c>
      <c r="H470" t="s">
        <v>9</v>
      </c>
      <c r="I470" t="s">
        <v>1247</v>
      </c>
    </row>
    <row r="471" spans="1:9" ht="11.25" customHeight="1">
      <c r="A471" s="1739" t="s">
        <v>2736</v>
      </c>
      <c r="B471" s="1739" t="s">
        <v>3</v>
      </c>
      <c r="C471" t="s">
        <v>3069</v>
      </c>
      <c r="D471" t="s">
        <v>3070</v>
      </c>
      <c r="E471" t="s">
        <v>3071</v>
      </c>
      <c r="F471" t="s">
        <v>2763</v>
      </c>
      <c r="G471" t="s">
        <v>9</v>
      </c>
      <c r="H471" t="s">
        <v>9</v>
      </c>
      <c r="I471" t="s">
        <v>1247</v>
      </c>
    </row>
    <row r="472" spans="1:9" ht="11.25" customHeight="1">
      <c r="A472" s="1739" t="s">
        <v>2736</v>
      </c>
      <c r="B472" s="1739" t="s">
        <v>3</v>
      </c>
      <c r="C472" t="s">
        <v>3075</v>
      </c>
      <c r="D472" t="s">
        <v>3073</v>
      </c>
      <c r="E472" t="s">
        <v>3076</v>
      </c>
      <c r="F472" t="s">
        <v>3056</v>
      </c>
      <c r="G472" t="s">
        <v>9</v>
      </c>
      <c r="H472" t="s">
        <v>9</v>
      </c>
      <c r="I472" t="s">
        <v>1247</v>
      </c>
    </row>
    <row r="473" spans="1:9" ht="11.25" customHeight="1">
      <c r="A473" s="1739" t="s">
        <v>2736</v>
      </c>
      <c r="B473" s="1739" t="s">
        <v>3</v>
      </c>
      <c r="C473" t="s">
        <v>3077</v>
      </c>
      <c r="D473" t="s">
        <v>3078</v>
      </c>
      <c r="E473" t="s">
        <v>3079</v>
      </c>
      <c r="F473" t="s">
        <v>2763</v>
      </c>
      <c r="G473" t="s">
        <v>9</v>
      </c>
      <c r="H473" t="s">
        <v>9</v>
      </c>
      <c r="I473" t="s">
        <v>1247</v>
      </c>
    </row>
    <row r="474" spans="1:9" ht="11.25" customHeight="1">
      <c r="A474" s="1739" t="s">
        <v>2736</v>
      </c>
      <c r="B474" s="1739" t="s">
        <v>3</v>
      </c>
      <c r="C474" t="s">
        <v>3427</v>
      </c>
      <c r="D474" t="s">
        <v>3428</v>
      </c>
      <c r="E474" t="s">
        <v>3429</v>
      </c>
      <c r="F474" t="s">
        <v>2740</v>
      </c>
      <c r="G474" t="s">
        <v>9</v>
      </c>
      <c r="H474" t="s">
        <v>9</v>
      </c>
      <c r="I474" t="s">
        <v>1247</v>
      </c>
    </row>
    <row r="475" spans="1:9" ht="11.25" customHeight="1">
      <c r="A475" s="1739" t="s">
        <v>2736</v>
      </c>
      <c r="B475" s="1739" t="s">
        <v>3</v>
      </c>
      <c r="C475" t="s">
        <v>3080</v>
      </c>
      <c r="D475" t="s">
        <v>3081</v>
      </c>
      <c r="E475" t="s">
        <v>3082</v>
      </c>
      <c r="F475" t="s">
        <v>2801</v>
      </c>
      <c r="G475" t="s">
        <v>9</v>
      </c>
      <c r="H475" t="s">
        <v>9</v>
      </c>
      <c r="I475" t="s">
        <v>1247</v>
      </c>
    </row>
    <row r="476" spans="1:9" ht="11.25" customHeight="1">
      <c r="A476" s="1739" t="s">
        <v>2736</v>
      </c>
      <c r="B476" s="1739" t="s">
        <v>3</v>
      </c>
      <c r="C476" t="s">
        <v>3437</v>
      </c>
      <c r="D476" t="s">
        <v>3438</v>
      </c>
      <c r="E476" t="s">
        <v>3439</v>
      </c>
      <c r="F476" t="s">
        <v>2740</v>
      </c>
      <c r="G476" t="s">
        <v>9</v>
      </c>
      <c r="H476" t="s">
        <v>9</v>
      </c>
      <c r="I476" t="s">
        <v>1247</v>
      </c>
    </row>
    <row r="477" spans="1:9" ht="11.25" customHeight="1">
      <c r="A477" s="1739" t="s">
        <v>2736</v>
      </c>
      <c r="B477" s="1739" t="s">
        <v>3</v>
      </c>
      <c r="C477" t="s">
        <v>3089</v>
      </c>
      <c r="D477" t="s">
        <v>3090</v>
      </c>
      <c r="E477" t="s">
        <v>3091</v>
      </c>
      <c r="F477" t="s">
        <v>2740</v>
      </c>
      <c r="G477" t="s">
        <v>9</v>
      </c>
      <c r="H477" t="s">
        <v>9</v>
      </c>
      <c r="I477" t="s">
        <v>1247</v>
      </c>
    </row>
    <row r="478" spans="1:9" ht="11.25" customHeight="1">
      <c r="A478" s="1739" t="s">
        <v>2736</v>
      </c>
      <c r="B478" s="1739" t="s">
        <v>3</v>
      </c>
      <c r="C478" t="s">
        <v>3092</v>
      </c>
      <c r="D478" t="s">
        <v>3093</v>
      </c>
      <c r="E478" t="s">
        <v>3094</v>
      </c>
      <c r="F478" t="s">
        <v>2863</v>
      </c>
      <c r="G478" t="s">
        <v>9</v>
      </c>
      <c r="H478" t="s">
        <v>9</v>
      </c>
      <c r="I478" t="s">
        <v>1247</v>
      </c>
    </row>
    <row r="479" spans="1:9" ht="11.25" customHeight="1">
      <c r="A479" s="1739" t="s">
        <v>2736</v>
      </c>
      <c r="B479" s="1739" t="s">
        <v>3</v>
      </c>
      <c r="C479" t="s">
        <v>3440</v>
      </c>
      <c r="D479" t="s">
        <v>3441</v>
      </c>
      <c r="E479" t="s">
        <v>3442</v>
      </c>
      <c r="F479" t="s">
        <v>2921</v>
      </c>
      <c r="G479" t="s">
        <v>9</v>
      </c>
      <c r="H479" t="s">
        <v>9</v>
      </c>
      <c r="I479" t="s">
        <v>1247</v>
      </c>
    </row>
    <row r="480" spans="1:9" ht="11.25" customHeight="1">
      <c r="A480" s="1739" t="s">
        <v>2736</v>
      </c>
      <c r="B480" s="1739" t="s">
        <v>3</v>
      </c>
      <c r="C480" t="s">
        <v>3443</v>
      </c>
      <c r="D480" t="s">
        <v>3444</v>
      </c>
      <c r="E480" t="s">
        <v>3445</v>
      </c>
      <c r="F480" t="s">
        <v>2863</v>
      </c>
      <c r="G480" t="s">
        <v>9</v>
      </c>
      <c r="H480" t="s">
        <v>9</v>
      </c>
      <c r="I480" t="s">
        <v>1247</v>
      </c>
    </row>
    <row r="481" spans="1:9" ht="11.25" customHeight="1">
      <c r="A481" s="1739" t="s">
        <v>2736</v>
      </c>
      <c r="B481" s="1739" t="s">
        <v>3</v>
      </c>
      <c r="C481" t="s">
        <v>3107</v>
      </c>
      <c r="D481" t="s">
        <v>3108</v>
      </c>
      <c r="E481" t="s">
        <v>3109</v>
      </c>
      <c r="F481" t="s">
        <v>2848</v>
      </c>
      <c r="G481" t="s">
        <v>9</v>
      </c>
      <c r="H481" t="s">
        <v>9</v>
      </c>
      <c r="I481" t="s">
        <v>1247</v>
      </c>
    </row>
    <row r="482" spans="1:9" ht="11.25" customHeight="1">
      <c r="A482" s="1739" t="s">
        <v>2736</v>
      </c>
      <c r="B482" s="1739" t="s">
        <v>3</v>
      </c>
      <c r="C482" t="s">
        <v>3110</v>
      </c>
      <c r="D482" t="s">
        <v>3111</v>
      </c>
      <c r="E482" t="s">
        <v>3112</v>
      </c>
      <c r="F482" t="s">
        <v>2763</v>
      </c>
      <c r="G482" t="s">
        <v>9</v>
      </c>
      <c r="H482" t="s">
        <v>9</v>
      </c>
      <c r="I482" t="s">
        <v>1247</v>
      </c>
    </row>
    <row r="483" spans="1:9" ht="11.25" customHeight="1">
      <c r="A483" s="1739" t="s">
        <v>2736</v>
      </c>
      <c r="B483" s="1739" t="s">
        <v>3</v>
      </c>
      <c r="C483" t="s">
        <v>3517</v>
      </c>
      <c r="D483" t="s">
        <v>3518</v>
      </c>
      <c r="E483" t="s">
        <v>3519</v>
      </c>
      <c r="F483" t="s">
        <v>3520</v>
      </c>
      <c r="G483" t="s">
        <v>3521</v>
      </c>
      <c r="H483" t="s">
        <v>9</v>
      </c>
      <c r="I483" t="s">
        <v>1247</v>
      </c>
    </row>
    <row r="484" spans="1:9" ht="11.25" customHeight="1">
      <c r="A484" s="1739" t="s">
        <v>2736</v>
      </c>
      <c r="B484" s="1739" t="s">
        <v>3</v>
      </c>
      <c r="C484" t="s">
        <v>3449</v>
      </c>
      <c r="D484" t="s">
        <v>3450</v>
      </c>
      <c r="E484" t="s">
        <v>3451</v>
      </c>
      <c r="F484" t="s">
        <v>2921</v>
      </c>
      <c r="G484" t="s">
        <v>9</v>
      </c>
      <c r="H484" t="s">
        <v>9</v>
      </c>
      <c r="I484" t="s">
        <v>1247</v>
      </c>
    </row>
    <row r="485" spans="1:9" ht="11.25" customHeight="1">
      <c r="A485" s="1739" t="s">
        <v>2736</v>
      </c>
      <c r="B485" s="1739" t="s">
        <v>3</v>
      </c>
      <c r="C485" t="s">
        <v>3119</v>
      </c>
      <c r="D485" t="s">
        <v>3120</v>
      </c>
      <c r="E485" t="s">
        <v>3121</v>
      </c>
      <c r="F485" t="s">
        <v>2921</v>
      </c>
      <c r="G485" t="s">
        <v>9</v>
      </c>
      <c r="H485" t="s">
        <v>9</v>
      </c>
      <c r="I485" t="s">
        <v>1247</v>
      </c>
    </row>
    <row r="486" spans="1:9" ht="11.25" customHeight="1">
      <c r="A486" s="1739" t="s">
        <v>2736</v>
      </c>
      <c r="B486" s="1739" t="s">
        <v>3</v>
      </c>
      <c r="C486" t="s">
        <v>3122</v>
      </c>
      <c r="D486" t="s">
        <v>3123</v>
      </c>
      <c r="E486" t="s">
        <v>3124</v>
      </c>
      <c r="F486" t="s">
        <v>2863</v>
      </c>
      <c r="G486" t="s">
        <v>9</v>
      </c>
      <c r="H486" t="s">
        <v>9</v>
      </c>
      <c r="I486" t="s">
        <v>1247</v>
      </c>
    </row>
    <row r="487" spans="1:9" ht="11.25" customHeight="1">
      <c r="A487" s="1739" t="s">
        <v>2736</v>
      </c>
      <c r="B487" s="1739" t="s">
        <v>3</v>
      </c>
      <c r="C487" t="s">
        <v>3458</v>
      </c>
      <c r="D487" t="s">
        <v>3459</v>
      </c>
      <c r="E487" t="s">
        <v>3460</v>
      </c>
      <c r="F487" t="s">
        <v>2830</v>
      </c>
      <c r="G487" t="s">
        <v>9</v>
      </c>
      <c r="H487" t="s">
        <v>3461</v>
      </c>
      <c r="I487" t="s">
        <v>1247</v>
      </c>
    </row>
    <row r="488" spans="1:9" ht="11.25" customHeight="1">
      <c r="A488" s="1739" t="s">
        <v>2736</v>
      </c>
      <c r="B488" s="1739" t="s">
        <v>3</v>
      </c>
      <c r="C488" t="s">
        <v>3462</v>
      </c>
      <c r="D488" t="s">
        <v>3463</v>
      </c>
      <c r="E488" t="s">
        <v>3464</v>
      </c>
      <c r="F488" t="s">
        <v>2763</v>
      </c>
      <c r="G488" t="s">
        <v>3465</v>
      </c>
      <c r="H488" t="s">
        <v>9</v>
      </c>
      <c r="I488" t="s">
        <v>1247</v>
      </c>
    </row>
    <row r="489" spans="1:9" ht="11.25" customHeight="1">
      <c r="A489" s="1739" t="s">
        <v>2736</v>
      </c>
      <c r="B489" s="1739" t="s">
        <v>3</v>
      </c>
      <c r="C489" t="s">
        <v>3466</v>
      </c>
      <c r="D489" t="s">
        <v>3467</v>
      </c>
      <c r="E489" t="s">
        <v>3468</v>
      </c>
      <c r="F489" t="s">
        <v>2974</v>
      </c>
      <c r="G489" t="s">
        <v>9</v>
      </c>
      <c r="H489" t="s">
        <v>9</v>
      </c>
      <c r="I489" t="s">
        <v>1247</v>
      </c>
    </row>
    <row r="490" spans="1:9" ht="11.25" customHeight="1">
      <c r="A490" s="1739" t="s">
        <v>2736</v>
      </c>
      <c r="B490" s="1739" t="s">
        <v>3</v>
      </c>
      <c r="C490" t="s">
        <v>3175</v>
      </c>
      <c r="D490" t="s">
        <v>3176</v>
      </c>
      <c r="E490" t="s">
        <v>3177</v>
      </c>
      <c r="F490" t="s">
        <v>2859</v>
      </c>
      <c r="G490" t="s">
        <v>9</v>
      </c>
      <c r="H490" t="s">
        <v>9</v>
      </c>
      <c r="I490" t="s">
        <v>1247</v>
      </c>
    </row>
    <row r="491" spans="1:9" ht="11.25" customHeight="1">
      <c r="A491" s="1739" t="s">
        <v>2736</v>
      </c>
      <c r="B491" s="1739" t="s">
        <v>3</v>
      </c>
      <c r="C491" t="s">
        <v>3178</v>
      </c>
      <c r="D491" t="s">
        <v>3179</v>
      </c>
      <c r="E491" t="s">
        <v>3180</v>
      </c>
      <c r="F491" t="s">
        <v>2859</v>
      </c>
      <c r="G491" t="s">
        <v>9</v>
      </c>
      <c r="H491" t="s">
        <v>9</v>
      </c>
      <c r="I491" t="s">
        <v>1247</v>
      </c>
    </row>
    <row r="492" spans="1:9" ht="11.25" customHeight="1">
      <c r="A492" s="1739" t="s">
        <v>2736</v>
      </c>
      <c r="B492" s="1739" t="s">
        <v>3</v>
      </c>
      <c r="C492" t="s">
        <v>3469</v>
      </c>
      <c r="D492" t="s">
        <v>3470</v>
      </c>
      <c r="E492" t="s">
        <v>3471</v>
      </c>
      <c r="F492" t="s">
        <v>2863</v>
      </c>
      <c r="G492" t="s">
        <v>3472</v>
      </c>
      <c r="H492" t="s">
        <v>9</v>
      </c>
      <c r="I492" t="s">
        <v>1247</v>
      </c>
    </row>
    <row r="493" spans="1:9" ht="11.25" customHeight="1">
      <c r="A493" s="1739" t="s">
        <v>2736</v>
      </c>
      <c r="B493" s="1739" t="s">
        <v>3</v>
      </c>
      <c r="C493" t="s">
        <v>3185</v>
      </c>
      <c r="D493" t="s">
        <v>3186</v>
      </c>
      <c r="E493" t="s">
        <v>3187</v>
      </c>
      <c r="F493" t="s">
        <v>3188</v>
      </c>
      <c r="G493" t="s">
        <v>9</v>
      </c>
      <c r="H493" t="s">
        <v>9</v>
      </c>
      <c r="I493" t="s">
        <v>1247</v>
      </c>
    </row>
    <row r="494" spans="1:9" ht="11.25" customHeight="1">
      <c r="A494" s="1739" t="s">
        <v>2736</v>
      </c>
      <c r="B494" s="1739" t="s">
        <v>3</v>
      </c>
      <c r="C494" t="s">
        <v>3189</v>
      </c>
      <c r="D494" t="s">
        <v>3190</v>
      </c>
      <c r="E494" t="s">
        <v>3191</v>
      </c>
      <c r="F494" t="s">
        <v>3192</v>
      </c>
      <c r="G494" t="s">
        <v>9</v>
      </c>
      <c r="H494" t="s">
        <v>9</v>
      </c>
      <c r="I494" t="s">
        <v>1247</v>
      </c>
    </row>
    <row r="495" spans="1:9" ht="11.25" customHeight="1">
      <c r="A495" s="1739" t="s">
        <v>2736</v>
      </c>
      <c r="B495" s="1739" t="s">
        <v>3</v>
      </c>
      <c r="C495" t="s">
        <v>3248</v>
      </c>
      <c r="D495" t="s">
        <v>3190</v>
      </c>
      <c r="E495" t="s">
        <v>3191</v>
      </c>
      <c r="F495" t="s">
        <v>3249</v>
      </c>
      <c r="G495" t="s">
        <v>9</v>
      </c>
      <c r="H495" t="s">
        <v>9</v>
      </c>
      <c r="I495" t="s">
        <v>1247</v>
      </c>
    </row>
    <row r="496" spans="1:9" ht="11.25" customHeight="1">
      <c r="A496" s="1739" t="s">
        <v>2736</v>
      </c>
      <c r="B496" s="1739" t="s">
        <v>3</v>
      </c>
      <c r="C496" t="s">
        <v>3477</v>
      </c>
      <c r="D496" t="s">
        <v>3478</v>
      </c>
      <c r="E496" t="s">
        <v>3479</v>
      </c>
      <c r="F496" t="s">
        <v>2974</v>
      </c>
      <c r="G496" t="s">
        <v>9</v>
      </c>
      <c r="H496" t="s">
        <v>9</v>
      </c>
      <c r="I496" t="s">
        <v>1247</v>
      </c>
    </row>
    <row r="497" spans="1:9" ht="11.25" customHeight="1">
      <c r="A497" s="1739" t="s">
        <v>2736</v>
      </c>
      <c r="B497" s="1739" t="s">
        <v>3</v>
      </c>
      <c r="C497" t="s">
        <v>3480</v>
      </c>
      <c r="D497" t="s">
        <v>3481</v>
      </c>
      <c r="E497" t="s">
        <v>3482</v>
      </c>
      <c r="F497" t="s">
        <v>38</v>
      </c>
      <c r="G497" t="s">
        <v>9</v>
      </c>
      <c r="H497" t="s">
        <v>9</v>
      </c>
      <c r="I497" t="s">
        <v>1247</v>
      </c>
    </row>
    <row r="498" spans="1:9" ht="11.25" customHeight="1">
      <c r="A498" s="1739" t="s">
        <v>2736</v>
      </c>
      <c r="B498" s="1739" t="s">
        <v>3</v>
      </c>
      <c r="C498" t="s">
        <v>3196</v>
      </c>
      <c r="D498" t="s">
        <v>3197</v>
      </c>
      <c r="E498" t="s">
        <v>3198</v>
      </c>
      <c r="F498" t="s">
        <v>2763</v>
      </c>
      <c r="G498" t="s">
        <v>9</v>
      </c>
      <c r="H498" t="s">
        <v>9</v>
      </c>
      <c r="I498" t="s">
        <v>1247</v>
      </c>
    </row>
    <row r="499" spans="1:9" ht="11.25" customHeight="1">
      <c r="A499" s="1739" t="s">
        <v>2736</v>
      </c>
      <c r="B499" s="1739" t="s">
        <v>3</v>
      </c>
      <c r="C499" t="s">
        <v>3489</v>
      </c>
      <c r="D499" t="s">
        <v>3490</v>
      </c>
      <c r="E499" t="s">
        <v>3491</v>
      </c>
      <c r="F499" t="s">
        <v>2921</v>
      </c>
      <c r="G499" t="s">
        <v>9</v>
      </c>
      <c r="H499" t="s">
        <v>9</v>
      </c>
      <c r="I499" t="s">
        <v>1247</v>
      </c>
    </row>
    <row r="500" spans="1:9" ht="11.25" customHeight="1">
      <c r="A500" s="1739" t="s">
        <v>2736</v>
      </c>
      <c r="B500" s="1739" t="s">
        <v>3</v>
      </c>
      <c r="C500" t="s">
        <v>3205</v>
      </c>
      <c r="D500" t="s">
        <v>3206</v>
      </c>
      <c r="E500" t="s">
        <v>2969</v>
      </c>
      <c r="F500" t="s">
        <v>3207</v>
      </c>
      <c r="G500" t="s">
        <v>9</v>
      </c>
      <c r="H500" t="s">
        <v>9</v>
      </c>
      <c r="I500" t="s">
        <v>1247</v>
      </c>
    </row>
    <row r="501" spans="1:9" ht="11.25" customHeight="1">
      <c r="A501" s="1739" t="s">
        <v>2736</v>
      </c>
      <c r="B501" s="1739" t="s">
        <v>3</v>
      </c>
      <c r="C501" t="s">
        <v>3214</v>
      </c>
      <c r="D501" t="s">
        <v>3215</v>
      </c>
      <c r="E501" t="s">
        <v>3216</v>
      </c>
      <c r="F501" t="s">
        <v>3217</v>
      </c>
      <c r="G501" t="s">
        <v>9</v>
      </c>
      <c r="H501" t="s">
        <v>9</v>
      </c>
      <c r="I501" t="s">
        <v>1247</v>
      </c>
    </row>
    <row r="502" spans="1:9" ht="11.25" customHeight="1">
      <c r="A502" s="1739" t="s">
        <v>2736</v>
      </c>
      <c r="B502" s="1739" t="s">
        <v>3</v>
      </c>
      <c r="C502" t="s">
        <v>3222</v>
      </c>
      <c r="D502" t="s">
        <v>3223</v>
      </c>
      <c r="E502" t="s">
        <v>3224</v>
      </c>
      <c r="F502" t="s">
        <v>2974</v>
      </c>
      <c r="G502" t="s">
        <v>9</v>
      </c>
      <c r="H502" t="s">
        <v>9</v>
      </c>
      <c r="I502" t="s">
        <v>1247</v>
      </c>
    </row>
    <row r="503" spans="1:9" ht="11.25" customHeight="1">
      <c r="A503" s="1739" t="s">
        <v>2736</v>
      </c>
      <c r="B503" s="1739" t="s">
        <v>3</v>
      </c>
      <c r="C503" t="s">
        <v>3225</v>
      </c>
      <c r="D503" t="s">
        <v>3226</v>
      </c>
      <c r="E503" t="s">
        <v>3227</v>
      </c>
      <c r="F503" t="s">
        <v>2974</v>
      </c>
      <c r="G503" t="s">
        <v>9</v>
      </c>
      <c r="H503" t="s">
        <v>9</v>
      </c>
      <c r="I503" t="s">
        <v>1247</v>
      </c>
    </row>
    <row r="504" spans="1:9" ht="11.25" customHeight="1">
      <c r="A504" s="1739" t="s">
        <v>2736</v>
      </c>
      <c r="B504" s="1739" t="s">
        <v>3</v>
      </c>
      <c r="C504" t="s">
        <v>3228</v>
      </c>
      <c r="D504" t="s">
        <v>3229</v>
      </c>
      <c r="E504" t="s">
        <v>3230</v>
      </c>
      <c r="F504" t="s">
        <v>2763</v>
      </c>
      <c r="G504" t="s">
        <v>9</v>
      </c>
      <c r="H504" t="s">
        <v>9</v>
      </c>
      <c r="I504" t="s">
        <v>1247</v>
      </c>
    </row>
    <row r="505" spans="1:9" ht="11.25" customHeight="1">
      <c r="A505" s="1739" t="s">
        <v>2736</v>
      </c>
      <c r="B505" s="1739" t="s">
        <v>3</v>
      </c>
      <c r="C505" t="s">
        <v>3235</v>
      </c>
      <c r="D505" t="s">
        <v>3236</v>
      </c>
      <c r="E505" t="s">
        <v>3237</v>
      </c>
      <c r="F505" t="s">
        <v>3238</v>
      </c>
      <c r="G505" t="s">
        <v>9</v>
      </c>
      <c r="H505" t="s">
        <v>9</v>
      </c>
      <c r="I505" t="s">
        <v>1247</v>
      </c>
    </row>
    <row r="506" spans="1:9" ht="11.25" customHeight="1">
      <c r="A506" s="1739" t="s">
        <v>2736</v>
      </c>
      <c r="B506" s="1739" t="s">
        <v>3</v>
      </c>
      <c r="C506" t="s">
        <v>3245</v>
      </c>
      <c r="D506" t="s">
        <v>3246</v>
      </c>
      <c r="E506" t="s">
        <v>3210</v>
      </c>
      <c r="F506" t="s">
        <v>3247</v>
      </c>
      <c r="G506" t="s">
        <v>9</v>
      </c>
      <c r="H506" t="s">
        <v>9</v>
      </c>
      <c r="I506" t="s">
        <v>1247</v>
      </c>
    </row>
    <row r="507" spans="1:9" ht="11.25" customHeight="1">
      <c r="A507" s="1739" t="s">
        <v>2736</v>
      </c>
      <c r="B507" s="1739" t="s">
        <v>3</v>
      </c>
      <c r="C507" t="s">
        <v>3522</v>
      </c>
      <c r="D507" t="s">
        <v>3523</v>
      </c>
      <c r="E507" t="s">
        <v>3524</v>
      </c>
      <c r="F507" t="s">
        <v>38</v>
      </c>
      <c r="G507" t="s">
        <v>9</v>
      </c>
      <c r="H507" t="s">
        <v>9</v>
      </c>
      <c r="I507" t="s">
        <v>2121</v>
      </c>
    </row>
    <row r="508" spans="1:9" ht="11.25" customHeight="1">
      <c r="A508" s="1739" t="s">
        <v>2736</v>
      </c>
      <c r="B508" s="1739" t="s">
        <v>3</v>
      </c>
      <c r="C508" t="s">
        <v>9</v>
      </c>
      <c r="D508" t="s">
        <v>2843</v>
      </c>
      <c r="E508" t="s">
        <v>2844</v>
      </c>
      <c r="F508" t="s">
        <v>2788</v>
      </c>
      <c r="G508" t="s">
        <v>9</v>
      </c>
      <c r="H508" t="s">
        <v>9</v>
      </c>
      <c r="I508" t="s">
        <v>2121</v>
      </c>
    </row>
    <row r="509" spans="1:9" ht="11.25" customHeight="1">
      <c r="A509" s="1739" t="s">
        <v>2736</v>
      </c>
      <c r="B509" s="1739" t="s">
        <v>3</v>
      </c>
      <c r="C509" t="s">
        <v>3525</v>
      </c>
      <c r="D509" t="s">
        <v>3526</v>
      </c>
      <c r="E509" t="s">
        <v>3527</v>
      </c>
      <c r="F509" t="s">
        <v>38</v>
      </c>
      <c r="G509" t="s">
        <v>9</v>
      </c>
      <c r="H509" t="s">
        <v>9</v>
      </c>
      <c r="I509" t="s">
        <v>2121</v>
      </c>
    </row>
    <row r="510" spans="1:9" ht="11.25" customHeight="1">
      <c r="A510" s="1739" t="s">
        <v>2736</v>
      </c>
      <c r="B510" s="1739" t="s">
        <v>3</v>
      </c>
      <c r="C510" t="s">
        <v>3528</v>
      </c>
      <c r="D510" t="s">
        <v>3529</v>
      </c>
      <c r="E510" t="s">
        <v>3530</v>
      </c>
      <c r="F510" t="s">
        <v>2974</v>
      </c>
      <c r="G510" t="s">
        <v>9</v>
      </c>
      <c r="H510" t="s">
        <v>3531</v>
      </c>
      <c r="I510" t="s">
        <v>2121</v>
      </c>
    </row>
    <row r="511" spans="1:9" ht="11.25" customHeight="1">
      <c r="A511" s="1739" t="s">
        <v>2736</v>
      </c>
      <c r="B511" s="1739" t="s">
        <v>3</v>
      </c>
      <c r="C511" t="s">
        <v>3532</v>
      </c>
      <c r="D511" t="s">
        <v>3533</v>
      </c>
      <c r="E511" t="s">
        <v>3534</v>
      </c>
      <c r="F511" t="s">
        <v>2763</v>
      </c>
      <c r="G511" t="s">
        <v>9</v>
      </c>
      <c r="H511" t="s">
        <v>9</v>
      </c>
      <c r="I511" t="s">
        <v>2121</v>
      </c>
    </row>
    <row r="512" spans="1:9" ht="11.25" customHeight="1">
      <c r="A512" s="1739" t="s">
        <v>2736</v>
      </c>
      <c r="B512" s="1739" t="s">
        <v>3</v>
      </c>
      <c r="C512" t="s">
        <v>3072</v>
      </c>
      <c r="D512" t="s">
        <v>3073</v>
      </c>
      <c r="E512" t="s">
        <v>3074</v>
      </c>
      <c r="F512" t="s">
        <v>2863</v>
      </c>
      <c r="G512" t="s">
        <v>9</v>
      </c>
      <c r="H512" t="s">
        <v>9</v>
      </c>
      <c r="I512" t="s">
        <v>2121</v>
      </c>
    </row>
    <row r="513" spans="1:9" ht="11.25" customHeight="1">
      <c r="A513" s="1739" t="s">
        <v>2736</v>
      </c>
      <c r="B513" s="1739" t="s">
        <v>3</v>
      </c>
      <c r="C513" t="s">
        <v>3535</v>
      </c>
      <c r="D513" t="s">
        <v>3536</v>
      </c>
      <c r="E513" t="s">
        <v>3537</v>
      </c>
      <c r="F513" t="s">
        <v>2848</v>
      </c>
      <c r="G513" t="s">
        <v>9</v>
      </c>
      <c r="H513" t="s">
        <v>9</v>
      </c>
      <c r="I513" t="s">
        <v>2121</v>
      </c>
    </row>
    <row r="514" spans="1:9" ht="11.25" customHeight="1">
      <c r="A514" s="1739" t="s">
        <v>2736</v>
      </c>
      <c r="B514" s="1739" t="s">
        <v>3</v>
      </c>
      <c r="C514" t="s">
        <v>3538</v>
      </c>
      <c r="D514" t="s">
        <v>3539</v>
      </c>
      <c r="E514" t="s">
        <v>3540</v>
      </c>
      <c r="F514" t="s">
        <v>2740</v>
      </c>
      <c r="G514" t="s">
        <v>9</v>
      </c>
      <c r="H514" t="s">
        <v>9</v>
      </c>
      <c r="I514" t="s">
        <v>2121</v>
      </c>
    </row>
    <row r="515" spans="1:9" ht="11.25" customHeight="1">
      <c r="A515" s="1739" t="s">
        <v>2736</v>
      </c>
      <c r="B515" s="1739" t="s">
        <v>3</v>
      </c>
      <c r="C515" t="s">
        <v>3541</v>
      </c>
      <c r="D515" t="s">
        <v>3542</v>
      </c>
      <c r="E515" t="s">
        <v>3543</v>
      </c>
      <c r="F515" t="s">
        <v>2773</v>
      </c>
      <c r="G515" t="s">
        <v>9</v>
      </c>
      <c r="H515" t="s">
        <v>9</v>
      </c>
      <c r="I515" t="s">
        <v>2121</v>
      </c>
    </row>
    <row r="516" spans="1:9" ht="11.25" customHeight="1">
      <c r="A516" s="1739" t="s">
        <v>2736</v>
      </c>
      <c r="B516" s="1739" t="s">
        <v>3</v>
      </c>
      <c r="C516" t="s">
        <v>3169</v>
      </c>
      <c r="D516" t="s">
        <v>3170</v>
      </c>
      <c r="E516" t="s">
        <v>3171</v>
      </c>
      <c r="F516" t="s">
        <v>2740</v>
      </c>
      <c r="G516" t="s">
        <v>9</v>
      </c>
      <c r="H516" t="s">
        <v>9</v>
      </c>
      <c r="I516" t="s">
        <v>2121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39"/>
  </cols>
  <sheetData>
    <row r="1" spans="1:7" ht="11.25" customHeight="1">
      <c r="A1" s="307" t="s">
        <v>3544</v>
      </c>
      <c r="B1" s="3" t="s">
        <v>3545</v>
      </c>
      <c r="C1" s="2" t="s">
        <v>3546</v>
      </c>
      <c r="D1" s="2" t="s">
        <v>3547</v>
      </c>
      <c r="E1" s="2" t="s">
        <v>3548</v>
      </c>
      <c r="F1" s="2" t="s">
        <v>3549</v>
      </c>
      <c r="G1" s="2" t="s">
        <v>3550</v>
      </c>
    </row>
    <row r="2" spans="1:7" ht="11.25" customHeight="1">
      <c r="A2" s="307" t="s">
        <v>3</v>
      </c>
      <c r="B2" t="s">
        <v>3551</v>
      </c>
      <c r="C2" t="s">
        <v>3552</v>
      </c>
      <c r="D2" t="s">
        <v>3551</v>
      </c>
      <c r="E2" t="s">
        <v>3552</v>
      </c>
      <c r="F2" t="s">
        <v>3553</v>
      </c>
      <c r="G2" t="s">
        <v>164</v>
      </c>
    </row>
    <row r="3" spans="1:7" ht="11.25" customHeight="1">
      <c r="A3" s="1739" t="s">
        <v>3</v>
      </c>
      <c r="B3" t="s">
        <v>3554</v>
      </c>
      <c r="C3" t="s">
        <v>3555</v>
      </c>
      <c r="D3" t="s">
        <v>3554</v>
      </c>
      <c r="E3" t="s">
        <v>3555</v>
      </c>
      <c r="F3" t="s">
        <v>3556</v>
      </c>
      <c r="G3" t="s">
        <v>89</v>
      </c>
    </row>
    <row r="4" spans="1:7" ht="11.25" customHeight="1">
      <c r="A4" s="1739" t="s">
        <v>3</v>
      </c>
      <c r="B4" t="s">
        <v>3554</v>
      </c>
      <c r="C4" t="s">
        <v>3555</v>
      </c>
      <c r="D4" t="s">
        <v>3557</v>
      </c>
      <c r="E4" t="s">
        <v>3558</v>
      </c>
      <c r="F4" t="s">
        <v>3559</v>
      </c>
      <c r="G4" t="s">
        <v>78</v>
      </c>
    </row>
    <row r="5" spans="1:7" ht="11.25" customHeight="1">
      <c r="A5" s="1739" t="s">
        <v>3</v>
      </c>
      <c r="B5" t="s">
        <v>3554</v>
      </c>
      <c r="C5" t="s">
        <v>3555</v>
      </c>
      <c r="D5" t="s">
        <v>3560</v>
      </c>
      <c r="E5" t="s">
        <v>3561</v>
      </c>
      <c r="F5" t="s">
        <v>3562</v>
      </c>
      <c r="G5" t="s">
        <v>79</v>
      </c>
    </row>
    <row r="6" spans="1:7" ht="11.25" customHeight="1">
      <c r="A6" s="1739" t="s">
        <v>3</v>
      </c>
      <c r="B6" t="s">
        <v>3554</v>
      </c>
      <c r="C6" t="s">
        <v>3555</v>
      </c>
      <c r="D6" t="s">
        <v>3563</v>
      </c>
      <c r="E6" t="s">
        <v>3564</v>
      </c>
      <c r="F6" t="s">
        <v>3562</v>
      </c>
      <c r="G6" t="s">
        <v>100</v>
      </c>
    </row>
    <row r="7" spans="1:7" ht="11.25" customHeight="1">
      <c r="A7" s="1739" t="s">
        <v>3</v>
      </c>
      <c r="B7" t="s">
        <v>3554</v>
      </c>
      <c r="C7" t="s">
        <v>3555</v>
      </c>
      <c r="D7" t="s">
        <v>3565</v>
      </c>
      <c r="E7" t="s">
        <v>3566</v>
      </c>
      <c r="F7" t="s">
        <v>3562</v>
      </c>
      <c r="G7" t="s">
        <v>80</v>
      </c>
    </row>
    <row r="8" spans="1:7" ht="11.25" customHeight="1">
      <c r="A8" s="1739" t="s">
        <v>3</v>
      </c>
      <c r="B8" t="s">
        <v>87</v>
      </c>
      <c r="C8" t="s">
        <v>88</v>
      </c>
      <c r="D8" t="s">
        <v>87</v>
      </c>
      <c r="E8" t="s">
        <v>88</v>
      </c>
      <c r="F8" t="s">
        <v>3553</v>
      </c>
      <c r="G8" t="s">
        <v>81</v>
      </c>
    </row>
    <row r="9" spans="1:7" ht="11.25" customHeight="1">
      <c r="A9" s="1739" t="s">
        <v>3</v>
      </c>
      <c r="B9" t="s">
        <v>3567</v>
      </c>
      <c r="C9" t="s">
        <v>3568</v>
      </c>
      <c r="D9" t="s">
        <v>3569</v>
      </c>
      <c r="E9" t="s">
        <v>3570</v>
      </c>
      <c r="F9" t="s">
        <v>3562</v>
      </c>
      <c r="G9" t="s">
        <v>110</v>
      </c>
    </row>
    <row r="10" spans="1:7" ht="11.25" customHeight="1">
      <c r="A10" s="1739" t="s">
        <v>3</v>
      </c>
      <c r="B10" t="s">
        <v>3567</v>
      </c>
      <c r="C10" t="s">
        <v>3568</v>
      </c>
      <c r="D10" t="s">
        <v>3567</v>
      </c>
      <c r="E10" t="s">
        <v>3568</v>
      </c>
      <c r="F10" t="s">
        <v>3556</v>
      </c>
      <c r="G10" t="s">
        <v>114</v>
      </c>
    </row>
    <row r="11" spans="1:7" ht="11.25" customHeight="1">
      <c r="A11" s="1739" t="s">
        <v>3</v>
      </c>
      <c r="B11" t="s">
        <v>3567</v>
      </c>
      <c r="C11" t="s">
        <v>3568</v>
      </c>
      <c r="D11" t="s">
        <v>3571</v>
      </c>
      <c r="E11" t="s">
        <v>3572</v>
      </c>
      <c r="F11" t="s">
        <v>3559</v>
      </c>
      <c r="G11" t="s">
        <v>118</v>
      </c>
    </row>
    <row r="12" spans="1:7" ht="11.25" customHeight="1">
      <c r="A12" s="1739" t="s">
        <v>3</v>
      </c>
      <c r="B12" t="s">
        <v>3567</v>
      </c>
      <c r="C12" t="s">
        <v>3568</v>
      </c>
      <c r="D12" t="s">
        <v>3573</v>
      </c>
      <c r="E12" t="s">
        <v>3574</v>
      </c>
      <c r="F12" t="s">
        <v>3562</v>
      </c>
      <c r="G12" t="s">
        <v>122</v>
      </c>
    </row>
    <row r="13" spans="1:7" ht="11.25" customHeight="1">
      <c r="A13" s="1739" t="s">
        <v>3</v>
      </c>
      <c r="B13" t="s">
        <v>3567</v>
      </c>
      <c r="C13" t="s">
        <v>3568</v>
      </c>
      <c r="D13" t="s">
        <v>3575</v>
      </c>
      <c r="E13" t="s">
        <v>3576</v>
      </c>
      <c r="F13" t="s">
        <v>3562</v>
      </c>
      <c r="G13" t="s">
        <v>126</v>
      </c>
    </row>
    <row r="14" spans="1:7" ht="11.25" customHeight="1">
      <c r="A14" s="1739" t="s">
        <v>3</v>
      </c>
      <c r="B14" t="s">
        <v>3567</v>
      </c>
      <c r="C14" t="s">
        <v>3568</v>
      </c>
      <c r="D14" t="s">
        <v>3577</v>
      </c>
      <c r="E14" t="s">
        <v>3578</v>
      </c>
      <c r="F14" t="s">
        <v>3562</v>
      </c>
      <c r="G14" t="s">
        <v>130</v>
      </c>
    </row>
    <row r="15" spans="1:7" ht="11.25" customHeight="1">
      <c r="A15" s="1739" t="s">
        <v>3</v>
      </c>
      <c r="B15" t="s">
        <v>3567</v>
      </c>
      <c r="C15" t="s">
        <v>3568</v>
      </c>
      <c r="D15" t="s">
        <v>3579</v>
      </c>
      <c r="E15" t="s">
        <v>3580</v>
      </c>
      <c r="F15" t="s">
        <v>3562</v>
      </c>
      <c r="G15" t="s">
        <v>134</v>
      </c>
    </row>
    <row r="16" spans="1:7" ht="11.25" customHeight="1">
      <c r="A16" s="1739" t="s">
        <v>3</v>
      </c>
      <c r="B16" t="s">
        <v>3567</v>
      </c>
      <c r="C16" t="s">
        <v>3568</v>
      </c>
      <c r="D16" t="s">
        <v>3581</v>
      </c>
      <c r="E16" t="s">
        <v>3582</v>
      </c>
      <c r="F16" t="s">
        <v>3562</v>
      </c>
      <c r="G16" t="s">
        <v>138</v>
      </c>
    </row>
    <row r="17" spans="1:7" ht="11.25" customHeight="1">
      <c r="A17" s="1739" t="s">
        <v>3</v>
      </c>
      <c r="B17" t="s">
        <v>3567</v>
      </c>
      <c r="C17" t="s">
        <v>3568</v>
      </c>
      <c r="D17" t="s">
        <v>3583</v>
      </c>
      <c r="E17" t="s">
        <v>3584</v>
      </c>
      <c r="F17" t="s">
        <v>3562</v>
      </c>
      <c r="G17" t="s">
        <v>142</v>
      </c>
    </row>
    <row r="18" spans="1:7" ht="11.25" customHeight="1">
      <c r="A18" s="1739" t="s">
        <v>3</v>
      </c>
      <c r="B18" t="s">
        <v>92</v>
      </c>
      <c r="C18" t="s">
        <v>93</v>
      </c>
      <c r="D18" t="s">
        <v>92</v>
      </c>
      <c r="E18" t="s">
        <v>93</v>
      </c>
      <c r="F18" t="s">
        <v>3553</v>
      </c>
      <c r="G18" t="s">
        <v>91</v>
      </c>
    </row>
    <row r="19" spans="1:7" ht="11.25" customHeight="1">
      <c r="A19" s="1739" t="s">
        <v>3</v>
      </c>
      <c r="B19" t="s">
        <v>3585</v>
      </c>
      <c r="C19" t="s">
        <v>3586</v>
      </c>
      <c r="D19" t="s">
        <v>3585</v>
      </c>
      <c r="E19" t="s">
        <v>3586</v>
      </c>
      <c r="F19" t="s">
        <v>3556</v>
      </c>
      <c r="G19" t="s">
        <v>149</v>
      </c>
    </row>
    <row r="20" spans="1:7" ht="11.25" customHeight="1">
      <c r="A20" s="1739" t="s">
        <v>3</v>
      </c>
      <c r="B20" t="s">
        <v>3585</v>
      </c>
      <c r="C20" t="s">
        <v>3586</v>
      </c>
      <c r="D20" t="s">
        <v>3587</v>
      </c>
      <c r="E20" t="s">
        <v>3588</v>
      </c>
      <c r="F20" t="s">
        <v>3559</v>
      </c>
      <c r="G20" t="s">
        <v>153</v>
      </c>
    </row>
    <row r="21" spans="1:7" ht="11.25" customHeight="1">
      <c r="A21" s="1739" t="s">
        <v>3</v>
      </c>
      <c r="B21" t="s">
        <v>3585</v>
      </c>
      <c r="C21" t="s">
        <v>3586</v>
      </c>
      <c r="D21" t="s">
        <v>3589</v>
      </c>
      <c r="E21" t="s">
        <v>3590</v>
      </c>
      <c r="F21" t="s">
        <v>3562</v>
      </c>
      <c r="G21" t="s">
        <v>2023</v>
      </c>
    </row>
    <row r="22" spans="1:7" ht="11.25" customHeight="1">
      <c r="A22" s="1739" t="s">
        <v>3</v>
      </c>
      <c r="B22" t="s">
        <v>3585</v>
      </c>
      <c r="C22" t="s">
        <v>3586</v>
      </c>
      <c r="D22" t="s">
        <v>3591</v>
      </c>
      <c r="E22" t="s">
        <v>3592</v>
      </c>
      <c r="F22" t="s">
        <v>3562</v>
      </c>
      <c r="G22" t="s">
        <v>1400</v>
      </c>
    </row>
    <row r="23" spans="1:7" ht="11.25" customHeight="1">
      <c r="A23" s="1739" t="s">
        <v>3</v>
      </c>
      <c r="B23" t="s">
        <v>3585</v>
      </c>
      <c r="C23" t="s">
        <v>3586</v>
      </c>
      <c r="D23" t="s">
        <v>3593</v>
      </c>
      <c r="E23" t="s">
        <v>3594</v>
      </c>
      <c r="F23" t="s">
        <v>3562</v>
      </c>
      <c r="G23" t="s">
        <v>2045</v>
      </c>
    </row>
    <row r="24" spans="1:7" ht="11.25" customHeight="1">
      <c r="A24" s="1739" t="s">
        <v>3</v>
      </c>
      <c r="B24" t="s">
        <v>3595</v>
      </c>
      <c r="C24" t="s">
        <v>3596</v>
      </c>
      <c r="D24" t="s">
        <v>3595</v>
      </c>
      <c r="E24" t="s">
        <v>3596</v>
      </c>
      <c r="F24" t="s">
        <v>3553</v>
      </c>
      <c r="G24" t="s">
        <v>2053</v>
      </c>
    </row>
    <row r="25" spans="1:7" ht="11.25" customHeight="1">
      <c r="A25" s="1739" t="s">
        <v>3</v>
      </c>
      <c r="B25" t="s">
        <v>3597</v>
      </c>
      <c r="C25" t="s">
        <v>3598</v>
      </c>
      <c r="D25" t="s">
        <v>3599</v>
      </c>
      <c r="E25" t="s">
        <v>3600</v>
      </c>
      <c r="F25" t="s">
        <v>3562</v>
      </c>
      <c r="G25" t="s">
        <v>2060</v>
      </c>
    </row>
    <row r="26" spans="1:7" ht="11.25" customHeight="1">
      <c r="A26" s="1739" t="s">
        <v>3</v>
      </c>
      <c r="B26" t="s">
        <v>3597</v>
      </c>
      <c r="C26" t="s">
        <v>3598</v>
      </c>
      <c r="D26" t="s">
        <v>3597</v>
      </c>
      <c r="E26" t="s">
        <v>3598</v>
      </c>
      <c r="F26" t="s">
        <v>3556</v>
      </c>
      <c r="G26" t="s">
        <v>2064</v>
      </c>
    </row>
    <row r="27" spans="1:7" ht="11.25" customHeight="1">
      <c r="A27" s="1739" t="s">
        <v>3</v>
      </c>
      <c r="B27" t="s">
        <v>3597</v>
      </c>
      <c r="C27" t="s">
        <v>3598</v>
      </c>
      <c r="D27" t="s">
        <v>3601</v>
      </c>
      <c r="E27" t="s">
        <v>3602</v>
      </c>
      <c r="F27" t="s">
        <v>3562</v>
      </c>
      <c r="G27" t="s">
        <v>2069</v>
      </c>
    </row>
    <row r="28" spans="1:7" ht="11.25" customHeight="1">
      <c r="A28" s="1739" t="s">
        <v>3</v>
      </c>
      <c r="B28" t="s">
        <v>3597</v>
      </c>
      <c r="C28" t="s">
        <v>3598</v>
      </c>
      <c r="D28" t="s">
        <v>3603</v>
      </c>
      <c r="E28" t="s">
        <v>3604</v>
      </c>
      <c r="F28" t="s">
        <v>3562</v>
      </c>
      <c r="G28" t="s">
        <v>1392</v>
      </c>
    </row>
    <row r="29" spans="1:7" ht="11.25" customHeight="1">
      <c r="A29" s="1739" t="s">
        <v>3</v>
      </c>
      <c r="B29" t="s">
        <v>3605</v>
      </c>
      <c r="C29" t="s">
        <v>3606</v>
      </c>
      <c r="D29" t="s">
        <v>3605</v>
      </c>
      <c r="E29" t="s">
        <v>3606</v>
      </c>
      <c r="F29" t="s">
        <v>3607</v>
      </c>
      <c r="G29" t="s">
        <v>2078</v>
      </c>
    </row>
    <row r="30" spans="1:7" ht="11.25" customHeight="1">
      <c r="A30" s="1739" t="s">
        <v>3</v>
      </c>
      <c r="B30" t="s">
        <v>3608</v>
      </c>
      <c r="C30" t="s">
        <v>3609</v>
      </c>
      <c r="D30" t="s">
        <v>3608</v>
      </c>
      <c r="E30" t="s">
        <v>3609</v>
      </c>
      <c r="F30" t="s">
        <v>3607</v>
      </c>
      <c r="G30" t="s">
        <v>1352</v>
      </c>
    </row>
    <row r="31" spans="1:7" ht="11.25" customHeight="1">
      <c r="A31" s="1739" t="s">
        <v>3</v>
      </c>
      <c r="B31" t="s">
        <v>3610</v>
      </c>
      <c r="C31" t="s">
        <v>3611</v>
      </c>
      <c r="D31" t="s">
        <v>3610</v>
      </c>
      <c r="E31" t="s">
        <v>3611</v>
      </c>
      <c r="F31" t="s">
        <v>3553</v>
      </c>
      <c r="G31" t="s">
        <v>1358</v>
      </c>
    </row>
    <row r="32" spans="1:7" ht="11.25" customHeight="1">
      <c r="A32" s="1739" t="s">
        <v>3</v>
      </c>
      <c r="B32" t="s">
        <v>3612</v>
      </c>
      <c r="C32" t="s">
        <v>3613</v>
      </c>
      <c r="D32" t="s">
        <v>3614</v>
      </c>
      <c r="E32" t="s">
        <v>3615</v>
      </c>
      <c r="F32" t="s">
        <v>3562</v>
      </c>
      <c r="G32" t="s">
        <v>2087</v>
      </c>
    </row>
    <row r="33" spans="1:7" ht="11.25" customHeight="1">
      <c r="A33" s="1739" t="s">
        <v>3</v>
      </c>
      <c r="B33" t="s">
        <v>3612</v>
      </c>
      <c r="C33" t="s">
        <v>3613</v>
      </c>
      <c r="D33" t="s">
        <v>3612</v>
      </c>
      <c r="E33" t="s">
        <v>3613</v>
      </c>
      <c r="F33" t="s">
        <v>3556</v>
      </c>
      <c r="G33" t="s">
        <v>2089</v>
      </c>
    </row>
    <row r="34" spans="1:7" ht="11.25" customHeight="1">
      <c r="A34" s="1739" t="s">
        <v>3</v>
      </c>
      <c r="B34" t="s">
        <v>3612</v>
      </c>
      <c r="C34" t="s">
        <v>3613</v>
      </c>
      <c r="D34" t="s">
        <v>3616</v>
      </c>
      <c r="E34" t="s">
        <v>3617</v>
      </c>
      <c r="F34" t="s">
        <v>3559</v>
      </c>
      <c r="G34" t="s">
        <v>1366</v>
      </c>
    </row>
    <row r="35" spans="1:7" ht="11.25" customHeight="1">
      <c r="A35" s="1739" t="s">
        <v>3</v>
      </c>
      <c r="B35" t="s">
        <v>3612</v>
      </c>
      <c r="C35" t="s">
        <v>3613</v>
      </c>
      <c r="D35" t="s">
        <v>3618</v>
      </c>
      <c r="E35" t="s">
        <v>3619</v>
      </c>
      <c r="F35" t="s">
        <v>3562</v>
      </c>
      <c r="G35" t="s">
        <v>2095</v>
      </c>
    </row>
    <row r="36" spans="1:7" ht="11.25" customHeight="1">
      <c r="A36" s="1739" t="s">
        <v>3</v>
      </c>
      <c r="B36" t="s">
        <v>3612</v>
      </c>
      <c r="C36" t="s">
        <v>3613</v>
      </c>
      <c r="D36" t="s">
        <v>3620</v>
      </c>
      <c r="E36" t="s">
        <v>3621</v>
      </c>
      <c r="F36" t="s">
        <v>3622</v>
      </c>
      <c r="G36" t="s">
        <v>2100</v>
      </c>
    </row>
    <row r="37" spans="1:7" ht="11.25" customHeight="1">
      <c r="A37" s="1739" t="s">
        <v>3</v>
      </c>
      <c r="B37" t="s">
        <v>3612</v>
      </c>
      <c r="C37" t="s">
        <v>3613</v>
      </c>
      <c r="D37" t="s">
        <v>3623</v>
      </c>
      <c r="E37" t="s">
        <v>3624</v>
      </c>
      <c r="F37" t="s">
        <v>3562</v>
      </c>
      <c r="G37" t="s">
        <v>2104</v>
      </c>
    </row>
    <row r="38" spans="1:7" ht="11.25" customHeight="1">
      <c r="A38" s="1739" t="s">
        <v>3</v>
      </c>
      <c r="B38" t="s">
        <v>3612</v>
      </c>
      <c r="C38" t="s">
        <v>3613</v>
      </c>
      <c r="D38" t="s">
        <v>3625</v>
      </c>
      <c r="E38" t="s">
        <v>3626</v>
      </c>
      <c r="F38" t="s">
        <v>3562</v>
      </c>
      <c r="G38" t="s">
        <v>2112</v>
      </c>
    </row>
    <row r="39" spans="1:7" ht="11.25" customHeight="1">
      <c r="A39" s="1739" t="s">
        <v>3</v>
      </c>
      <c r="B39" t="s">
        <v>95</v>
      </c>
      <c r="C39" t="s">
        <v>96</v>
      </c>
      <c r="D39" t="s">
        <v>95</v>
      </c>
      <c r="E39" t="s">
        <v>96</v>
      </c>
      <c r="F39" t="s">
        <v>3553</v>
      </c>
      <c r="G39" t="s">
        <v>94</v>
      </c>
    </row>
    <row r="40" spans="1:7" ht="11.25" customHeight="1">
      <c r="A40" s="1739" t="s">
        <v>3</v>
      </c>
      <c r="B40" t="s">
        <v>3627</v>
      </c>
      <c r="C40" t="s">
        <v>3628</v>
      </c>
      <c r="D40" t="s">
        <v>3629</v>
      </c>
      <c r="E40" t="s">
        <v>3630</v>
      </c>
      <c r="F40" t="s">
        <v>3562</v>
      </c>
      <c r="G40" t="s">
        <v>2122</v>
      </c>
    </row>
    <row r="41" spans="1:7" ht="11.25" customHeight="1">
      <c r="A41" s="1739" t="s">
        <v>3</v>
      </c>
      <c r="B41" t="s">
        <v>3627</v>
      </c>
      <c r="C41" t="s">
        <v>3628</v>
      </c>
      <c r="D41" t="s">
        <v>3631</v>
      </c>
      <c r="E41" t="s">
        <v>3632</v>
      </c>
      <c r="F41" t="s">
        <v>3622</v>
      </c>
      <c r="G41" t="s">
        <v>2126</v>
      </c>
    </row>
    <row r="42" spans="1:7" ht="11.25" customHeight="1">
      <c r="A42" s="1739" t="s">
        <v>3</v>
      </c>
      <c r="B42" t="s">
        <v>3627</v>
      </c>
      <c r="C42" t="s">
        <v>3628</v>
      </c>
      <c r="D42" t="s">
        <v>3627</v>
      </c>
      <c r="E42" t="s">
        <v>3628</v>
      </c>
      <c r="F42" t="s">
        <v>3556</v>
      </c>
      <c r="G42" t="s">
        <v>2129</v>
      </c>
    </row>
    <row r="43" spans="1:7" ht="11.25" customHeight="1">
      <c r="A43" s="1739" t="s">
        <v>3</v>
      </c>
      <c r="B43" t="s">
        <v>3627</v>
      </c>
      <c r="C43" t="s">
        <v>3628</v>
      </c>
      <c r="D43" t="s">
        <v>3633</v>
      </c>
      <c r="E43" t="s">
        <v>3634</v>
      </c>
      <c r="F43" t="s">
        <v>3559</v>
      </c>
      <c r="G43" t="s">
        <v>2136</v>
      </c>
    </row>
    <row r="44" spans="1:7" ht="11.25" customHeight="1">
      <c r="A44" s="1739" t="s">
        <v>3</v>
      </c>
      <c r="B44" t="s">
        <v>3627</v>
      </c>
      <c r="C44" t="s">
        <v>3628</v>
      </c>
      <c r="D44" t="s">
        <v>3635</v>
      </c>
      <c r="E44" t="s">
        <v>3636</v>
      </c>
      <c r="F44" t="s">
        <v>3562</v>
      </c>
      <c r="G44" t="s">
        <v>2145</v>
      </c>
    </row>
    <row r="45" spans="1:7" ht="11.25" customHeight="1">
      <c r="A45" s="1739" t="s">
        <v>3</v>
      </c>
      <c r="B45" t="s">
        <v>3627</v>
      </c>
      <c r="C45" t="s">
        <v>3628</v>
      </c>
      <c r="D45" t="s">
        <v>3637</v>
      </c>
      <c r="E45" t="s">
        <v>3638</v>
      </c>
      <c r="F45" t="s">
        <v>3562</v>
      </c>
      <c r="G45" t="s">
        <v>2150</v>
      </c>
    </row>
    <row r="46" spans="1:7" ht="11.25" customHeight="1">
      <c r="A46" s="1739" t="s">
        <v>3</v>
      </c>
      <c r="B46" t="s">
        <v>98</v>
      </c>
      <c r="C46" t="s">
        <v>99</v>
      </c>
      <c r="D46" t="s">
        <v>98</v>
      </c>
      <c r="E46" t="s">
        <v>99</v>
      </c>
      <c r="F46" t="s">
        <v>3553</v>
      </c>
      <c r="G46" t="s">
        <v>97</v>
      </c>
    </row>
    <row r="47" spans="1:7" ht="11.25" customHeight="1">
      <c r="A47" s="1739" t="s">
        <v>3</v>
      </c>
      <c r="B47" t="s">
        <v>3639</v>
      </c>
      <c r="C47" t="s">
        <v>3640</v>
      </c>
      <c r="D47" t="s">
        <v>3641</v>
      </c>
      <c r="E47" t="s">
        <v>3642</v>
      </c>
      <c r="F47" t="s">
        <v>3562</v>
      </c>
      <c r="G47" t="s">
        <v>2158</v>
      </c>
    </row>
    <row r="48" spans="1:7" ht="11.25" customHeight="1">
      <c r="A48" s="1739" t="s">
        <v>3</v>
      </c>
      <c r="B48" t="s">
        <v>3639</v>
      </c>
      <c r="C48" t="s">
        <v>3640</v>
      </c>
      <c r="D48" t="s">
        <v>3639</v>
      </c>
      <c r="E48" t="s">
        <v>3640</v>
      </c>
      <c r="F48" t="s">
        <v>3556</v>
      </c>
      <c r="G48" t="s">
        <v>2163</v>
      </c>
    </row>
    <row r="49" spans="1:7" ht="11.25" customHeight="1">
      <c r="A49" s="1739" t="s">
        <v>3</v>
      </c>
      <c r="B49" t="s">
        <v>3639</v>
      </c>
      <c r="C49" t="s">
        <v>3640</v>
      </c>
      <c r="D49" t="s">
        <v>3643</v>
      </c>
      <c r="E49" t="s">
        <v>3644</v>
      </c>
      <c r="F49" t="s">
        <v>3559</v>
      </c>
      <c r="G49" t="s">
        <v>1375</v>
      </c>
    </row>
    <row r="50" spans="1:7" ht="11.25" customHeight="1">
      <c r="A50" s="1739" t="s">
        <v>3</v>
      </c>
      <c r="B50" t="s">
        <v>3639</v>
      </c>
      <c r="C50" t="s">
        <v>3640</v>
      </c>
      <c r="D50" t="s">
        <v>3645</v>
      </c>
      <c r="E50" t="s">
        <v>3646</v>
      </c>
      <c r="F50" t="s">
        <v>3622</v>
      </c>
      <c r="G50" t="s">
        <v>2169</v>
      </c>
    </row>
    <row r="51" spans="1:7" ht="11.25" customHeight="1">
      <c r="A51" s="1739" t="s">
        <v>3</v>
      </c>
      <c r="B51" t="s">
        <v>3639</v>
      </c>
      <c r="C51" t="s">
        <v>3640</v>
      </c>
      <c r="D51" t="s">
        <v>3647</v>
      </c>
      <c r="E51" t="s">
        <v>3648</v>
      </c>
      <c r="F51" t="s">
        <v>3562</v>
      </c>
      <c r="G51" t="s">
        <v>2174</v>
      </c>
    </row>
    <row r="52" spans="1:7" ht="11.25" customHeight="1">
      <c r="A52" s="1739" t="s">
        <v>3</v>
      </c>
      <c r="B52" t="s">
        <v>3639</v>
      </c>
      <c r="C52" t="s">
        <v>3640</v>
      </c>
      <c r="D52" t="s">
        <v>3649</v>
      </c>
      <c r="E52" t="s">
        <v>3650</v>
      </c>
      <c r="F52" t="s">
        <v>3562</v>
      </c>
      <c r="G52" t="s">
        <v>2178</v>
      </c>
    </row>
    <row r="53" spans="1:7" ht="11.25" customHeight="1">
      <c r="A53" s="1739" t="s">
        <v>3</v>
      </c>
      <c r="B53" t="s">
        <v>102</v>
      </c>
      <c r="C53" t="s">
        <v>103</v>
      </c>
      <c r="D53" t="s">
        <v>102</v>
      </c>
      <c r="E53" t="s">
        <v>103</v>
      </c>
      <c r="F53" t="s">
        <v>3553</v>
      </c>
      <c r="G53" t="s">
        <v>101</v>
      </c>
    </row>
    <row r="54" spans="1:7" ht="11.25" customHeight="1">
      <c r="A54" s="1739" t="s">
        <v>3</v>
      </c>
      <c r="B54" t="s">
        <v>3651</v>
      </c>
      <c r="C54" t="s">
        <v>3652</v>
      </c>
      <c r="D54" t="s">
        <v>3653</v>
      </c>
      <c r="E54" t="s">
        <v>3654</v>
      </c>
      <c r="F54" t="s">
        <v>3562</v>
      </c>
      <c r="G54" t="s">
        <v>2182</v>
      </c>
    </row>
    <row r="55" spans="1:7" ht="11.25" customHeight="1">
      <c r="A55" s="1739" t="s">
        <v>3</v>
      </c>
      <c r="B55" t="s">
        <v>3651</v>
      </c>
      <c r="C55" t="s">
        <v>3652</v>
      </c>
      <c r="D55" t="s">
        <v>3651</v>
      </c>
      <c r="E55" t="s">
        <v>3652</v>
      </c>
      <c r="F55" t="s">
        <v>3556</v>
      </c>
      <c r="G55" t="s">
        <v>2186</v>
      </c>
    </row>
    <row r="56" spans="1:7" ht="11.25" customHeight="1">
      <c r="A56" s="1739" t="s">
        <v>3</v>
      </c>
      <c r="B56" t="s">
        <v>3651</v>
      </c>
      <c r="C56" t="s">
        <v>3652</v>
      </c>
      <c r="D56" t="s">
        <v>3655</v>
      </c>
      <c r="E56" t="s">
        <v>3656</v>
      </c>
      <c r="F56" t="s">
        <v>3559</v>
      </c>
      <c r="G56" t="s">
        <v>2189</v>
      </c>
    </row>
    <row r="57" spans="1:7" ht="11.25" customHeight="1">
      <c r="A57" s="1739" t="s">
        <v>3</v>
      </c>
      <c r="B57" t="s">
        <v>3651</v>
      </c>
      <c r="C57" t="s">
        <v>3652</v>
      </c>
      <c r="D57" t="s">
        <v>3657</v>
      </c>
      <c r="E57" t="s">
        <v>3658</v>
      </c>
      <c r="F57" t="s">
        <v>3562</v>
      </c>
      <c r="G57" t="s">
        <v>2193</v>
      </c>
    </row>
    <row r="58" spans="1:7" ht="11.25" customHeight="1">
      <c r="A58" s="1739" t="s">
        <v>3</v>
      </c>
      <c r="B58" t="s">
        <v>3651</v>
      </c>
      <c r="C58" t="s">
        <v>3652</v>
      </c>
      <c r="D58" t="s">
        <v>3659</v>
      </c>
      <c r="E58" t="s">
        <v>3660</v>
      </c>
      <c r="F58" t="s">
        <v>3562</v>
      </c>
      <c r="G58" t="s">
        <v>2196</v>
      </c>
    </row>
    <row r="59" spans="1:7" ht="11.25" customHeight="1">
      <c r="A59" s="1739" t="s">
        <v>3</v>
      </c>
      <c r="B59" t="s">
        <v>105</v>
      </c>
      <c r="C59" t="s">
        <v>106</v>
      </c>
      <c r="D59" t="s">
        <v>105</v>
      </c>
      <c r="E59" t="s">
        <v>106</v>
      </c>
      <c r="F59" t="s">
        <v>3553</v>
      </c>
      <c r="G59" t="s">
        <v>104</v>
      </c>
    </row>
    <row r="60" spans="1:7" ht="11.25" customHeight="1">
      <c r="A60" s="1739" t="s">
        <v>3</v>
      </c>
      <c r="B60" t="s">
        <v>1527</v>
      </c>
      <c r="C60" t="s">
        <v>3661</v>
      </c>
      <c r="D60" t="s">
        <v>3662</v>
      </c>
      <c r="E60" t="s">
        <v>3663</v>
      </c>
      <c r="F60" t="s">
        <v>3562</v>
      </c>
      <c r="G60" t="s">
        <v>2202</v>
      </c>
    </row>
    <row r="61" spans="1:7" ht="11.25" customHeight="1">
      <c r="A61" s="1739" t="s">
        <v>3</v>
      </c>
      <c r="B61" t="s">
        <v>1527</v>
      </c>
      <c r="C61" t="s">
        <v>3661</v>
      </c>
      <c r="D61" t="s">
        <v>1527</v>
      </c>
      <c r="E61" t="s">
        <v>3661</v>
      </c>
      <c r="F61" t="s">
        <v>3556</v>
      </c>
      <c r="G61" t="s">
        <v>3664</v>
      </c>
    </row>
    <row r="62" spans="1:7" ht="11.25" customHeight="1">
      <c r="A62" s="1739" t="s">
        <v>3</v>
      </c>
      <c r="B62" t="s">
        <v>1527</v>
      </c>
      <c r="C62" t="s">
        <v>3661</v>
      </c>
      <c r="D62" t="s">
        <v>1528</v>
      </c>
      <c r="E62" t="s">
        <v>1529</v>
      </c>
      <c r="F62" t="s">
        <v>3562</v>
      </c>
      <c r="G62" t="s">
        <v>3665</v>
      </c>
    </row>
    <row r="63" spans="1:7" ht="11.25" customHeight="1">
      <c r="A63" s="1739" t="s">
        <v>3</v>
      </c>
      <c r="B63" t="s">
        <v>1527</v>
      </c>
      <c r="C63" t="s">
        <v>3661</v>
      </c>
      <c r="D63" t="s">
        <v>3666</v>
      </c>
      <c r="E63" t="s">
        <v>3667</v>
      </c>
      <c r="F63" t="s">
        <v>3562</v>
      </c>
      <c r="G63" t="s">
        <v>1383</v>
      </c>
    </row>
    <row r="64" spans="1:7" ht="11.25" customHeight="1">
      <c r="A64" s="1739" t="s">
        <v>3</v>
      </c>
      <c r="B64" t="s">
        <v>1527</v>
      </c>
      <c r="C64" t="s">
        <v>3661</v>
      </c>
      <c r="D64" t="s">
        <v>3668</v>
      </c>
      <c r="E64" t="s">
        <v>3669</v>
      </c>
      <c r="F64" t="s">
        <v>3562</v>
      </c>
      <c r="G64" t="s">
        <v>3670</v>
      </c>
    </row>
    <row r="65" spans="1:7" ht="11.25" customHeight="1">
      <c r="A65" s="1739" t="s">
        <v>3</v>
      </c>
      <c r="B65" t="s">
        <v>3671</v>
      </c>
      <c r="C65" t="s">
        <v>3672</v>
      </c>
      <c r="D65" t="s">
        <v>3671</v>
      </c>
      <c r="E65" t="s">
        <v>3672</v>
      </c>
      <c r="F65" t="s">
        <v>3553</v>
      </c>
      <c r="G65" t="s">
        <v>3673</v>
      </c>
    </row>
    <row r="66" spans="1:7" ht="11.25" customHeight="1">
      <c r="A66" s="1739" t="s">
        <v>3</v>
      </c>
      <c r="B66" t="s">
        <v>3674</v>
      </c>
      <c r="C66" t="s">
        <v>3675</v>
      </c>
      <c r="D66" t="s">
        <v>3676</v>
      </c>
      <c r="E66" t="s">
        <v>3677</v>
      </c>
      <c r="F66" t="s">
        <v>3562</v>
      </c>
      <c r="G66" t="s">
        <v>3678</v>
      </c>
    </row>
    <row r="67" spans="1:7" ht="11.25" customHeight="1">
      <c r="A67" s="1739" t="s">
        <v>3</v>
      </c>
      <c r="B67" t="s">
        <v>3674</v>
      </c>
      <c r="C67" t="s">
        <v>3675</v>
      </c>
      <c r="D67" t="s">
        <v>3674</v>
      </c>
      <c r="E67" t="s">
        <v>3675</v>
      </c>
      <c r="F67" t="s">
        <v>3556</v>
      </c>
      <c r="G67" t="s">
        <v>2513</v>
      </c>
    </row>
    <row r="68" spans="1:7" ht="11.25" customHeight="1">
      <c r="A68" s="1739" t="s">
        <v>3</v>
      </c>
      <c r="B68" t="s">
        <v>3674</v>
      </c>
      <c r="C68" t="s">
        <v>3675</v>
      </c>
      <c r="D68" t="s">
        <v>3679</v>
      </c>
      <c r="E68" t="s">
        <v>3680</v>
      </c>
      <c r="F68" t="s">
        <v>3622</v>
      </c>
      <c r="G68" t="s">
        <v>3681</v>
      </c>
    </row>
    <row r="69" spans="1:7" ht="11.25" customHeight="1">
      <c r="A69" s="1739" t="s">
        <v>3</v>
      </c>
      <c r="B69" t="s">
        <v>3674</v>
      </c>
      <c r="C69" t="s">
        <v>3675</v>
      </c>
      <c r="D69" t="s">
        <v>3682</v>
      </c>
      <c r="E69" t="s">
        <v>3683</v>
      </c>
      <c r="F69" t="s">
        <v>3562</v>
      </c>
      <c r="G69" t="s">
        <v>2713</v>
      </c>
    </row>
    <row r="70" spans="1:7" ht="11.25" customHeight="1">
      <c r="A70" s="1739" t="s">
        <v>3</v>
      </c>
      <c r="B70" t="s">
        <v>3674</v>
      </c>
      <c r="C70" t="s">
        <v>3675</v>
      </c>
      <c r="D70" t="s">
        <v>3684</v>
      </c>
      <c r="E70" t="s">
        <v>3685</v>
      </c>
      <c r="F70" t="s">
        <v>3562</v>
      </c>
      <c r="G70" t="s">
        <v>3686</v>
      </c>
    </row>
    <row r="71" spans="1:7" ht="11.25" customHeight="1">
      <c r="A71" s="1739" t="s">
        <v>3</v>
      </c>
      <c r="B71" t="s">
        <v>108</v>
      </c>
      <c r="C71" t="s">
        <v>109</v>
      </c>
      <c r="D71" t="s">
        <v>108</v>
      </c>
      <c r="E71" t="s">
        <v>109</v>
      </c>
      <c r="F71" t="s">
        <v>3553</v>
      </c>
      <c r="G71" t="s">
        <v>107</v>
      </c>
    </row>
    <row r="72" spans="1:7" ht="11.25" customHeight="1">
      <c r="A72" s="1739" t="s">
        <v>3</v>
      </c>
      <c r="B72" t="s">
        <v>3687</v>
      </c>
      <c r="C72" t="s">
        <v>3688</v>
      </c>
      <c r="D72" t="s">
        <v>3689</v>
      </c>
      <c r="E72" t="s">
        <v>3690</v>
      </c>
      <c r="F72" t="s">
        <v>3562</v>
      </c>
      <c r="G72" t="s">
        <v>3691</v>
      </c>
    </row>
    <row r="73" spans="1:7" ht="11.25" customHeight="1">
      <c r="A73" s="1739" t="s">
        <v>3</v>
      </c>
      <c r="B73" t="s">
        <v>3687</v>
      </c>
      <c r="C73" t="s">
        <v>3688</v>
      </c>
      <c r="D73" t="s">
        <v>3687</v>
      </c>
      <c r="E73" t="s">
        <v>3688</v>
      </c>
      <c r="F73" t="s">
        <v>3556</v>
      </c>
      <c r="G73" t="s">
        <v>3692</v>
      </c>
    </row>
    <row r="74" spans="1:7" ht="11.25" customHeight="1">
      <c r="A74" s="1739" t="s">
        <v>3</v>
      </c>
      <c r="B74" t="s">
        <v>3687</v>
      </c>
      <c r="C74" t="s">
        <v>3688</v>
      </c>
      <c r="D74" t="s">
        <v>3693</v>
      </c>
      <c r="E74" t="s">
        <v>3694</v>
      </c>
      <c r="F74" t="s">
        <v>3622</v>
      </c>
      <c r="G74" t="s">
        <v>3695</v>
      </c>
    </row>
    <row r="75" spans="1:7" ht="11.25" customHeight="1">
      <c r="A75" s="1739" t="s">
        <v>3</v>
      </c>
      <c r="B75" t="s">
        <v>3687</v>
      </c>
      <c r="C75" t="s">
        <v>3688</v>
      </c>
      <c r="D75" t="s">
        <v>3696</v>
      </c>
      <c r="E75" t="s">
        <v>3697</v>
      </c>
      <c r="F75" t="s">
        <v>3562</v>
      </c>
      <c r="G75" t="s">
        <v>3698</v>
      </c>
    </row>
    <row r="76" spans="1:7" ht="11.25" customHeight="1">
      <c r="A76" s="1739" t="s">
        <v>3</v>
      </c>
      <c r="B76" t="s">
        <v>3687</v>
      </c>
      <c r="C76" t="s">
        <v>3688</v>
      </c>
      <c r="D76" t="s">
        <v>3699</v>
      </c>
      <c r="E76" t="s">
        <v>3700</v>
      </c>
      <c r="F76" t="s">
        <v>3562</v>
      </c>
      <c r="G76" t="s">
        <v>3701</v>
      </c>
    </row>
    <row r="77" spans="1:7" ht="11.25" customHeight="1">
      <c r="A77" s="1739" t="s">
        <v>3</v>
      </c>
      <c r="B77" t="s">
        <v>112</v>
      </c>
      <c r="C77" t="s">
        <v>113</v>
      </c>
      <c r="D77" t="s">
        <v>112</v>
      </c>
      <c r="E77" t="s">
        <v>113</v>
      </c>
      <c r="F77" t="s">
        <v>3553</v>
      </c>
      <c r="G77" t="s">
        <v>111</v>
      </c>
    </row>
    <row r="78" spans="1:7" ht="11.25" customHeight="1">
      <c r="A78" s="1739" t="s">
        <v>3</v>
      </c>
      <c r="B78" t="s">
        <v>3702</v>
      </c>
      <c r="C78" t="s">
        <v>3703</v>
      </c>
      <c r="D78" t="s">
        <v>3704</v>
      </c>
      <c r="E78" t="s">
        <v>3705</v>
      </c>
      <c r="F78" t="s">
        <v>3562</v>
      </c>
      <c r="G78" t="s">
        <v>3706</v>
      </c>
    </row>
    <row r="79" spans="1:7" ht="11.25" customHeight="1">
      <c r="A79" s="1739" t="s">
        <v>3</v>
      </c>
      <c r="B79" t="s">
        <v>3702</v>
      </c>
      <c r="C79" t="s">
        <v>3703</v>
      </c>
      <c r="D79" t="s">
        <v>3707</v>
      </c>
      <c r="E79" t="s">
        <v>3708</v>
      </c>
      <c r="F79" t="s">
        <v>3562</v>
      </c>
      <c r="G79" t="s">
        <v>3709</v>
      </c>
    </row>
    <row r="80" spans="1:7" ht="11.25" customHeight="1">
      <c r="A80" s="1739" t="s">
        <v>3</v>
      </c>
      <c r="B80" t="s">
        <v>3702</v>
      </c>
      <c r="C80" t="s">
        <v>3703</v>
      </c>
      <c r="D80" t="s">
        <v>3710</v>
      </c>
      <c r="E80" t="s">
        <v>3711</v>
      </c>
      <c r="F80" t="s">
        <v>3562</v>
      </c>
      <c r="G80" t="s">
        <v>3712</v>
      </c>
    </row>
    <row r="81" spans="1:7" ht="11.25" customHeight="1">
      <c r="A81" s="1739" t="s">
        <v>3</v>
      </c>
      <c r="B81" t="s">
        <v>3702</v>
      </c>
      <c r="C81" t="s">
        <v>3703</v>
      </c>
      <c r="D81" t="s">
        <v>3713</v>
      </c>
      <c r="E81" t="s">
        <v>3714</v>
      </c>
      <c r="F81" t="s">
        <v>3622</v>
      </c>
      <c r="G81" t="s">
        <v>3715</v>
      </c>
    </row>
    <row r="82" spans="1:7" ht="11.25" customHeight="1">
      <c r="A82" s="1739" t="s">
        <v>3</v>
      </c>
      <c r="B82" t="s">
        <v>3702</v>
      </c>
      <c r="C82" t="s">
        <v>3703</v>
      </c>
      <c r="D82" t="s">
        <v>3702</v>
      </c>
      <c r="E82" t="s">
        <v>3703</v>
      </c>
      <c r="F82" t="s">
        <v>3556</v>
      </c>
      <c r="G82" t="s">
        <v>3716</v>
      </c>
    </row>
    <row r="83" spans="1:7" ht="11.25" customHeight="1">
      <c r="A83" s="1739" t="s">
        <v>3</v>
      </c>
      <c r="B83" t="s">
        <v>3702</v>
      </c>
      <c r="C83" t="s">
        <v>3703</v>
      </c>
      <c r="D83" t="s">
        <v>3717</v>
      </c>
      <c r="E83" t="s">
        <v>3718</v>
      </c>
      <c r="F83" t="s">
        <v>3562</v>
      </c>
      <c r="G83" t="s">
        <v>3719</v>
      </c>
    </row>
    <row r="84" spans="1:7" ht="11.25" customHeight="1">
      <c r="A84" s="1739" t="s">
        <v>3</v>
      </c>
      <c r="B84" t="s">
        <v>3702</v>
      </c>
      <c r="C84" t="s">
        <v>3703</v>
      </c>
      <c r="D84" t="s">
        <v>3720</v>
      </c>
      <c r="E84" t="s">
        <v>3721</v>
      </c>
      <c r="F84" t="s">
        <v>3562</v>
      </c>
      <c r="G84" t="s">
        <v>3722</v>
      </c>
    </row>
    <row r="85" spans="1:7" ht="11.25" customHeight="1">
      <c r="A85" s="1739" t="s">
        <v>3</v>
      </c>
      <c r="B85" t="s">
        <v>3702</v>
      </c>
      <c r="C85" t="s">
        <v>3703</v>
      </c>
      <c r="D85" t="s">
        <v>3723</v>
      </c>
      <c r="E85" t="s">
        <v>3724</v>
      </c>
      <c r="F85" t="s">
        <v>3562</v>
      </c>
      <c r="G85" t="s">
        <v>3725</v>
      </c>
    </row>
    <row r="86" spans="1:7" ht="11.25" customHeight="1">
      <c r="A86" s="1739" t="s">
        <v>3</v>
      </c>
      <c r="B86" t="s">
        <v>116</v>
      </c>
      <c r="C86" t="s">
        <v>117</v>
      </c>
      <c r="D86" t="s">
        <v>116</v>
      </c>
      <c r="E86" t="s">
        <v>117</v>
      </c>
      <c r="F86" t="s">
        <v>3553</v>
      </c>
      <c r="G86" t="s">
        <v>115</v>
      </c>
    </row>
    <row r="87" spans="1:7" ht="11.25" customHeight="1">
      <c r="A87" s="1739" t="s">
        <v>3</v>
      </c>
      <c r="B87" t="s">
        <v>3726</v>
      </c>
      <c r="C87" t="s">
        <v>3727</v>
      </c>
      <c r="D87" t="s">
        <v>3728</v>
      </c>
      <c r="E87" t="s">
        <v>3729</v>
      </c>
      <c r="F87" t="s">
        <v>3562</v>
      </c>
      <c r="G87" t="s">
        <v>3730</v>
      </c>
    </row>
    <row r="88" spans="1:7" ht="11.25" customHeight="1">
      <c r="A88" s="1739" t="s">
        <v>3</v>
      </c>
      <c r="B88" t="s">
        <v>3726</v>
      </c>
      <c r="C88" t="s">
        <v>3727</v>
      </c>
      <c r="D88" t="s">
        <v>3731</v>
      </c>
      <c r="E88" t="s">
        <v>3732</v>
      </c>
      <c r="F88" t="s">
        <v>3562</v>
      </c>
      <c r="G88" t="s">
        <v>3733</v>
      </c>
    </row>
    <row r="89" spans="1:7" ht="11.25" customHeight="1">
      <c r="A89" s="1739" t="s">
        <v>3</v>
      </c>
      <c r="B89" t="s">
        <v>3726</v>
      </c>
      <c r="C89" t="s">
        <v>3727</v>
      </c>
      <c r="D89" t="s">
        <v>3734</v>
      </c>
      <c r="E89" t="s">
        <v>3735</v>
      </c>
      <c r="F89" t="s">
        <v>3562</v>
      </c>
      <c r="G89" t="s">
        <v>3736</v>
      </c>
    </row>
    <row r="90" spans="1:7" ht="11.25" customHeight="1">
      <c r="A90" s="1739" t="s">
        <v>3</v>
      </c>
      <c r="B90" t="s">
        <v>3726</v>
      </c>
      <c r="C90" t="s">
        <v>3727</v>
      </c>
      <c r="D90" t="s">
        <v>3726</v>
      </c>
      <c r="E90" t="s">
        <v>3727</v>
      </c>
      <c r="F90" t="s">
        <v>3556</v>
      </c>
      <c r="G90" t="s">
        <v>3737</v>
      </c>
    </row>
    <row r="91" spans="1:7" ht="11.25" customHeight="1">
      <c r="A91" s="1739" t="s">
        <v>3</v>
      </c>
      <c r="B91" t="s">
        <v>3726</v>
      </c>
      <c r="C91" t="s">
        <v>3727</v>
      </c>
      <c r="D91" t="s">
        <v>3738</v>
      </c>
      <c r="E91" t="s">
        <v>3739</v>
      </c>
      <c r="F91" t="s">
        <v>3562</v>
      </c>
      <c r="G91" t="s">
        <v>3740</v>
      </c>
    </row>
    <row r="92" spans="1:7" ht="11.25" customHeight="1">
      <c r="A92" s="1739" t="s">
        <v>3</v>
      </c>
      <c r="B92" t="s">
        <v>3726</v>
      </c>
      <c r="C92" t="s">
        <v>3727</v>
      </c>
      <c r="D92" t="s">
        <v>3741</v>
      </c>
      <c r="E92" t="s">
        <v>3742</v>
      </c>
      <c r="F92" t="s">
        <v>3562</v>
      </c>
      <c r="G92" t="s">
        <v>3743</v>
      </c>
    </row>
    <row r="93" spans="1:7" ht="11.25" customHeight="1">
      <c r="A93" s="1739" t="s">
        <v>3</v>
      </c>
      <c r="B93" t="s">
        <v>120</v>
      </c>
      <c r="C93" t="s">
        <v>121</v>
      </c>
      <c r="D93" t="s">
        <v>120</v>
      </c>
      <c r="E93" t="s">
        <v>121</v>
      </c>
      <c r="F93" t="s">
        <v>3553</v>
      </c>
      <c r="G93" t="s">
        <v>119</v>
      </c>
    </row>
    <row r="94" spans="1:7" ht="11.25" customHeight="1">
      <c r="A94" s="1739" t="s">
        <v>3</v>
      </c>
      <c r="B94" t="s">
        <v>1508</v>
      </c>
      <c r="C94" t="s">
        <v>3744</v>
      </c>
      <c r="D94" t="s">
        <v>3745</v>
      </c>
      <c r="E94" t="s">
        <v>3746</v>
      </c>
      <c r="F94" t="s">
        <v>3562</v>
      </c>
      <c r="G94" t="s">
        <v>3747</v>
      </c>
    </row>
    <row r="95" spans="1:7" ht="11.25" customHeight="1">
      <c r="A95" s="1739" t="s">
        <v>3</v>
      </c>
      <c r="B95" t="s">
        <v>1508</v>
      </c>
      <c r="C95" t="s">
        <v>3744</v>
      </c>
      <c r="D95" t="s">
        <v>3748</v>
      </c>
      <c r="E95" t="s">
        <v>3749</v>
      </c>
      <c r="F95" t="s">
        <v>3562</v>
      </c>
      <c r="G95" t="s">
        <v>3750</v>
      </c>
    </row>
    <row r="96" spans="1:7" ht="11.25" customHeight="1">
      <c r="A96" s="1739" t="s">
        <v>3</v>
      </c>
      <c r="B96" t="s">
        <v>1508</v>
      </c>
      <c r="C96" t="s">
        <v>3744</v>
      </c>
      <c r="D96" t="s">
        <v>1508</v>
      </c>
      <c r="E96" t="s">
        <v>3744</v>
      </c>
      <c r="F96" t="s">
        <v>3556</v>
      </c>
      <c r="G96" t="s">
        <v>3751</v>
      </c>
    </row>
    <row r="97" spans="1:7" ht="11.25" customHeight="1">
      <c r="A97" s="1739" t="s">
        <v>3</v>
      </c>
      <c r="B97" t="s">
        <v>1508</v>
      </c>
      <c r="C97" t="s">
        <v>3744</v>
      </c>
      <c r="D97" t="s">
        <v>1509</v>
      </c>
      <c r="E97" t="s">
        <v>1510</v>
      </c>
      <c r="F97" t="s">
        <v>3559</v>
      </c>
      <c r="G97" t="s">
        <v>3752</v>
      </c>
    </row>
    <row r="98" spans="1:7" ht="11.25" customHeight="1">
      <c r="A98" s="1739" t="s">
        <v>3</v>
      </c>
      <c r="B98" t="s">
        <v>1508</v>
      </c>
      <c r="C98" t="s">
        <v>3744</v>
      </c>
      <c r="D98" t="s">
        <v>3753</v>
      </c>
      <c r="E98" t="s">
        <v>3754</v>
      </c>
      <c r="F98" t="s">
        <v>3562</v>
      </c>
      <c r="G98" t="s">
        <v>3755</v>
      </c>
    </row>
    <row r="99" spans="1:7" ht="11.25" customHeight="1">
      <c r="A99" s="1739" t="s">
        <v>3</v>
      </c>
      <c r="B99" t="s">
        <v>1508</v>
      </c>
      <c r="C99" t="s">
        <v>3744</v>
      </c>
      <c r="D99" t="s">
        <v>3756</v>
      </c>
      <c r="E99" t="s">
        <v>3757</v>
      </c>
      <c r="F99" t="s">
        <v>3562</v>
      </c>
      <c r="G99" t="s">
        <v>3758</v>
      </c>
    </row>
    <row r="100" spans="1:7" ht="11.25" customHeight="1">
      <c r="A100" s="1739" t="s">
        <v>3</v>
      </c>
      <c r="B100" t="s">
        <v>1508</v>
      </c>
      <c r="C100" t="s">
        <v>3744</v>
      </c>
      <c r="D100" t="s">
        <v>3759</v>
      </c>
      <c r="E100" t="s">
        <v>3760</v>
      </c>
      <c r="F100" t="s">
        <v>3562</v>
      </c>
      <c r="G100" t="s">
        <v>3761</v>
      </c>
    </row>
    <row r="101" spans="1:7" ht="11.25" customHeight="1">
      <c r="A101" s="1739" t="s">
        <v>3</v>
      </c>
      <c r="B101" t="s">
        <v>124</v>
      </c>
      <c r="C101" t="s">
        <v>125</v>
      </c>
      <c r="D101" t="s">
        <v>124</v>
      </c>
      <c r="E101" t="s">
        <v>125</v>
      </c>
      <c r="F101" t="s">
        <v>3553</v>
      </c>
      <c r="G101" t="s">
        <v>123</v>
      </c>
    </row>
    <row r="102" spans="1:7" ht="11.25" customHeight="1">
      <c r="A102" s="1739" t="s">
        <v>3</v>
      </c>
      <c r="B102" t="s">
        <v>3762</v>
      </c>
      <c r="C102" t="s">
        <v>3763</v>
      </c>
      <c r="D102" t="s">
        <v>3764</v>
      </c>
      <c r="E102" t="s">
        <v>3765</v>
      </c>
      <c r="F102" t="s">
        <v>3562</v>
      </c>
      <c r="G102" t="s">
        <v>3766</v>
      </c>
    </row>
    <row r="103" spans="1:7" ht="11.25" customHeight="1">
      <c r="A103" s="1739" t="s">
        <v>3</v>
      </c>
      <c r="B103" t="s">
        <v>3762</v>
      </c>
      <c r="C103" t="s">
        <v>3763</v>
      </c>
      <c r="D103" t="s">
        <v>3767</v>
      </c>
      <c r="E103" t="s">
        <v>3768</v>
      </c>
      <c r="F103" t="s">
        <v>3562</v>
      </c>
      <c r="G103" t="s">
        <v>3769</v>
      </c>
    </row>
    <row r="104" spans="1:7" ht="11.25" customHeight="1">
      <c r="A104" s="1739" t="s">
        <v>3</v>
      </c>
      <c r="B104" t="s">
        <v>3762</v>
      </c>
      <c r="C104" t="s">
        <v>3763</v>
      </c>
      <c r="D104" t="s">
        <v>3770</v>
      </c>
      <c r="E104" t="s">
        <v>3771</v>
      </c>
      <c r="F104" t="s">
        <v>3562</v>
      </c>
      <c r="G104" t="s">
        <v>3772</v>
      </c>
    </row>
    <row r="105" spans="1:7" ht="11.25" customHeight="1">
      <c r="A105" s="1739" t="s">
        <v>3</v>
      </c>
      <c r="B105" t="s">
        <v>3762</v>
      </c>
      <c r="C105" t="s">
        <v>3763</v>
      </c>
      <c r="D105" t="s">
        <v>3773</v>
      </c>
      <c r="E105" t="s">
        <v>3774</v>
      </c>
      <c r="F105" t="s">
        <v>3562</v>
      </c>
      <c r="G105" t="s">
        <v>3775</v>
      </c>
    </row>
    <row r="106" spans="1:7" ht="11.25" customHeight="1">
      <c r="A106" s="1739" t="s">
        <v>3</v>
      </c>
      <c r="B106" t="s">
        <v>3762</v>
      </c>
      <c r="C106" t="s">
        <v>3763</v>
      </c>
      <c r="D106" t="s">
        <v>3776</v>
      </c>
      <c r="E106" t="s">
        <v>3777</v>
      </c>
      <c r="F106" t="s">
        <v>3562</v>
      </c>
      <c r="G106" t="s">
        <v>3778</v>
      </c>
    </row>
    <row r="107" spans="1:7" ht="11.25" customHeight="1">
      <c r="A107" s="1739" t="s">
        <v>3</v>
      </c>
      <c r="B107" t="s">
        <v>3762</v>
      </c>
      <c r="C107" t="s">
        <v>3763</v>
      </c>
      <c r="D107" t="s">
        <v>3779</v>
      </c>
      <c r="E107" t="s">
        <v>3780</v>
      </c>
      <c r="F107" t="s">
        <v>3562</v>
      </c>
      <c r="G107" t="s">
        <v>3781</v>
      </c>
    </row>
    <row r="108" spans="1:7" ht="11.25" customHeight="1">
      <c r="A108" s="1739" t="s">
        <v>3</v>
      </c>
      <c r="B108" t="s">
        <v>3762</v>
      </c>
      <c r="C108" t="s">
        <v>3763</v>
      </c>
      <c r="D108" t="s">
        <v>3782</v>
      </c>
      <c r="E108" t="s">
        <v>3783</v>
      </c>
      <c r="F108" t="s">
        <v>3562</v>
      </c>
      <c r="G108" t="s">
        <v>3784</v>
      </c>
    </row>
    <row r="109" spans="1:7" ht="11.25" customHeight="1">
      <c r="A109" s="1739" t="s">
        <v>3</v>
      </c>
      <c r="B109" t="s">
        <v>3762</v>
      </c>
      <c r="C109" t="s">
        <v>3763</v>
      </c>
      <c r="D109" t="s">
        <v>3785</v>
      </c>
      <c r="E109" t="s">
        <v>3786</v>
      </c>
      <c r="F109" t="s">
        <v>3562</v>
      </c>
      <c r="G109" t="s">
        <v>3787</v>
      </c>
    </row>
    <row r="110" spans="1:7" ht="11.25" customHeight="1">
      <c r="A110" s="1739" t="s">
        <v>3</v>
      </c>
      <c r="B110" t="s">
        <v>3762</v>
      </c>
      <c r="C110" t="s">
        <v>3763</v>
      </c>
      <c r="D110" t="s">
        <v>3762</v>
      </c>
      <c r="E110" t="s">
        <v>3763</v>
      </c>
      <c r="F110" t="s">
        <v>3556</v>
      </c>
      <c r="G110" t="s">
        <v>3788</v>
      </c>
    </row>
    <row r="111" spans="1:7" ht="11.25" customHeight="1">
      <c r="A111" s="1739" t="s">
        <v>3</v>
      </c>
      <c r="B111" t="s">
        <v>3762</v>
      </c>
      <c r="C111" t="s">
        <v>3763</v>
      </c>
      <c r="D111" t="s">
        <v>3789</v>
      </c>
      <c r="E111" t="s">
        <v>3790</v>
      </c>
      <c r="F111" t="s">
        <v>3559</v>
      </c>
      <c r="G111" t="s">
        <v>3791</v>
      </c>
    </row>
    <row r="112" spans="1:7" ht="11.25" customHeight="1">
      <c r="A112" s="1739" t="s">
        <v>3</v>
      </c>
      <c r="B112" t="s">
        <v>3762</v>
      </c>
      <c r="C112" t="s">
        <v>3763</v>
      </c>
      <c r="D112" t="s">
        <v>3792</v>
      </c>
      <c r="E112" t="s">
        <v>3793</v>
      </c>
      <c r="F112" t="s">
        <v>3562</v>
      </c>
      <c r="G112" t="s">
        <v>3794</v>
      </c>
    </row>
    <row r="113" spans="1:7" ht="11.25" customHeight="1">
      <c r="A113" s="1739" t="s">
        <v>3</v>
      </c>
      <c r="B113" t="s">
        <v>128</v>
      </c>
      <c r="C113" t="s">
        <v>129</v>
      </c>
      <c r="D113" t="s">
        <v>128</v>
      </c>
      <c r="E113" t="s">
        <v>129</v>
      </c>
      <c r="F113" t="s">
        <v>3553</v>
      </c>
      <c r="G113" t="s">
        <v>127</v>
      </c>
    </row>
    <row r="114" spans="1:7" ht="11.25" customHeight="1">
      <c r="A114" s="1739" t="s">
        <v>3</v>
      </c>
      <c r="B114" t="s">
        <v>3795</v>
      </c>
      <c r="C114" t="s">
        <v>3796</v>
      </c>
      <c r="D114" t="s">
        <v>3797</v>
      </c>
      <c r="E114" t="s">
        <v>3798</v>
      </c>
      <c r="F114" t="s">
        <v>3622</v>
      </c>
      <c r="G114" t="s">
        <v>3799</v>
      </c>
    </row>
    <row r="115" spans="1:7" ht="11.25" customHeight="1">
      <c r="A115" s="1739" t="s">
        <v>3</v>
      </c>
      <c r="B115" t="s">
        <v>3795</v>
      </c>
      <c r="C115" t="s">
        <v>3796</v>
      </c>
      <c r="D115" t="s">
        <v>3800</v>
      </c>
      <c r="E115" t="s">
        <v>3801</v>
      </c>
      <c r="F115" t="s">
        <v>3562</v>
      </c>
      <c r="G115" t="s">
        <v>3802</v>
      </c>
    </row>
    <row r="116" spans="1:7" ht="11.25" customHeight="1">
      <c r="A116" s="1739" t="s">
        <v>3</v>
      </c>
      <c r="B116" t="s">
        <v>3795</v>
      </c>
      <c r="C116" t="s">
        <v>3796</v>
      </c>
      <c r="D116" t="s">
        <v>3803</v>
      </c>
      <c r="E116" t="s">
        <v>3804</v>
      </c>
      <c r="F116" t="s">
        <v>3562</v>
      </c>
      <c r="G116" t="s">
        <v>3805</v>
      </c>
    </row>
    <row r="117" spans="1:7" ht="11.25" customHeight="1">
      <c r="A117" s="1739" t="s">
        <v>3</v>
      </c>
      <c r="B117" t="s">
        <v>3795</v>
      </c>
      <c r="C117" t="s">
        <v>3796</v>
      </c>
      <c r="D117" t="s">
        <v>3806</v>
      </c>
      <c r="E117" t="s">
        <v>3807</v>
      </c>
      <c r="F117" t="s">
        <v>3562</v>
      </c>
      <c r="G117" t="s">
        <v>3808</v>
      </c>
    </row>
    <row r="118" spans="1:7" ht="11.25" customHeight="1">
      <c r="A118" s="1739" t="s">
        <v>3</v>
      </c>
      <c r="B118" t="s">
        <v>3795</v>
      </c>
      <c r="C118" t="s">
        <v>3796</v>
      </c>
      <c r="D118" t="s">
        <v>3795</v>
      </c>
      <c r="E118" t="s">
        <v>3796</v>
      </c>
      <c r="F118" t="s">
        <v>3556</v>
      </c>
      <c r="G118" t="s">
        <v>3809</v>
      </c>
    </row>
    <row r="119" spans="1:7" ht="11.25" customHeight="1">
      <c r="A119" s="1739" t="s">
        <v>3</v>
      </c>
      <c r="B119" t="s">
        <v>3795</v>
      </c>
      <c r="C119" t="s">
        <v>3796</v>
      </c>
      <c r="D119" t="s">
        <v>3810</v>
      </c>
      <c r="E119" t="s">
        <v>3811</v>
      </c>
      <c r="F119" t="s">
        <v>3559</v>
      </c>
      <c r="G119" t="s">
        <v>3812</v>
      </c>
    </row>
    <row r="120" spans="1:7" ht="11.25" customHeight="1">
      <c r="A120" s="1739" t="s">
        <v>3</v>
      </c>
      <c r="B120" t="s">
        <v>3795</v>
      </c>
      <c r="C120" t="s">
        <v>3796</v>
      </c>
      <c r="D120" t="s">
        <v>3813</v>
      </c>
      <c r="E120" t="s">
        <v>3814</v>
      </c>
      <c r="F120" t="s">
        <v>3562</v>
      </c>
      <c r="G120" t="s">
        <v>3815</v>
      </c>
    </row>
    <row r="121" spans="1:7" ht="11.25" customHeight="1">
      <c r="A121" s="1739" t="s">
        <v>3</v>
      </c>
      <c r="B121" t="s">
        <v>132</v>
      </c>
      <c r="C121" t="s">
        <v>133</v>
      </c>
      <c r="D121" t="s">
        <v>132</v>
      </c>
      <c r="E121" t="s">
        <v>133</v>
      </c>
      <c r="F121" t="s">
        <v>3553</v>
      </c>
      <c r="G121" t="s">
        <v>131</v>
      </c>
    </row>
    <row r="122" spans="1:7" ht="11.25" customHeight="1">
      <c r="A122" s="1739" t="s">
        <v>3</v>
      </c>
      <c r="B122" t="s">
        <v>3816</v>
      </c>
      <c r="C122" t="s">
        <v>3817</v>
      </c>
      <c r="D122" t="s">
        <v>3818</v>
      </c>
      <c r="E122" t="s">
        <v>3819</v>
      </c>
      <c r="F122" t="s">
        <v>3562</v>
      </c>
      <c r="G122" t="s">
        <v>3820</v>
      </c>
    </row>
    <row r="123" spans="1:7" ht="11.25" customHeight="1">
      <c r="A123" s="1739" t="s">
        <v>3</v>
      </c>
      <c r="B123" t="s">
        <v>3816</v>
      </c>
      <c r="C123" t="s">
        <v>3817</v>
      </c>
      <c r="D123" t="s">
        <v>3821</v>
      </c>
      <c r="E123" t="s">
        <v>3822</v>
      </c>
      <c r="F123" t="s">
        <v>3562</v>
      </c>
      <c r="G123" t="s">
        <v>3823</v>
      </c>
    </row>
    <row r="124" spans="1:7" ht="11.25" customHeight="1">
      <c r="A124" s="1739" t="s">
        <v>3</v>
      </c>
      <c r="B124" t="s">
        <v>3816</v>
      </c>
      <c r="C124" t="s">
        <v>3817</v>
      </c>
      <c r="D124" t="s">
        <v>3824</v>
      </c>
      <c r="E124" t="s">
        <v>3825</v>
      </c>
      <c r="F124" t="s">
        <v>3562</v>
      </c>
      <c r="G124" t="s">
        <v>3826</v>
      </c>
    </row>
    <row r="125" spans="1:7" ht="11.25" customHeight="1">
      <c r="A125" s="1739" t="s">
        <v>3</v>
      </c>
      <c r="B125" t="s">
        <v>3816</v>
      </c>
      <c r="C125" t="s">
        <v>3817</v>
      </c>
      <c r="D125" t="s">
        <v>3827</v>
      </c>
      <c r="E125" t="s">
        <v>3828</v>
      </c>
      <c r="F125" t="s">
        <v>3562</v>
      </c>
      <c r="G125" t="s">
        <v>3829</v>
      </c>
    </row>
    <row r="126" spans="1:7" ht="11.25" customHeight="1">
      <c r="A126" s="1739" t="s">
        <v>3</v>
      </c>
      <c r="B126" t="s">
        <v>3816</v>
      </c>
      <c r="C126" t="s">
        <v>3817</v>
      </c>
      <c r="D126" t="s">
        <v>3830</v>
      </c>
      <c r="E126" t="s">
        <v>3831</v>
      </c>
      <c r="F126" t="s">
        <v>3562</v>
      </c>
      <c r="G126" t="s">
        <v>3832</v>
      </c>
    </row>
    <row r="127" spans="1:7" ht="11.25" customHeight="1">
      <c r="A127" s="1739" t="s">
        <v>3</v>
      </c>
      <c r="B127" t="s">
        <v>3816</v>
      </c>
      <c r="C127" t="s">
        <v>3817</v>
      </c>
      <c r="D127" t="s">
        <v>3833</v>
      </c>
      <c r="E127" t="s">
        <v>3834</v>
      </c>
      <c r="F127" t="s">
        <v>3562</v>
      </c>
      <c r="G127" t="s">
        <v>3835</v>
      </c>
    </row>
    <row r="128" spans="1:7" ht="11.25" customHeight="1">
      <c r="A128" s="1739" t="s">
        <v>3</v>
      </c>
      <c r="B128" t="s">
        <v>3816</v>
      </c>
      <c r="C128" t="s">
        <v>3817</v>
      </c>
      <c r="D128" t="s">
        <v>3836</v>
      </c>
      <c r="E128" t="s">
        <v>3837</v>
      </c>
      <c r="F128" t="s">
        <v>3562</v>
      </c>
      <c r="G128" t="s">
        <v>3838</v>
      </c>
    </row>
    <row r="129" spans="1:7" ht="11.25" customHeight="1">
      <c r="A129" s="1739" t="s">
        <v>3</v>
      </c>
      <c r="B129" t="s">
        <v>3816</v>
      </c>
      <c r="C129" t="s">
        <v>3817</v>
      </c>
      <c r="D129" t="s">
        <v>3839</v>
      </c>
      <c r="E129" t="s">
        <v>3840</v>
      </c>
      <c r="F129" t="s">
        <v>3562</v>
      </c>
      <c r="G129" t="s">
        <v>3841</v>
      </c>
    </row>
    <row r="130" spans="1:7" ht="11.25" customHeight="1">
      <c r="A130" s="1739" t="s">
        <v>3</v>
      </c>
      <c r="B130" t="s">
        <v>3816</v>
      </c>
      <c r="C130" t="s">
        <v>3817</v>
      </c>
      <c r="D130" t="s">
        <v>3842</v>
      </c>
      <c r="E130" t="s">
        <v>3843</v>
      </c>
      <c r="F130" t="s">
        <v>3562</v>
      </c>
      <c r="G130" t="s">
        <v>3844</v>
      </c>
    </row>
    <row r="131" spans="1:7" ht="11.25" customHeight="1">
      <c r="A131" s="1739" t="s">
        <v>3</v>
      </c>
      <c r="B131" t="s">
        <v>3816</v>
      </c>
      <c r="C131" t="s">
        <v>3817</v>
      </c>
      <c r="D131" t="s">
        <v>3845</v>
      </c>
      <c r="E131" t="s">
        <v>3846</v>
      </c>
      <c r="F131" t="s">
        <v>3562</v>
      </c>
      <c r="G131" t="s">
        <v>3847</v>
      </c>
    </row>
    <row r="132" spans="1:7" ht="11.25" customHeight="1">
      <c r="A132" s="1739" t="s">
        <v>3</v>
      </c>
      <c r="B132" t="s">
        <v>3816</v>
      </c>
      <c r="C132" t="s">
        <v>3817</v>
      </c>
      <c r="D132" t="s">
        <v>3848</v>
      </c>
      <c r="E132" t="s">
        <v>3849</v>
      </c>
      <c r="F132" t="s">
        <v>3562</v>
      </c>
      <c r="G132" t="s">
        <v>3850</v>
      </c>
    </row>
    <row r="133" spans="1:7" ht="11.25" customHeight="1">
      <c r="A133" s="1739" t="s">
        <v>3</v>
      </c>
      <c r="B133" t="s">
        <v>3816</v>
      </c>
      <c r="C133" t="s">
        <v>3817</v>
      </c>
      <c r="D133" t="s">
        <v>3851</v>
      </c>
      <c r="E133" t="s">
        <v>3852</v>
      </c>
      <c r="F133" t="s">
        <v>3559</v>
      </c>
      <c r="G133" t="s">
        <v>3853</v>
      </c>
    </row>
    <row r="134" spans="1:7" ht="11.25" customHeight="1">
      <c r="A134" s="1739" t="s">
        <v>3</v>
      </c>
      <c r="B134" t="s">
        <v>3816</v>
      </c>
      <c r="C134" t="s">
        <v>3817</v>
      </c>
      <c r="D134" t="s">
        <v>3816</v>
      </c>
      <c r="E134" t="s">
        <v>3817</v>
      </c>
      <c r="F134" t="s">
        <v>3556</v>
      </c>
      <c r="G134" t="s">
        <v>3854</v>
      </c>
    </row>
    <row r="135" spans="1:7" ht="11.25" customHeight="1">
      <c r="A135" s="1739" t="s">
        <v>3</v>
      </c>
      <c r="B135" t="s">
        <v>3816</v>
      </c>
      <c r="C135" t="s">
        <v>3817</v>
      </c>
      <c r="D135" t="s">
        <v>3855</v>
      </c>
      <c r="E135" t="s">
        <v>3856</v>
      </c>
      <c r="F135" t="s">
        <v>3562</v>
      </c>
      <c r="G135" t="s">
        <v>3857</v>
      </c>
    </row>
    <row r="136" spans="1:7" ht="11.25" customHeight="1">
      <c r="A136" s="1739" t="s">
        <v>3</v>
      </c>
      <c r="B136" t="s">
        <v>136</v>
      </c>
      <c r="C136" t="s">
        <v>137</v>
      </c>
      <c r="D136" t="s">
        <v>136</v>
      </c>
      <c r="E136" t="s">
        <v>137</v>
      </c>
      <c r="F136" t="s">
        <v>3553</v>
      </c>
      <c r="G136" t="s">
        <v>135</v>
      </c>
    </row>
    <row r="137" spans="1:7" ht="11.25" customHeight="1">
      <c r="A137" s="1739" t="s">
        <v>3</v>
      </c>
      <c r="B137" t="s">
        <v>3858</v>
      </c>
      <c r="C137" t="s">
        <v>3859</v>
      </c>
      <c r="D137" t="s">
        <v>3860</v>
      </c>
      <c r="E137" t="s">
        <v>3861</v>
      </c>
      <c r="F137" t="s">
        <v>3562</v>
      </c>
      <c r="G137" t="s">
        <v>3862</v>
      </c>
    </row>
    <row r="138" spans="1:7" ht="11.25" customHeight="1">
      <c r="A138" s="1739" t="s">
        <v>3</v>
      </c>
      <c r="B138" t="s">
        <v>3858</v>
      </c>
      <c r="C138" t="s">
        <v>3859</v>
      </c>
      <c r="D138" t="s">
        <v>3863</v>
      </c>
      <c r="E138" t="s">
        <v>3864</v>
      </c>
      <c r="F138" t="s">
        <v>3562</v>
      </c>
      <c r="G138" t="s">
        <v>3865</v>
      </c>
    </row>
    <row r="139" spans="1:7" ht="11.25" customHeight="1">
      <c r="A139" s="1739" t="s">
        <v>3</v>
      </c>
      <c r="B139" t="s">
        <v>3858</v>
      </c>
      <c r="C139" t="s">
        <v>3859</v>
      </c>
      <c r="D139" t="s">
        <v>3866</v>
      </c>
      <c r="E139" t="s">
        <v>3867</v>
      </c>
      <c r="F139" t="s">
        <v>3562</v>
      </c>
      <c r="G139" t="s">
        <v>3868</v>
      </c>
    </row>
    <row r="140" spans="1:7" ht="11.25" customHeight="1">
      <c r="A140" s="1739" t="s">
        <v>3</v>
      </c>
      <c r="B140" t="s">
        <v>3858</v>
      </c>
      <c r="C140" t="s">
        <v>3859</v>
      </c>
      <c r="D140" t="s">
        <v>3869</v>
      </c>
      <c r="E140" t="s">
        <v>3870</v>
      </c>
      <c r="F140" t="s">
        <v>3562</v>
      </c>
      <c r="G140" t="s">
        <v>3871</v>
      </c>
    </row>
    <row r="141" spans="1:7" ht="11.25" customHeight="1">
      <c r="A141" s="1739" t="s">
        <v>3</v>
      </c>
      <c r="B141" t="s">
        <v>3858</v>
      </c>
      <c r="C141" t="s">
        <v>3859</v>
      </c>
      <c r="D141" t="s">
        <v>3872</v>
      </c>
      <c r="E141" t="s">
        <v>3873</v>
      </c>
      <c r="F141" t="s">
        <v>3562</v>
      </c>
      <c r="G141" t="s">
        <v>3874</v>
      </c>
    </row>
    <row r="142" spans="1:7" ht="11.25" customHeight="1">
      <c r="A142" s="1739" t="s">
        <v>3</v>
      </c>
      <c r="B142" t="s">
        <v>3858</v>
      </c>
      <c r="C142" t="s">
        <v>3859</v>
      </c>
      <c r="D142" t="s">
        <v>3875</v>
      </c>
      <c r="E142" t="s">
        <v>3876</v>
      </c>
      <c r="F142" t="s">
        <v>3562</v>
      </c>
      <c r="G142" t="s">
        <v>3877</v>
      </c>
    </row>
    <row r="143" spans="1:7" ht="11.25" customHeight="1">
      <c r="A143" s="1739" t="s">
        <v>3</v>
      </c>
      <c r="B143" t="s">
        <v>3858</v>
      </c>
      <c r="C143" t="s">
        <v>3859</v>
      </c>
      <c r="D143" t="s">
        <v>3878</v>
      </c>
      <c r="E143" t="s">
        <v>3879</v>
      </c>
      <c r="F143" t="s">
        <v>3562</v>
      </c>
      <c r="G143" t="s">
        <v>3880</v>
      </c>
    </row>
    <row r="144" spans="1:7" ht="11.25" customHeight="1">
      <c r="A144" s="1739" t="s">
        <v>3</v>
      </c>
      <c r="B144" t="s">
        <v>3858</v>
      </c>
      <c r="C144" t="s">
        <v>3859</v>
      </c>
      <c r="D144" t="s">
        <v>3881</v>
      </c>
      <c r="E144" t="s">
        <v>3882</v>
      </c>
      <c r="F144" t="s">
        <v>3562</v>
      </c>
      <c r="G144" t="s">
        <v>3883</v>
      </c>
    </row>
    <row r="145" spans="1:7" ht="11.25" customHeight="1">
      <c r="A145" s="1739" t="s">
        <v>3</v>
      </c>
      <c r="B145" t="s">
        <v>3858</v>
      </c>
      <c r="C145" t="s">
        <v>3859</v>
      </c>
      <c r="D145" t="s">
        <v>3884</v>
      </c>
      <c r="E145" t="s">
        <v>3885</v>
      </c>
      <c r="F145" t="s">
        <v>3562</v>
      </c>
      <c r="G145" t="s">
        <v>3886</v>
      </c>
    </row>
    <row r="146" spans="1:7" ht="11.25" customHeight="1">
      <c r="A146" s="1739" t="s">
        <v>3</v>
      </c>
      <c r="B146" t="s">
        <v>3858</v>
      </c>
      <c r="C146" t="s">
        <v>3859</v>
      </c>
      <c r="D146" t="s">
        <v>3887</v>
      </c>
      <c r="E146" t="s">
        <v>3888</v>
      </c>
      <c r="F146" t="s">
        <v>3562</v>
      </c>
      <c r="G146" t="s">
        <v>3889</v>
      </c>
    </row>
    <row r="147" spans="1:7" ht="11.25" customHeight="1">
      <c r="A147" s="1739" t="s">
        <v>3</v>
      </c>
      <c r="B147" t="s">
        <v>3858</v>
      </c>
      <c r="C147" t="s">
        <v>3859</v>
      </c>
      <c r="D147" t="s">
        <v>3890</v>
      </c>
      <c r="E147" t="s">
        <v>3891</v>
      </c>
      <c r="F147" t="s">
        <v>3562</v>
      </c>
      <c r="G147" t="s">
        <v>3892</v>
      </c>
    </row>
    <row r="148" spans="1:7" ht="11.25" customHeight="1">
      <c r="A148" s="1739" t="s">
        <v>3</v>
      </c>
      <c r="B148" t="s">
        <v>3858</v>
      </c>
      <c r="C148" t="s">
        <v>3859</v>
      </c>
      <c r="D148" t="s">
        <v>3893</v>
      </c>
      <c r="E148" t="s">
        <v>3894</v>
      </c>
      <c r="F148" t="s">
        <v>3562</v>
      </c>
      <c r="G148" t="s">
        <v>3895</v>
      </c>
    </row>
    <row r="149" spans="1:7" ht="11.25" customHeight="1">
      <c r="A149" s="1739" t="s">
        <v>3</v>
      </c>
      <c r="B149" t="s">
        <v>3858</v>
      </c>
      <c r="C149" t="s">
        <v>3859</v>
      </c>
      <c r="D149" t="s">
        <v>3896</v>
      </c>
      <c r="E149" t="s">
        <v>3897</v>
      </c>
      <c r="F149" t="s">
        <v>3562</v>
      </c>
      <c r="G149" t="s">
        <v>3898</v>
      </c>
    </row>
    <row r="150" spans="1:7" ht="11.25" customHeight="1">
      <c r="A150" s="1739" t="s">
        <v>3</v>
      </c>
      <c r="B150" t="s">
        <v>3858</v>
      </c>
      <c r="C150" t="s">
        <v>3859</v>
      </c>
      <c r="D150" t="s">
        <v>3899</v>
      </c>
      <c r="E150" t="s">
        <v>3900</v>
      </c>
      <c r="F150" t="s">
        <v>3562</v>
      </c>
      <c r="G150" t="s">
        <v>3901</v>
      </c>
    </row>
    <row r="151" spans="1:7" ht="11.25" customHeight="1">
      <c r="A151" s="1739" t="s">
        <v>3</v>
      </c>
      <c r="B151" t="s">
        <v>3858</v>
      </c>
      <c r="C151" t="s">
        <v>3859</v>
      </c>
      <c r="D151" t="s">
        <v>3902</v>
      </c>
      <c r="E151" t="s">
        <v>3903</v>
      </c>
      <c r="F151" t="s">
        <v>3562</v>
      </c>
      <c r="G151" t="s">
        <v>3904</v>
      </c>
    </row>
    <row r="152" spans="1:7" ht="11.25" customHeight="1">
      <c r="A152" s="1739" t="s">
        <v>3</v>
      </c>
      <c r="B152" t="s">
        <v>3858</v>
      </c>
      <c r="C152" t="s">
        <v>3859</v>
      </c>
      <c r="D152" t="s">
        <v>3905</v>
      </c>
      <c r="E152" t="s">
        <v>3906</v>
      </c>
      <c r="F152" t="s">
        <v>3562</v>
      </c>
      <c r="G152" t="s">
        <v>3907</v>
      </c>
    </row>
    <row r="153" spans="1:7" ht="11.25" customHeight="1">
      <c r="A153" s="1739" t="s">
        <v>3</v>
      </c>
      <c r="B153" t="s">
        <v>3858</v>
      </c>
      <c r="C153" t="s">
        <v>3859</v>
      </c>
      <c r="D153" t="s">
        <v>3858</v>
      </c>
      <c r="E153" t="s">
        <v>3859</v>
      </c>
      <c r="F153" t="s">
        <v>3556</v>
      </c>
      <c r="G153" t="s">
        <v>3908</v>
      </c>
    </row>
    <row r="154" spans="1:7" ht="11.25" customHeight="1">
      <c r="A154" s="1739" t="s">
        <v>3</v>
      </c>
      <c r="B154" t="s">
        <v>3858</v>
      </c>
      <c r="C154" t="s">
        <v>3859</v>
      </c>
      <c r="D154" t="s">
        <v>3909</v>
      </c>
      <c r="E154" t="s">
        <v>3910</v>
      </c>
      <c r="F154" t="s">
        <v>3562</v>
      </c>
      <c r="G154" t="s">
        <v>3911</v>
      </c>
    </row>
    <row r="155" spans="1:7" ht="11.25" customHeight="1">
      <c r="A155" s="1739" t="s">
        <v>3</v>
      </c>
      <c r="B155" t="s">
        <v>3858</v>
      </c>
      <c r="C155" t="s">
        <v>3859</v>
      </c>
      <c r="D155" t="s">
        <v>3912</v>
      </c>
      <c r="E155" t="s">
        <v>3913</v>
      </c>
      <c r="F155" t="s">
        <v>3562</v>
      </c>
      <c r="G155" t="s">
        <v>3914</v>
      </c>
    </row>
    <row r="156" spans="1:7" ht="11.25" customHeight="1">
      <c r="A156" s="1739" t="s">
        <v>3</v>
      </c>
      <c r="B156" t="s">
        <v>3858</v>
      </c>
      <c r="C156" t="s">
        <v>3859</v>
      </c>
      <c r="D156" t="s">
        <v>3915</v>
      </c>
      <c r="E156" t="s">
        <v>3916</v>
      </c>
      <c r="F156" t="s">
        <v>3562</v>
      </c>
      <c r="G156" t="s">
        <v>3917</v>
      </c>
    </row>
    <row r="157" spans="1:7" ht="11.25" customHeight="1">
      <c r="A157" s="1739" t="s">
        <v>3</v>
      </c>
      <c r="B157" t="s">
        <v>140</v>
      </c>
      <c r="C157" t="s">
        <v>141</v>
      </c>
      <c r="D157" t="s">
        <v>140</v>
      </c>
      <c r="E157" t="s">
        <v>141</v>
      </c>
      <c r="F157" t="s">
        <v>3553</v>
      </c>
      <c r="G157" t="s">
        <v>139</v>
      </c>
    </row>
    <row r="158" spans="1:7" ht="11.25" customHeight="1">
      <c r="A158" s="1739" t="s">
        <v>3</v>
      </c>
      <c r="B158" t="s">
        <v>3918</v>
      </c>
      <c r="C158" t="s">
        <v>3919</v>
      </c>
      <c r="D158" t="s">
        <v>3920</v>
      </c>
      <c r="E158" t="s">
        <v>3921</v>
      </c>
      <c r="F158" t="s">
        <v>3562</v>
      </c>
      <c r="G158" t="s">
        <v>3922</v>
      </c>
    </row>
    <row r="159" spans="1:7" ht="11.25" customHeight="1">
      <c r="A159" s="1739" t="s">
        <v>3</v>
      </c>
      <c r="B159" t="s">
        <v>3918</v>
      </c>
      <c r="C159" t="s">
        <v>3919</v>
      </c>
      <c r="D159" t="s">
        <v>3923</v>
      </c>
      <c r="E159" t="s">
        <v>3924</v>
      </c>
      <c r="F159" t="s">
        <v>3562</v>
      </c>
      <c r="G159" t="s">
        <v>3925</v>
      </c>
    </row>
    <row r="160" spans="1:7" ht="11.25" customHeight="1">
      <c r="A160" s="1739" t="s">
        <v>3</v>
      </c>
      <c r="B160" t="s">
        <v>3918</v>
      </c>
      <c r="C160" t="s">
        <v>3919</v>
      </c>
      <c r="D160" t="s">
        <v>3926</v>
      </c>
      <c r="E160" t="s">
        <v>3927</v>
      </c>
      <c r="F160" t="s">
        <v>3562</v>
      </c>
      <c r="G160" t="s">
        <v>3928</v>
      </c>
    </row>
    <row r="161" spans="1:7" ht="11.25" customHeight="1">
      <c r="A161" s="1739" t="s">
        <v>3</v>
      </c>
      <c r="B161" t="s">
        <v>3918</v>
      </c>
      <c r="C161" t="s">
        <v>3919</v>
      </c>
      <c r="D161" t="s">
        <v>3593</v>
      </c>
      <c r="E161" t="s">
        <v>3929</v>
      </c>
      <c r="F161" t="s">
        <v>3562</v>
      </c>
      <c r="G161" t="s">
        <v>3930</v>
      </c>
    </row>
    <row r="162" spans="1:7" ht="11.25" customHeight="1">
      <c r="A162" s="1739" t="s">
        <v>3</v>
      </c>
      <c r="B162" t="s">
        <v>3918</v>
      </c>
      <c r="C162" t="s">
        <v>3919</v>
      </c>
      <c r="D162" t="s">
        <v>3918</v>
      </c>
      <c r="E162" t="s">
        <v>3919</v>
      </c>
      <c r="F162" t="s">
        <v>3556</v>
      </c>
      <c r="G162" t="s">
        <v>3931</v>
      </c>
    </row>
    <row r="163" spans="1:7" ht="11.25" customHeight="1">
      <c r="A163" s="1739" t="s">
        <v>3</v>
      </c>
      <c r="B163" t="s">
        <v>3918</v>
      </c>
      <c r="C163" t="s">
        <v>3919</v>
      </c>
      <c r="D163" t="s">
        <v>3932</v>
      </c>
      <c r="E163" t="s">
        <v>3933</v>
      </c>
      <c r="F163" t="s">
        <v>3559</v>
      </c>
      <c r="G163" t="s">
        <v>3934</v>
      </c>
    </row>
    <row r="164" spans="1:7" ht="11.25" customHeight="1">
      <c r="A164" s="1739" t="s">
        <v>3</v>
      </c>
      <c r="B164" t="s">
        <v>3935</v>
      </c>
      <c r="C164" t="s">
        <v>3936</v>
      </c>
      <c r="D164" t="s">
        <v>3935</v>
      </c>
      <c r="E164" t="s">
        <v>3936</v>
      </c>
      <c r="F164" t="s">
        <v>3553</v>
      </c>
      <c r="G164" t="s">
        <v>3937</v>
      </c>
    </row>
    <row r="165" spans="1:7" ht="11.25" customHeight="1">
      <c r="A165" s="1739" t="s">
        <v>3</v>
      </c>
      <c r="B165" t="s">
        <v>3938</v>
      </c>
      <c r="C165" t="s">
        <v>3939</v>
      </c>
      <c r="D165" t="s">
        <v>3940</v>
      </c>
      <c r="E165" t="s">
        <v>3941</v>
      </c>
      <c r="F165" t="s">
        <v>3562</v>
      </c>
      <c r="G165" t="s">
        <v>3942</v>
      </c>
    </row>
    <row r="166" spans="1:7" ht="11.25" customHeight="1">
      <c r="A166" s="1739" t="s">
        <v>3</v>
      </c>
      <c r="B166" t="s">
        <v>3938</v>
      </c>
      <c r="C166" t="s">
        <v>3939</v>
      </c>
      <c r="D166" t="s">
        <v>3943</v>
      </c>
      <c r="E166" t="s">
        <v>3944</v>
      </c>
      <c r="F166" t="s">
        <v>3562</v>
      </c>
      <c r="G166" t="s">
        <v>3945</v>
      </c>
    </row>
    <row r="167" spans="1:7" ht="11.25" customHeight="1">
      <c r="A167" s="1739" t="s">
        <v>3</v>
      </c>
      <c r="B167" t="s">
        <v>3938</v>
      </c>
      <c r="C167" t="s">
        <v>3939</v>
      </c>
      <c r="D167" t="s">
        <v>3946</v>
      </c>
      <c r="E167" t="s">
        <v>3947</v>
      </c>
      <c r="F167" t="s">
        <v>3562</v>
      </c>
      <c r="G167" t="s">
        <v>3948</v>
      </c>
    </row>
    <row r="168" spans="1:7" ht="11.25" customHeight="1">
      <c r="A168" s="1739" t="s">
        <v>3</v>
      </c>
      <c r="B168" t="s">
        <v>3938</v>
      </c>
      <c r="C168" t="s">
        <v>3939</v>
      </c>
      <c r="D168" t="s">
        <v>3938</v>
      </c>
      <c r="E168" t="s">
        <v>3939</v>
      </c>
      <c r="F168" t="s">
        <v>3556</v>
      </c>
      <c r="G168" t="s">
        <v>3949</v>
      </c>
    </row>
    <row r="169" spans="1:7" ht="11.25" customHeight="1">
      <c r="A169" s="1739" t="s">
        <v>3</v>
      </c>
      <c r="B169" t="s">
        <v>3938</v>
      </c>
      <c r="C169" t="s">
        <v>3939</v>
      </c>
      <c r="D169" t="s">
        <v>3950</v>
      </c>
      <c r="E169" t="s">
        <v>3951</v>
      </c>
      <c r="F169" t="s">
        <v>3562</v>
      </c>
      <c r="G169" t="s">
        <v>3952</v>
      </c>
    </row>
    <row r="170" spans="1:7" ht="11.25" customHeight="1">
      <c r="A170" s="1739" t="s">
        <v>3</v>
      </c>
      <c r="B170" t="s">
        <v>3953</v>
      </c>
      <c r="C170" t="s">
        <v>3954</v>
      </c>
      <c r="D170" t="s">
        <v>3953</v>
      </c>
      <c r="E170" t="s">
        <v>3954</v>
      </c>
      <c r="F170" t="s">
        <v>3553</v>
      </c>
      <c r="G170" t="s">
        <v>3955</v>
      </c>
    </row>
    <row r="171" spans="1:7" ht="11.25" customHeight="1">
      <c r="A171" s="1739" t="s">
        <v>3</v>
      </c>
      <c r="B171" t="s">
        <v>3956</v>
      </c>
      <c r="C171" t="s">
        <v>3957</v>
      </c>
      <c r="D171" t="s">
        <v>3958</v>
      </c>
      <c r="E171" t="s">
        <v>3959</v>
      </c>
      <c r="F171" t="s">
        <v>3562</v>
      </c>
      <c r="G171" t="s">
        <v>3960</v>
      </c>
    </row>
    <row r="172" spans="1:7" ht="11.25" customHeight="1">
      <c r="A172" s="1739" t="s">
        <v>3</v>
      </c>
      <c r="B172" t="s">
        <v>3956</v>
      </c>
      <c r="C172" t="s">
        <v>3957</v>
      </c>
      <c r="D172" t="s">
        <v>3961</v>
      </c>
      <c r="E172" t="s">
        <v>3962</v>
      </c>
      <c r="F172" t="s">
        <v>3562</v>
      </c>
      <c r="G172" t="s">
        <v>3963</v>
      </c>
    </row>
    <row r="173" spans="1:7" ht="11.25" customHeight="1">
      <c r="A173" s="1739" t="s">
        <v>3</v>
      </c>
      <c r="B173" t="s">
        <v>3956</v>
      </c>
      <c r="C173" t="s">
        <v>3957</v>
      </c>
      <c r="D173" t="s">
        <v>3956</v>
      </c>
      <c r="E173" t="s">
        <v>3957</v>
      </c>
      <c r="F173" t="s">
        <v>3556</v>
      </c>
      <c r="G173" t="s">
        <v>3964</v>
      </c>
    </row>
    <row r="174" spans="1:7" ht="11.25" customHeight="1">
      <c r="A174" s="1739" t="s">
        <v>3</v>
      </c>
      <c r="B174" t="s">
        <v>3956</v>
      </c>
      <c r="C174" t="s">
        <v>3957</v>
      </c>
      <c r="D174" t="s">
        <v>3965</v>
      </c>
      <c r="E174" t="s">
        <v>3966</v>
      </c>
      <c r="F174" t="s">
        <v>3562</v>
      </c>
      <c r="G174" t="s">
        <v>3967</v>
      </c>
    </row>
    <row r="175" spans="1:7" ht="11.25" customHeight="1">
      <c r="A175" s="1739" t="s">
        <v>3</v>
      </c>
      <c r="B175" t="s">
        <v>144</v>
      </c>
      <c r="C175" t="s">
        <v>145</v>
      </c>
      <c r="D175" t="s">
        <v>144</v>
      </c>
      <c r="E175" t="s">
        <v>145</v>
      </c>
      <c r="F175" t="s">
        <v>3553</v>
      </c>
      <c r="G175" t="s">
        <v>143</v>
      </c>
    </row>
    <row r="176" spans="1:7" ht="11.25" customHeight="1">
      <c r="A176" s="1739" t="s">
        <v>3</v>
      </c>
      <c r="B176" t="s">
        <v>3968</v>
      </c>
      <c r="C176" t="s">
        <v>3969</v>
      </c>
      <c r="D176" t="s">
        <v>3970</v>
      </c>
      <c r="E176" t="s">
        <v>3971</v>
      </c>
      <c r="F176" t="s">
        <v>3562</v>
      </c>
      <c r="G176" t="s">
        <v>3972</v>
      </c>
    </row>
    <row r="177" spans="1:7" ht="11.25" customHeight="1">
      <c r="A177" s="1739" t="s">
        <v>3</v>
      </c>
      <c r="B177" t="s">
        <v>3968</v>
      </c>
      <c r="C177" t="s">
        <v>3969</v>
      </c>
      <c r="D177" t="s">
        <v>3973</v>
      </c>
      <c r="E177" t="s">
        <v>3974</v>
      </c>
      <c r="F177" t="s">
        <v>3562</v>
      </c>
      <c r="G177" t="s">
        <v>3975</v>
      </c>
    </row>
    <row r="178" spans="1:7" ht="11.25" customHeight="1">
      <c r="A178" s="1739" t="s">
        <v>3</v>
      </c>
      <c r="B178" t="s">
        <v>3968</v>
      </c>
      <c r="C178" t="s">
        <v>3969</v>
      </c>
      <c r="D178" t="s">
        <v>3976</v>
      </c>
      <c r="E178" t="s">
        <v>3977</v>
      </c>
      <c r="F178" t="s">
        <v>3562</v>
      </c>
      <c r="G178" t="s">
        <v>3978</v>
      </c>
    </row>
    <row r="179" spans="1:7" ht="11.25" customHeight="1">
      <c r="A179" s="1739" t="s">
        <v>3</v>
      </c>
      <c r="B179" t="s">
        <v>3968</v>
      </c>
      <c r="C179" t="s">
        <v>3969</v>
      </c>
      <c r="D179" t="s">
        <v>3979</v>
      </c>
      <c r="E179" t="s">
        <v>3980</v>
      </c>
      <c r="F179" t="s">
        <v>3562</v>
      </c>
      <c r="G179" t="s">
        <v>3981</v>
      </c>
    </row>
    <row r="180" spans="1:7" ht="11.25" customHeight="1">
      <c r="A180" s="1739" t="s">
        <v>3</v>
      </c>
      <c r="B180" t="s">
        <v>3968</v>
      </c>
      <c r="C180" t="s">
        <v>3969</v>
      </c>
      <c r="D180" t="s">
        <v>3982</v>
      </c>
      <c r="E180" t="s">
        <v>3983</v>
      </c>
      <c r="F180" t="s">
        <v>3562</v>
      </c>
      <c r="G180" t="s">
        <v>3984</v>
      </c>
    </row>
    <row r="181" spans="1:7" ht="11.25" customHeight="1">
      <c r="A181" s="1739" t="s">
        <v>3</v>
      </c>
      <c r="B181" t="s">
        <v>3968</v>
      </c>
      <c r="C181" t="s">
        <v>3969</v>
      </c>
      <c r="D181" t="s">
        <v>3968</v>
      </c>
      <c r="E181" t="s">
        <v>3969</v>
      </c>
      <c r="F181" t="s">
        <v>3556</v>
      </c>
      <c r="G181" t="s">
        <v>3985</v>
      </c>
    </row>
    <row r="182" spans="1:7" ht="11.25" customHeight="1">
      <c r="A182" s="1739" t="s">
        <v>3</v>
      </c>
      <c r="B182" t="s">
        <v>3968</v>
      </c>
      <c r="C182" t="s">
        <v>3969</v>
      </c>
      <c r="D182" t="s">
        <v>3986</v>
      </c>
      <c r="E182" t="s">
        <v>3987</v>
      </c>
      <c r="F182" t="s">
        <v>3622</v>
      </c>
      <c r="G182" t="s">
        <v>3988</v>
      </c>
    </row>
    <row r="183" spans="1:7" ht="11.25" customHeight="1">
      <c r="A183" s="1739" t="s">
        <v>3</v>
      </c>
      <c r="B183" t="s">
        <v>3968</v>
      </c>
      <c r="C183" t="s">
        <v>3969</v>
      </c>
      <c r="D183" t="s">
        <v>3989</v>
      </c>
      <c r="E183" t="s">
        <v>3990</v>
      </c>
      <c r="F183" t="s">
        <v>3562</v>
      </c>
      <c r="G183" t="s">
        <v>3991</v>
      </c>
    </row>
    <row r="184" spans="1:7" ht="11.25" customHeight="1">
      <c r="A184" s="1739" t="s">
        <v>3</v>
      </c>
      <c r="B184" t="s">
        <v>147</v>
      </c>
      <c r="C184" t="s">
        <v>148</v>
      </c>
      <c r="D184" t="s">
        <v>147</v>
      </c>
      <c r="E184" t="s">
        <v>148</v>
      </c>
      <c r="F184" t="s">
        <v>3553</v>
      </c>
      <c r="G184" t="s">
        <v>146</v>
      </c>
    </row>
    <row r="185" spans="1:7" ht="11.25" customHeight="1">
      <c r="A185" s="1739" t="s">
        <v>3</v>
      </c>
      <c r="B185" t="s">
        <v>3992</v>
      </c>
      <c r="C185" t="s">
        <v>3993</v>
      </c>
      <c r="D185" t="s">
        <v>3994</v>
      </c>
      <c r="E185" t="s">
        <v>3995</v>
      </c>
      <c r="F185" t="s">
        <v>3562</v>
      </c>
      <c r="G185" t="s">
        <v>3996</v>
      </c>
    </row>
    <row r="186" spans="1:7" ht="11.25" customHeight="1">
      <c r="A186" s="1739" t="s">
        <v>3</v>
      </c>
      <c r="B186" t="s">
        <v>3992</v>
      </c>
      <c r="C186" t="s">
        <v>3993</v>
      </c>
      <c r="D186" t="s">
        <v>3997</v>
      </c>
      <c r="E186" t="s">
        <v>3998</v>
      </c>
      <c r="F186" t="s">
        <v>3562</v>
      </c>
      <c r="G186" t="s">
        <v>3999</v>
      </c>
    </row>
    <row r="187" spans="1:7" ht="11.25" customHeight="1">
      <c r="A187" s="1739" t="s">
        <v>3</v>
      </c>
      <c r="B187" t="s">
        <v>3992</v>
      </c>
      <c r="C187" t="s">
        <v>3993</v>
      </c>
      <c r="D187" t="s">
        <v>4000</v>
      </c>
      <c r="E187" t="s">
        <v>4001</v>
      </c>
      <c r="F187" t="s">
        <v>3562</v>
      </c>
      <c r="G187" t="s">
        <v>4002</v>
      </c>
    </row>
    <row r="188" spans="1:7" ht="11.25" customHeight="1">
      <c r="A188" s="1739" t="s">
        <v>3</v>
      </c>
      <c r="B188" t="s">
        <v>3992</v>
      </c>
      <c r="C188" t="s">
        <v>3993</v>
      </c>
      <c r="D188" t="s">
        <v>4003</v>
      </c>
      <c r="E188" t="s">
        <v>4004</v>
      </c>
      <c r="F188" t="s">
        <v>3562</v>
      </c>
      <c r="G188" t="s">
        <v>4005</v>
      </c>
    </row>
    <row r="189" spans="1:7" ht="11.25" customHeight="1">
      <c r="A189" s="1739" t="s">
        <v>3</v>
      </c>
      <c r="B189" t="s">
        <v>3992</v>
      </c>
      <c r="C189" t="s">
        <v>3993</v>
      </c>
      <c r="D189" t="s">
        <v>4006</v>
      </c>
      <c r="E189" t="s">
        <v>4007</v>
      </c>
      <c r="F189" t="s">
        <v>3562</v>
      </c>
      <c r="G189" t="s">
        <v>4008</v>
      </c>
    </row>
    <row r="190" spans="1:7" ht="11.25" customHeight="1">
      <c r="A190" s="1739" t="s">
        <v>3</v>
      </c>
      <c r="B190" t="s">
        <v>3992</v>
      </c>
      <c r="C190" t="s">
        <v>3993</v>
      </c>
      <c r="D190" t="s">
        <v>3992</v>
      </c>
      <c r="E190" t="s">
        <v>3993</v>
      </c>
      <c r="F190" t="s">
        <v>3556</v>
      </c>
      <c r="G190" t="s">
        <v>4009</v>
      </c>
    </row>
    <row r="191" spans="1:7" ht="11.25" customHeight="1">
      <c r="A191" s="1739" t="s">
        <v>3</v>
      </c>
      <c r="B191" t="s">
        <v>3992</v>
      </c>
      <c r="C191" t="s">
        <v>3993</v>
      </c>
      <c r="D191" t="s">
        <v>4010</v>
      </c>
      <c r="E191" t="s">
        <v>4011</v>
      </c>
      <c r="F191" t="s">
        <v>3622</v>
      </c>
      <c r="G191" t="s">
        <v>4012</v>
      </c>
    </row>
    <row r="192" spans="1:7" ht="11.25" customHeight="1">
      <c r="A192" s="1739" t="s">
        <v>3</v>
      </c>
      <c r="B192" t="s">
        <v>151</v>
      </c>
      <c r="C192" t="s">
        <v>152</v>
      </c>
      <c r="D192" t="s">
        <v>151</v>
      </c>
      <c r="E192" t="s">
        <v>152</v>
      </c>
      <c r="F192" t="s">
        <v>3553</v>
      </c>
      <c r="G192" t="s">
        <v>150</v>
      </c>
    </row>
    <row r="193" spans="1:7" ht="11.25" customHeight="1">
      <c r="A193" s="1739" t="s">
        <v>3</v>
      </c>
      <c r="B193" t="s">
        <v>4013</v>
      </c>
      <c r="C193" t="s">
        <v>4014</v>
      </c>
      <c r="D193" t="s">
        <v>4015</v>
      </c>
      <c r="E193" t="s">
        <v>4016</v>
      </c>
      <c r="F193" t="s">
        <v>3562</v>
      </c>
      <c r="G193" t="s">
        <v>4017</v>
      </c>
    </row>
    <row r="194" spans="1:7" ht="11.25" customHeight="1">
      <c r="A194" s="1739" t="s">
        <v>3</v>
      </c>
      <c r="B194" t="s">
        <v>4013</v>
      </c>
      <c r="C194" t="s">
        <v>4014</v>
      </c>
      <c r="D194" t="s">
        <v>4018</v>
      </c>
      <c r="E194" t="s">
        <v>4019</v>
      </c>
      <c r="F194" t="s">
        <v>3562</v>
      </c>
      <c r="G194" t="s">
        <v>4020</v>
      </c>
    </row>
    <row r="195" spans="1:7" ht="11.25" customHeight="1">
      <c r="A195" s="1739" t="s">
        <v>3</v>
      </c>
      <c r="B195" t="s">
        <v>4013</v>
      </c>
      <c r="C195" t="s">
        <v>4014</v>
      </c>
      <c r="D195" t="s">
        <v>4021</v>
      </c>
      <c r="E195" t="s">
        <v>4022</v>
      </c>
      <c r="F195" t="s">
        <v>3562</v>
      </c>
      <c r="G195" t="s">
        <v>4023</v>
      </c>
    </row>
    <row r="196" spans="1:7" ht="11.25" customHeight="1">
      <c r="A196" s="1739" t="s">
        <v>3</v>
      </c>
      <c r="B196" t="s">
        <v>4013</v>
      </c>
      <c r="C196" t="s">
        <v>4014</v>
      </c>
      <c r="D196" t="s">
        <v>4024</v>
      </c>
      <c r="E196" t="s">
        <v>4025</v>
      </c>
      <c r="F196" t="s">
        <v>3562</v>
      </c>
      <c r="G196" t="s">
        <v>4026</v>
      </c>
    </row>
    <row r="197" spans="1:7" ht="11.25" customHeight="1">
      <c r="A197" s="1739" t="s">
        <v>3</v>
      </c>
      <c r="B197" t="s">
        <v>4013</v>
      </c>
      <c r="C197" t="s">
        <v>4014</v>
      </c>
      <c r="D197" t="s">
        <v>4027</v>
      </c>
      <c r="E197" t="s">
        <v>4028</v>
      </c>
      <c r="F197" t="s">
        <v>3562</v>
      </c>
      <c r="G197" t="s">
        <v>4029</v>
      </c>
    </row>
    <row r="198" spans="1:7" ht="11.25" customHeight="1">
      <c r="A198" s="1739" t="s">
        <v>3</v>
      </c>
      <c r="B198" t="s">
        <v>4013</v>
      </c>
      <c r="C198" t="s">
        <v>4014</v>
      </c>
      <c r="D198" t="s">
        <v>4030</v>
      </c>
      <c r="E198" t="s">
        <v>4031</v>
      </c>
      <c r="F198" t="s">
        <v>3562</v>
      </c>
      <c r="G198" t="s">
        <v>4032</v>
      </c>
    </row>
    <row r="199" spans="1:7" ht="11.25" customHeight="1">
      <c r="A199" s="1739" t="s">
        <v>3</v>
      </c>
      <c r="B199" t="s">
        <v>4013</v>
      </c>
      <c r="C199" t="s">
        <v>4014</v>
      </c>
      <c r="D199" t="s">
        <v>4033</v>
      </c>
      <c r="E199" t="s">
        <v>4034</v>
      </c>
      <c r="F199" t="s">
        <v>3562</v>
      </c>
      <c r="G199" t="s">
        <v>4035</v>
      </c>
    </row>
    <row r="200" spans="1:7" ht="11.25" customHeight="1">
      <c r="A200" s="1739" t="s">
        <v>3</v>
      </c>
      <c r="B200" t="s">
        <v>4013</v>
      </c>
      <c r="C200" t="s">
        <v>4014</v>
      </c>
      <c r="D200" t="s">
        <v>4013</v>
      </c>
      <c r="E200" t="s">
        <v>4014</v>
      </c>
      <c r="F200" t="s">
        <v>3556</v>
      </c>
      <c r="G200" t="s">
        <v>4036</v>
      </c>
    </row>
    <row r="201" spans="1:7" ht="11.25" customHeight="1">
      <c r="A201" s="1739" t="s">
        <v>3</v>
      </c>
      <c r="B201" t="s">
        <v>4013</v>
      </c>
      <c r="C201" t="s">
        <v>4014</v>
      </c>
      <c r="D201" t="s">
        <v>4037</v>
      </c>
      <c r="E201" t="s">
        <v>4038</v>
      </c>
      <c r="F201" t="s">
        <v>3622</v>
      </c>
      <c r="G201" t="s">
        <v>4039</v>
      </c>
    </row>
    <row r="202" spans="1:7" ht="11.25" customHeight="1">
      <c r="A202" s="1739" t="s">
        <v>3</v>
      </c>
      <c r="B202" t="s">
        <v>155</v>
      </c>
      <c r="C202" t="s">
        <v>156</v>
      </c>
      <c r="D202" t="s">
        <v>155</v>
      </c>
      <c r="E202" t="s">
        <v>156</v>
      </c>
      <c r="F202" t="s">
        <v>3553</v>
      </c>
      <c r="G202" t="s">
        <v>154</v>
      </c>
    </row>
    <row r="203" spans="1:7" ht="11.25" customHeight="1">
      <c r="A203" s="1739" t="s">
        <v>3</v>
      </c>
      <c r="B203" t="s">
        <v>4040</v>
      </c>
      <c r="C203" t="s">
        <v>4041</v>
      </c>
      <c r="D203" t="s">
        <v>4042</v>
      </c>
      <c r="E203" t="s">
        <v>4043</v>
      </c>
      <c r="F203" t="s">
        <v>3562</v>
      </c>
      <c r="G203" t="s">
        <v>4044</v>
      </c>
    </row>
    <row r="204" spans="1:7" ht="11.25" customHeight="1">
      <c r="A204" s="1739" t="s">
        <v>3</v>
      </c>
      <c r="B204" t="s">
        <v>4040</v>
      </c>
      <c r="C204" t="s">
        <v>4041</v>
      </c>
      <c r="D204" t="s">
        <v>4045</v>
      </c>
      <c r="E204" t="s">
        <v>4046</v>
      </c>
      <c r="F204" t="s">
        <v>3562</v>
      </c>
      <c r="G204" t="s">
        <v>4047</v>
      </c>
    </row>
    <row r="205" spans="1:7" ht="11.25" customHeight="1">
      <c r="A205" s="1739" t="s">
        <v>3</v>
      </c>
      <c r="B205" t="s">
        <v>4040</v>
      </c>
      <c r="C205" t="s">
        <v>4041</v>
      </c>
      <c r="D205" t="s">
        <v>4048</v>
      </c>
      <c r="E205" t="s">
        <v>4049</v>
      </c>
      <c r="F205" t="s">
        <v>3562</v>
      </c>
      <c r="G205" t="s">
        <v>4050</v>
      </c>
    </row>
    <row r="206" spans="1:7" ht="11.25" customHeight="1">
      <c r="A206" s="1739" t="s">
        <v>3</v>
      </c>
      <c r="B206" t="s">
        <v>4040</v>
      </c>
      <c r="C206" t="s">
        <v>4041</v>
      </c>
      <c r="D206" t="s">
        <v>4051</v>
      </c>
      <c r="E206" t="s">
        <v>4052</v>
      </c>
      <c r="F206" t="s">
        <v>3562</v>
      </c>
      <c r="G206" t="s">
        <v>4053</v>
      </c>
    </row>
    <row r="207" spans="1:7" ht="11.25" customHeight="1">
      <c r="A207" s="1739" t="s">
        <v>3</v>
      </c>
      <c r="B207" t="s">
        <v>4040</v>
      </c>
      <c r="C207" t="s">
        <v>4041</v>
      </c>
      <c r="D207" t="s">
        <v>4054</v>
      </c>
      <c r="E207" t="s">
        <v>4055</v>
      </c>
      <c r="F207" t="s">
        <v>3562</v>
      </c>
      <c r="G207" t="s">
        <v>4056</v>
      </c>
    </row>
    <row r="208" spans="1:7" ht="11.25" customHeight="1">
      <c r="A208" s="1739" t="s">
        <v>3</v>
      </c>
      <c r="B208" t="s">
        <v>4040</v>
      </c>
      <c r="C208" t="s">
        <v>4041</v>
      </c>
      <c r="D208" t="s">
        <v>4040</v>
      </c>
      <c r="E208" t="s">
        <v>4041</v>
      </c>
      <c r="F208" t="s">
        <v>3556</v>
      </c>
      <c r="G208" t="s">
        <v>4057</v>
      </c>
    </row>
    <row r="209" spans="1:7" ht="11.25" customHeight="1">
      <c r="A209" s="1739" t="s">
        <v>3</v>
      </c>
      <c r="B209" t="s">
        <v>4040</v>
      </c>
      <c r="C209" t="s">
        <v>4041</v>
      </c>
      <c r="D209" t="s">
        <v>4058</v>
      </c>
      <c r="E209" t="s">
        <v>4059</v>
      </c>
      <c r="F209" t="s">
        <v>3559</v>
      </c>
      <c r="G209" t="s">
        <v>4060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
  <sheetViews>
    <sheetView showGridLines="0" workbookViewId="0"/>
  </sheetViews>
  <sheetFormatPr defaultColWidth="9.140625" defaultRowHeight="11.25" customHeight="1"/>
  <cols>
    <col min="1" max="1" width="13.85546875" style="1612" customWidth="1"/>
  </cols>
  <sheetData>
    <row r="1" spans="1:9" ht="11.25" customHeight="1">
      <c r="A1" s="763" t="s">
        <v>4061</v>
      </c>
      <c r="B1" s="2" t="s">
        <v>4062</v>
      </c>
      <c r="C1" s="2" t="s">
        <v>4063</v>
      </c>
      <c r="D1" s="2" t="s">
        <v>4064</v>
      </c>
      <c r="E1" s="2" t="s">
        <v>4065</v>
      </c>
      <c r="F1" s="2" t="s">
        <v>4066</v>
      </c>
      <c r="G1" s="2" t="s">
        <v>4067</v>
      </c>
      <c r="H1" s="2" t="s">
        <v>4068</v>
      </c>
      <c r="I1" s="2" t="s">
        <v>4069</v>
      </c>
    </row>
    <row r="2" spans="1:9" ht="11.25" customHeight="1">
      <c r="A2" s="1612" t="s">
        <v>164</v>
      </c>
      <c r="B2" t="s">
        <v>1324</v>
      </c>
      <c r="C2" t="s">
        <v>4070</v>
      </c>
      <c r="D2" t="s">
        <v>1328</v>
      </c>
      <c r="E2" t="s">
        <v>1329</v>
      </c>
      <c r="F2" t="s">
        <v>1330</v>
      </c>
      <c r="G2" t="s">
        <v>1331</v>
      </c>
      <c r="H2" t="s">
        <v>123</v>
      </c>
      <c r="I2" t="s">
        <v>1332</v>
      </c>
    </row>
    <row r="3" spans="1:9" ht="11.25" customHeight="1">
      <c r="A3" s="1612" t="s">
        <v>89</v>
      </c>
      <c r="B3" t="s">
        <v>4071</v>
      </c>
      <c r="C3" t="s">
        <v>9</v>
      </c>
      <c r="D3" t="s">
        <v>4072</v>
      </c>
      <c r="E3" t="s">
        <v>4073</v>
      </c>
      <c r="F3" t="s">
        <v>9</v>
      </c>
      <c r="G3" t="s">
        <v>9</v>
      </c>
      <c r="H3" t="s">
        <v>9</v>
      </c>
      <c r="I3" t="s">
        <v>9</v>
      </c>
    </row>
    <row r="4" spans="1:9" ht="11.25" customHeight="1">
      <c r="A4" s="1612" t="s">
        <v>78</v>
      </c>
      <c r="B4" t="s">
        <v>4074</v>
      </c>
      <c r="C4" t="s">
        <v>9</v>
      </c>
      <c r="D4" t="s">
        <v>4072</v>
      </c>
      <c r="E4" t="s">
        <v>4073</v>
      </c>
      <c r="F4" t="s">
        <v>9</v>
      </c>
      <c r="G4" t="s">
        <v>9</v>
      </c>
      <c r="H4" t="s">
        <v>9</v>
      </c>
      <c r="I4" t="s">
        <v>9</v>
      </c>
    </row>
    <row r="5" spans="1:9" ht="11.25" customHeight="1">
      <c r="A5" s="1612" t="s">
        <v>79</v>
      </c>
      <c r="B5" t="s">
        <v>4075</v>
      </c>
      <c r="C5" t="s">
        <v>9</v>
      </c>
      <c r="D5" t="s">
        <v>4072</v>
      </c>
      <c r="E5" t="s">
        <v>4073</v>
      </c>
      <c r="F5" t="s">
        <v>9</v>
      </c>
      <c r="G5" t="s">
        <v>9</v>
      </c>
      <c r="H5" t="s">
        <v>9</v>
      </c>
      <c r="I5" t="s">
        <v>9</v>
      </c>
    </row>
    <row r="6" spans="1:9" ht="11.25" customHeight="1">
      <c r="A6" s="1612" t="s">
        <v>100</v>
      </c>
      <c r="B6" t="s">
        <v>4076</v>
      </c>
      <c r="C6" t="s">
        <v>9</v>
      </c>
      <c r="D6" t="s">
        <v>4072</v>
      </c>
      <c r="E6" t="s">
        <v>4073</v>
      </c>
      <c r="F6" t="s">
        <v>9</v>
      </c>
      <c r="G6" t="s">
        <v>9</v>
      </c>
      <c r="H6" t="s">
        <v>9</v>
      </c>
      <c r="I6" t="s">
        <v>9</v>
      </c>
    </row>
    <row r="7" spans="1:9" ht="11.25" customHeight="1">
      <c r="A7" s="1612" t="s">
        <v>80</v>
      </c>
      <c r="B7" t="s">
        <v>4077</v>
      </c>
      <c r="C7" t="s">
        <v>9</v>
      </c>
      <c r="D7" t="s">
        <v>4072</v>
      </c>
      <c r="E7" t="s">
        <v>4073</v>
      </c>
      <c r="F7" t="s">
        <v>9</v>
      </c>
      <c r="G7" t="s">
        <v>9</v>
      </c>
      <c r="H7" t="s">
        <v>9</v>
      </c>
      <c r="I7" t="s">
        <v>9</v>
      </c>
    </row>
    <row r="8" spans="1:9" ht="11.25" customHeight="1">
      <c r="A8" s="1612" t="s">
        <v>81</v>
      </c>
      <c r="B8" t="s">
        <v>4078</v>
      </c>
      <c r="C8" t="s">
        <v>9</v>
      </c>
      <c r="D8" t="s">
        <v>4072</v>
      </c>
      <c r="E8" t="s">
        <v>1340</v>
      </c>
      <c r="F8" t="s">
        <v>9</v>
      </c>
      <c r="G8" t="s">
        <v>9</v>
      </c>
      <c r="H8" t="s">
        <v>9</v>
      </c>
      <c r="I8" t="s">
        <v>9</v>
      </c>
    </row>
    <row r="9" spans="1:9" ht="11.25" customHeight="1">
      <c r="A9" s="1612" t="s">
        <v>110</v>
      </c>
      <c r="B9" t="s">
        <v>4079</v>
      </c>
      <c r="C9" t="s">
        <v>9</v>
      </c>
      <c r="D9" t="s">
        <v>4072</v>
      </c>
      <c r="E9" t="s">
        <v>4073</v>
      </c>
      <c r="F9" t="s">
        <v>9</v>
      </c>
      <c r="G9" t="s">
        <v>9</v>
      </c>
      <c r="H9" t="s">
        <v>9</v>
      </c>
      <c r="I9" t="s">
        <v>9</v>
      </c>
    </row>
    <row r="10" spans="1:9" ht="11.25" customHeight="1">
      <c r="A10" s="1612" t="s">
        <v>114</v>
      </c>
      <c r="B10" t="s">
        <v>4080</v>
      </c>
      <c r="C10" t="s">
        <v>4081</v>
      </c>
      <c r="D10" t="s">
        <v>1398</v>
      </c>
      <c r="E10" t="s">
        <v>1373</v>
      </c>
      <c r="F10" t="s">
        <v>1399</v>
      </c>
      <c r="G10" t="s">
        <v>1331</v>
      </c>
      <c r="H10" t="s">
        <v>1400</v>
      </c>
      <c r="I10" t="s">
        <v>1401</v>
      </c>
    </row>
    <row r="11" spans="1:9" ht="11.25" customHeight="1">
      <c r="A11" s="1612" t="s">
        <v>118</v>
      </c>
      <c r="B11" t="s">
        <v>1396</v>
      </c>
      <c r="C11" t="s">
        <v>4082</v>
      </c>
      <c r="D11" t="s">
        <v>1398</v>
      </c>
      <c r="E11" t="s">
        <v>1373</v>
      </c>
      <c r="F11" t="s">
        <v>1399</v>
      </c>
      <c r="G11" t="s">
        <v>1331</v>
      </c>
      <c r="H11" t="s">
        <v>1400</v>
      </c>
      <c r="I11" t="s">
        <v>1401</v>
      </c>
    </row>
    <row r="12" spans="1:9" ht="11.25" customHeight="1">
      <c r="A12" s="1612" t="s">
        <v>122</v>
      </c>
      <c r="B12" t="s">
        <v>4083</v>
      </c>
      <c r="C12" t="s">
        <v>4084</v>
      </c>
      <c r="D12" t="s">
        <v>4085</v>
      </c>
      <c r="E12" t="s">
        <v>4073</v>
      </c>
      <c r="F12" t="s">
        <v>4086</v>
      </c>
      <c r="G12" t="s">
        <v>1331</v>
      </c>
      <c r="H12" t="s">
        <v>2045</v>
      </c>
      <c r="I12" t="s">
        <v>4085</v>
      </c>
    </row>
    <row r="13" spans="1:9" ht="11.25" customHeight="1">
      <c r="A13" s="1612" t="s">
        <v>126</v>
      </c>
      <c r="B13" t="s">
        <v>4083</v>
      </c>
      <c r="C13" t="s">
        <v>9</v>
      </c>
      <c r="D13" t="s">
        <v>4085</v>
      </c>
      <c r="E13" t="s">
        <v>4073</v>
      </c>
      <c r="F13" t="s">
        <v>9</v>
      </c>
      <c r="G13" t="s">
        <v>9</v>
      </c>
      <c r="H13" t="s">
        <v>9</v>
      </c>
      <c r="I13" t="s">
        <v>9</v>
      </c>
    </row>
    <row r="14" spans="1:9" ht="11.25" customHeight="1">
      <c r="A14" s="1612" t="s">
        <v>130</v>
      </c>
      <c r="B14" t="s">
        <v>1346</v>
      </c>
      <c r="C14" t="s">
        <v>4087</v>
      </c>
      <c r="D14" t="s">
        <v>1349</v>
      </c>
      <c r="E14" t="s">
        <v>1350</v>
      </c>
      <c r="F14" t="s">
        <v>1351</v>
      </c>
      <c r="G14" t="s">
        <v>1331</v>
      </c>
      <c r="H14" t="s">
        <v>1352</v>
      </c>
      <c r="I14" t="s">
        <v>1349</v>
      </c>
    </row>
    <row r="15" spans="1:9" ht="11.25" customHeight="1">
      <c r="A15" s="1612" t="s">
        <v>134</v>
      </c>
      <c r="B15" t="s">
        <v>1355</v>
      </c>
      <c r="C15" t="s">
        <v>4088</v>
      </c>
      <c r="D15" t="s">
        <v>1349</v>
      </c>
      <c r="E15" t="s">
        <v>1350</v>
      </c>
      <c r="F15" t="s">
        <v>1357</v>
      </c>
      <c r="G15" t="s">
        <v>1331</v>
      </c>
      <c r="H15" t="s">
        <v>1358</v>
      </c>
      <c r="I15" t="s">
        <v>1349</v>
      </c>
    </row>
    <row r="16" spans="1:9" ht="11.25" customHeight="1">
      <c r="A16" s="1612" t="s">
        <v>138</v>
      </c>
      <c r="B16" t="s">
        <v>1362</v>
      </c>
      <c r="C16" t="s">
        <v>4089</v>
      </c>
      <c r="D16" t="s">
        <v>1364</v>
      </c>
      <c r="E16" t="s">
        <v>1340</v>
      </c>
      <c r="F16" t="s">
        <v>1365</v>
      </c>
      <c r="G16" t="s">
        <v>1331</v>
      </c>
      <c r="H16" t="s">
        <v>1366</v>
      </c>
      <c r="I16" t="s">
        <v>1367</v>
      </c>
    </row>
    <row r="17" spans="1:9" ht="11.25" customHeight="1">
      <c r="A17" s="1612" t="s">
        <v>142</v>
      </c>
      <c r="B17" t="s">
        <v>1336</v>
      </c>
      <c r="C17" t="s">
        <v>4090</v>
      </c>
      <c r="D17" t="s">
        <v>1339</v>
      </c>
      <c r="E17" t="s">
        <v>1340</v>
      </c>
      <c r="F17" t="s">
        <v>1341</v>
      </c>
      <c r="G17" t="s">
        <v>1331</v>
      </c>
      <c r="H17" t="s">
        <v>1342</v>
      </c>
      <c r="I17" t="s">
        <v>1343</v>
      </c>
    </row>
    <row r="18" spans="1:9" ht="11.25" customHeight="1">
      <c r="A18" s="1612" t="s">
        <v>91</v>
      </c>
      <c r="B18" t="s">
        <v>4091</v>
      </c>
      <c r="C18" t="s">
        <v>4092</v>
      </c>
      <c r="D18" t="s">
        <v>1339</v>
      </c>
      <c r="E18" t="s">
        <v>1329</v>
      </c>
      <c r="F18" t="s">
        <v>4093</v>
      </c>
      <c r="G18" t="s">
        <v>1331</v>
      </c>
      <c r="H18" t="s">
        <v>1342</v>
      </c>
      <c r="I18" t="s">
        <v>1343</v>
      </c>
    </row>
    <row r="19" spans="1:9" ht="11.25" customHeight="1">
      <c r="A19" s="1612" t="s">
        <v>149</v>
      </c>
      <c r="B19" t="s">
        <v>1370</v>
      </c>
      <c r="C19" t="s">
        <v>4094</v>
      </c>
      <c r="D19" t="s">
        <v>1372</v>
      </c>
      <c r="E19" t="s">
        <v>1373</v>
      </c>
      <c r="F19" t="s">
        <v>1374</v>
      </c>
      <c r="G19" t="s">
        <v>1331</v>
      </c>
      <c r="H19" t="s">
        <v>1375</v>
      </c>
      <c r="I19" t="s">
        <v>1376</v>
      </c>
    </row>
    <row r="20" spans="1:9" ht="11.25" customHeight="1">
      <c r="A20" s="1612" t="s">
        <v>153</v>
      </c>
      <c r="B20" t="s">
        <v>1379</v>
      </c>
      <c r="C20" t="s">
        <v>4095</v>
      </c>
      <c r="D20" t="s">
        <v>1381</v>
      </c>
      <c r="E20" t="s">
        <v>1329</v>
      </c>
      <c r="F20" t="s">
        <v>1382</v>
      </c>
      <c r="G20" t="s">
        <v>1331</v>
      </c>
      <c r="H20" t="s">
        <v>1383</v>
      </c>
      <c r="I20" t="s">
        <v>1384</v>
      </c>
    </row>
    <row r="21" spans="1:9" ht="11.25" customHeight="1">
      <c r="A21" s="1612" t="s">
        <v>2023</v>
      </c>
      <c r="B21" t="s">
        <v>4096</v>
      </c>
      <c r="C21" t="s">
        <v>9</v>
      </c>
      <c r="D21" t="s">
        <v>4072</v>
      </c>
      <c r="E21" t="s">
        <v>4073</v>
      </c>
      <c r="F21" t="s">
        <v>9</v>
      </c>
      <c r="G21" t="s">
        <v>9</v>
      </c>
      <c r="H21" t="s">
        <v>9</v>
      </c>
      <c r="I21" t="s">
        <v>9</v>
      </c>
    </row>
    <row r="22" spans="1:9" ht="11.25" customHeight="1">
      <c r="A22" s="1612" t="s">
        <v>1400</v>
      </c>
      <c r="B22" t="s">
        <v>4097</v>
      </c>
      <c r="C22" t="s">
        <v>9</v>
      </c>
      <c r="D22" t="s">
        <v>4072</v>
      </c>
      <c r="E22" t="s">
        <v>4073</v>
      </c>
      <c r="F22" t="s">
        <v>9</v>
      </c>
      <c r="G22" t="s">
        <v>9</v>
      </c>
      <c r="H22" t="s">
        <v>9</v>
      </c>
      <c r="I22" t="s">
        <v>9</v>
      </c>
    </row>
    <row r="23" spans="1:9" ht="11.25" customHeight="1">
      <c r="A23" s="1612" t="s">
        <v>2045</v>
      </c>
      <c r="B23" t="s">
        <v>4098</v>
      </c>
      <c r="C23" t="s">
        <v>9</v>
      </c>
      <c r="D23" t="s">
        <v>4072</v>
      </c>
      <c r="E23" t="s">
        <v>4073</v>
      </c>
      <c r="F23" t="s">
        <v>9</v>
      </c>
      <c r="G23" t="s">
        <v>9</v>
      </c>
      <c r="H23" t="s">
        <v>9</v>
      </c>
      <c r="I23" t="s">
        <v>9</v>
      </c>
    </row>
    <row r="24" spans="1:9" ht="11.25" customHeight="1">
      <c r="A24" s="1612" t="s">
        <v>2053</v>
      </c>
      <c r="B24" t="s">
        <v>4099</v>
      </c>
      <c r="C24" t="s">
        <v>9</v>
      </c>
      <c r="D24" t="s">
        <v>4072</v>
      </c>
      <c r="E24" t="s">
        <v>4073</v>
      </c>
      <c r="F24" t="s">
        <v>9</v>
      </c>
      <c r="G24" t="s">
        <v>9</v>
      </c>
      <c r="H24" t="s">
        <v>9</v>
      </c>
      <c r="I24" t="s">
        <v>9</v>
      </c>
    </row>
    <row r="25" spans="1:9" ht="11.25" customHeight="1">
      <c r="A25" s="1612" t="s">
        <v>2060</v>
      </c>
      <c r="B25" t="s">
        <v>4100</v>
      </c>
      <c r="C25" t="s">
        <v>9</v>
      </c>
      <c r="D25" t="s">
        <v>4072</v>
      </c>
      <c r="E25" t="s">
        <v>4073</v>
      </c>
      <c r="F25" t="s">
        <v>9</v>
      </c>
      <c r="G25" t="s">
        <v>9</v>
      </c>
      <c r="H25" t="s">
        <v>9</v>
      </c>
      <c r="I25" t="s">
        <v>9</v>
      </c>
    </row>
    <row r="26" spans="1:9" ht="11.25" customHeight="1">
      <c r="A26" s="1612" t="s">
        <v>2064</v>
      </c>
      <c r="B26" t="s">
        <v>1387</v>
      </c>
      <c r="C26" t="s">
        <v>4101</v>
      </c>
      <c r="D26" t="s">
        <v>1389</v>
      </c>
      <c r="E26" t="s">
        <v>1390</v>
      </c>
      <c r="F26" t="s">
        <v>1391</v>
      </c>
      <c r="G26" t="s">
        <v>1331</v>
      </c>
      <c r="H26" t="s">
        <v>1392</v>
      </c>
      <c r="I26" t="s">
        <v>1389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429"/>
  <sheetViews>
    <sheetView workbookViewId="0"/>
  </sheetViews>
  <sheetFormatPr defaultRowHeight="11.25" customHeight="1"/>
  <sheetData>
    <row r="1" spans="1:38" ht="11.25" customHeight="1">
      <c r="A1" t="s">
        <v>2730</v>
      </c>
      <c r="B1" t="s">
        <v>2731</v>
      </c>
      <c r="C1" t="s">
        <v>2732</v>
      </c>
      <c r="D1" t="s">
        <v>4102</v>
      </c>
      <c r="E1" t="s">
        <v>4103</v>
      </c>
      <c r="F1" t="s">
        <v>4104</v>
      </c>
      <c r="G1" t="s">
        <v>4105</v>
      </c>
      <c r="H1" t="s">
        <v>4106</v>
      </c>
      <c r="I1" t="s">
        <v>4107</v>
      </c>
      <c r="J1" t="s">
        <v>4108</v>
      </c>
      <c r="K1" t="s">
        <v>4109</v>
      </c>
      <c r="L1" t="s">
        <v>4110</v>
      </c>
      <c r="M1" t="s">
        <v>4111</v>
      </c>
      <c r="N1" t="s">
        <v>4112</v>
      </c>
      <c r="O1" t="s">
        <v>3545</v>
      </c>
      <c r="P1" t="s">
        <v>3547</v>
      </c>
      <c r="Q1" t="s">
        <v>3548</v>
      </c>
      <c r="R1" t="s">
        <v>4113</v>
      </c>
      <c r="S1" t="s">
        <v>4114</v>
      </c>
      <c r="T1" t="s">
        <v>4115</v>
      </c>
      <c r="U1" t="s">
        <v>4116</v>
      </c>
      <c r="V1" t="s">
        <v>4117</v>
      </c>
      <c r="W1" t="s">
        <v>4118</v>
      </c>
      <c r="X1" t="s">
        <v>4119</v>
      </c>
      <c r="Y1" t="s">
        <v>4120</v>
      </c>
      <c r="Z1" t="s">
        <v>4121</v>
      </c>
      <c r="AA1" t="s">
        <v>4122</v>
      </c>
      <c r="AB1" t="s">
        <v>4123</v>
      </c>
      <c r="AC1" t="s">
        <v>4124</v>
      </c>
      <c r="AD1" t="s">
        <v>4125</v>
      </c>
      <c r="AE1" t="s">
        <v>4126</v>
      </c>
      <c r="AF1" t="s">
        <v>4127</v>
      </c>
      <c r="AG1" t="s">
        <v>4128</v>
      </c>
      <c r="AH1" t="s">
        <v>4129</v>
      </c>
      <c r="AI1" t="s">
        <v>4130</v>
      </c>
      <c r="AJ1" t="s">
        <v>4131</v>
      </c>
      <c r="AK1" t="s">
        <v>4132</v>
      </c>
      <c r="AL1" t="s">
        <v>4133</v>
      </c>
    </row>
    <row r="2" spans="1:38" ht="11.25" customHeight="1">
      <c r="A2" t="s">
        <v>9</v>
      </c>
      <c r="B2" t="s">
        <v>36</v>
      </c>
      <c r="C2" t="s">
        <v>38</v>
      </c>
      <c r="D2" t="s">
        <v>9</v>
      </c>
      <c r="E2" t="s">
        <v>1437</v>
      </c>
      <c r="F2" t="s">
        <v>1438</v>
      </c>
      <c r="G2" t="s">
        <v>87</v>
      </c>
      <c r="H2" t="s">
        <v>87</v>
      </c>
      <c r="I2" t="s">
        <v>88</v>
      </c>
      <c r="J2" t="s">
        <v>4134</v>
      </c>
      <c r="K2" t="s">
        <v>4135</v>
      </c>
      <c r="L2" t="s">
        <v>4136</v>
      </c>
      <c r="M2" t="s">
        <v>4137</v>
      </c>
      <c r="N2" t="s">
        <v>164</v>
      </c>
      <c r="O2" t="s">
        <v>87</v>
      </c>
      <c r="P2" t="s">
        <v>87</v>
      </c>
      <c r="Q2" t="s">
        <v>88</v>
      </c>
      <c r="R2" t="s">
        <v>4134</v>
      </c>
      <c r="S2" t="s">
        <v>4135</v>
      </c>
      <c r="T2" t="s">
        <v>4138</v>
      </c>
      <c r="U2" t="s">
        <v>4139</v>
      </c>
      <c r="V2" t="s">
        <v>624</v>
      </c>
      <c r="W2" t="s">
        <v>4140</v>
      </c>
      <c r="X2" t="s">
        <v>4141</v>
      </c>
      <c r="Y2" t="s">
        <v>4142</v>
      </c>
      <c r="Z2" t="s">
        <v>4143</v>
      </c>
      <c r="AA2" t="s">
        <v>4144</v>
      </c>
      <c r="AB2" t="s">
        <v>624</v>
      </c>
      <c r="AC2" t="s">
        <v>50</v>
      </c>
      <c r="AD2" t="s">
        <v>50</v>
      </c>
      <c r="AE2" t="s">
        <v>50</v>
      </c>
      <c r="AF2" t="s">
        <v>142</v>
      </c>
      <c r="AG2" t="s">
        <v>4145</v>
      </c>
      <c r="AH2" t="s">
        <v>142</v>
      </c>
      <c r="AI2" t="s">
        <v>4145</v>
      </c>
      <c r="AJ2" t="s">
        <v>142</v>
      </c>
      <c r="AK2" t="s">
        <v>4145</v>
      </c>
      <c r="AL2" t="s">
        <v>4146</v>
      </c>
    </row>
    <row r="3" spans="1:38" ht="11.25" customHeight="1">
      <c r="A3" t="s">
        <v>9</v>
      </c>
      <c r="B3" t="s">
        <v>36</v>
      </c>
      <c r="C3" t="s">
        <v>38</v>
      </c>
      <c r="D3" t="s">
        <v>9</v>
      </c>
      <c r="E3" t="s">
        <v>4147</v>
      </c>
      <c r="F3" t="s">
        <v>4148</v>
      </c>
      <c r="G3" t="s">
        <v>87</v>
      </c>
      <c r="H3" t="s">
        <v>87</v>
      </c>
      <c r="I3" t="s">
        <v>88</v>
      </c>
      <c r="J3" t="s">
        <v>4134</v>
      </c>
      <c r="K3" t="s">
        <v>4135</v>
      </c>
      <c r="L3" t="s">
        <v>4136</v>
      </c>
      <c r="M3" t="s">
        <v>4137</v>
      </c>
      <c r="N3" t="s">
        <v>164</v>
      </c>
      <c r="O3" t="s">
        <v>87</v>
      </c>
      <c r="P3" t="s">
        <v>87</v>
      </c>
      <c r="Q3" t="s">
        <v>88</v>
      </c>
      <c r="R3" t="s">
        <v>4134</v>
      </c>
      <c r="S3" t="s">
        <v>4135</v>
      </c>
      <c r="T3" t="s">
        <v>4138</v>
      </c>
      <c r="U3" t="s">
        <v>4139</v>
      </c>
      <c r="V3" t="s">
        <v>624</v>
      </c>
      <c r="W3" t="s">
        <v>4140</v>
      </c>
      <c r="X3" t="s">
        <v>4141</v>
      </c>
      <c r="Y3" t="s">
        <v>4142</v>
      </c>
      <c r="Z3" t="s">
        <v>4143</v>
      </c>
      <c r="AA3" t="s">
        <v>4144</v>
      </c>
      <c r="AB3" t="s">
        <v>624</v>
      </c>
      <c r="AC3" t="s">
        <v>6</v>
      </c>
      <c r="AD3" t="s">
        <v>50</v>
      </c>
      <c r="AE3" t="s">
        <v>6</v>
      </c>
      <c r="AF3" t="s">
        <v>9</v>
      </c>
      <c r="AG3" t="s">
        <v>9</v>
      </c>
      <c r="AH3" t="s">
        <v>142</v>
      </c>
      <c r="AI3" t="s">
        <v>4149</v>
      </c>
      <c r="AJ3" t="s">
        <v>142</v>
      </c>
      <c r="AK3" t="s">
        <v>4149</v>
      </c>
      <c r="AL3" t="s">
        <v>9</v>
      </c>
    </row>
    <row r="4" spans="1:38" ht="11.25" customHeight="1">
      <c r="A4" t="s">
        <v>9</v>
      </c>
      <c r="B4" t="s">
        <v>36</v>
      </c>
      <c r="C4" t="s">
        <v>38</v>
      </c>
      <c r="D4" t="s">
        <v>9</v>
      </c>
      <c r="E4" t="s">
        <v>1449</v>
      </c>
      <c r="F4" t="s">
        <v>1438</v>
      </c>
      <c r="G4" t="s">
        <v>87</v>
      </c>
      <c r="H4" t="s">
        <v>87</v>
      </c>
      <c r="I4" t="s">
        <v>88</v>
      </c>
      <c r="J4" t="s">
        <v>4134</v>
      </c>
      <c r="K4" t="s">
        <v>4135</v>
      </c>
      <c r="L4" t="s">
        <v>4136</v>
      </c>
      <c r="M4" t="s">
        <v>4150</v>
      </c>
      <c r="N4" t="s">
        <v>164</v>
      </c>
      <c r="O4" t="s">
        <v>87</v>
      </c>
      <c r="P4" t="s">
        <v>87</v>
      </c>
      <c r="Q4" t="s">
        <v>88</v>
      </c>
      <c r="R4" t="s">
        <v>4134</v>
      </c>
      <c r="S4" t="s">
        <v>4135</v>
      </c>
      <c r="T4" t="s">
        <v>4138</v>
      </c>
      <c r="U4" t="s">
        <v>4139</v>
      </c>
      <c r="V4" t="s">
        <v>624</v>
      </c>
      <c r="W4" t="s">
        <v>4140</v>
      </c>
      <c r="X4" t="s">
        <v>4141</v>
      </c>
      <c r="Y4" t="s">
        <v>4142</v>
      </c>
      <c r="Z4" t="s">
        <v>4151</v>
      </c>
      <c r="AA4" t="s">
        <v>4152</v>
      </c>
      <c r="AB4" t="s">
        <v>624</v>
      </c>
      <c r="AC4" t="s">
        <v>50</v>
      </c>
      <c r="AD4" t="s">
        <v>50</v>
      </c>
      <c r="AE4" t="s">
        <v>50</v>
      </c>
      <c r="AF4" t="s">
        <v>4153</v>
      </c>
      <c r="AG4" t="s">
        <v>4154</v>
      </c>
      <c r="AH4" t="s">
        <v>4153</v>
      </c>
      <c r="AI4" t="s">
        <v>4154</v>
      </c>
      <c r="AJ4" t="s">
        <v>4153</v>
      </c>
      <c r="AK4" t="s">
        <v>4154</v>
      </c>
      <c r="AL4" t="s">
        <v>4146</v>
      </c>
    </row>
    <row r="5" spans="1:38" ht="11.25" customHeight="1">
      <c r="A5" t="s">
        <v>9</v>
      </c>
      <c r="B5" t="s">
        <v>36</v>
      </c>
      <c r="C5" t="s">
        <v>38</v>
      </c>
      <c r="D5" t="s">
        <v>9</v>
      </c>
      <c r="E5" t="s">
        <v>4155</v>
      </c>
      <c r="F5" t="s">
        <v>4148</v>
      </c>
      <c r="G5" t="s">
        <v>87</v>
      </c>
      <c r="H5" t="s">
        <v>87</v>
      </c>
      <c r="I5" t="s">
        <v>88</v>
      </c>
      <c r="J5" t="s">
        <v>4134</v>
      </c>
      <c r="K5" t="s">
        <v>4135</v>
      </c>
      <c r="L5" t="s">
        <v>4156</v>
      </c>
      <c r="M5" t="s">
        <v>4150</v>
      </c>
      <c r="N5" t="s">
        <v>164</v>
      </c>
      <c r="O5" t="s">
        <v>87</v>
      </c>
      <c r="P5" t="s">
        <v>87</v>
      </c>
      <c r="Q5" t="s">
        <v>88</v>
      </c>
      <c r="R5" t="s">
        <v>4134</v>
      </c>
      <c r="S5" t="s">
        <v>4135</v>
      </c>
      <c r="T5" t="s">
        <v>4138</v>
      </c>
      <c r="U5" t="s">
        <v>4139</v>
      </c>
      <c r="V5" t="s">
        <v>624</v>
      </c>
      <c r="W5" t="s">
        <v>4140</v>
      </c>
      <c r="X5" t="s">
        <v>4141</v>
      </c>
      <c r="Y5" t="s">
        <v>4142</v>
      </c>
      <c r="Z5" t="s">
        <v>4151</v>
      </c>
      <c r="AA5" t="s">
        <v>4152</v>
      </c>
      <c r="AB5" t="s">
        <v>624</v>
      </c>
      <c r="AC5" t="s">
        <v>6</v>
      </c>
      <c r="AD5" t="s">
        <v>50</v>
      </c>
      <c r="AE5" t="s">
        <v>6</v>
      </c>
      <c r="AF5" t="s">
        <v>9</v>
      </c>
      <c r="AG5" t="s">
        <v>9</v>
      </c>
      <c r="AH5" t="s">
        <v>4153</v>
      </c>
      <c r="AI5" t="s">
        <v>4154</v>
      </c>
      <c r="AJ5" t="s">
        <v>4153</v>
      </c>
      <c r="AK5" t="s">
        <v>4154</v>
      </c>
      <c r="AL5" t="s">
        <v>9</v>
      </c>
    </row>
    <row r="6" spans="1:38" ht="11.25" customHeight="1">
      <c r="A6" t="s">
        <v>9</v>
      </c>
      <c r="B6" t="s">
        <v>36</v>
      </c>
      <c r="C6" t="s">
        <v>38</v>
      </c>
      <c r="D6" t="s">
        <v>9</v>
      </c>
      <c r="E6" t="s">
        <v>4157</v>
      </c>
      <c r="F6" t="s">
        <v>4148</v>
      </c>
      <c r="G6" t="s">
        <v>87</v>
      </c>
      <c r="H6" t="s">
        <v>87</v>
      </c>
      <c r="I6" t="s">
        <v>88</v>
      </c>
      <c r="J6" t="s">
        <v>4134</v>
      </c>
      <c r="K6" t="s">
        <v>4135</v>
      </c>
      <c r="L6" t="s">
        <v>4158</v>
      </c>
      <c r="M6" t="s">
        <v>4159</v>
      </c>
      <c r="N6" t="s">
        <v>164</v>
      </c>
      <c r="O6" t="s">
        <v>87</v>
      </c>
      <c r="P6" t="s">
        <v>87</v>
      </c>
      <c r="Q6" t="s">
        <v>88</v>
      </c>
      <c r="R6" t="s">
        <v>4134</v>
      </c>
      <c r="S6" t="s">
        <v>4135</v>
      </c>
      <c r="T6" t="s">
        <v>4138</v>
      </c>
      <c r="U6" t="s">
        <v>4139</v>
      </c>
      <c r="V6" t="s">
        <v>624</v>
      </c>
      <c r="W6" t="s">
        <v>4140</v>
      </c>
      <c r="X6" t="s">
        <v>4141</v>
      </c>
      <c r="Y6" t="s">
        <v>4142</v>
      </c>
      <c r="Z6" t="s">
        <v>4160</v>
      </c>
      <c r="AA6" t="s">
        <v>4161</v>
      </c>
      <c r="AB6" t="s">
        <v>624</v>
      </c>
      <c r="AC6" t="s">
        <v>6</v>
      </c>
      <c r="AD6" t="s">
        <v>50</v>
      </c>
      <c r="AE6" t="s">
        <v>6</v>
      </c>
      <c r="AF6" t="s">
        <v>9</v>
      </c>
      <c r="AG6" t="s">
        <v>9</v>
      </c>
      <c r="AH6" t="s">
        <v>1222</v>
      </c>
      <c r="AI6" t="s">
        <v>4162</v>
      </c>
      <c r="AJ6" t="s">
        <v>1222</v>
      </c>
      <c r="AK6" t="s">
        <v>4162</v>
      </c>
      <c r="AL6" t="s">
        <v>9</v>
      </c>
    </row>
    <row r="7" spans="1:38" ht="11.25" customHeight="1">
      <c r="A7" t="s">
        <v>9</v>
      </c>
      <c r="B7" t="s">
        <v>36</v>
      </c>
      <c r="C7" t="s">
        <v>38</v>
      </c>
      <c r="D7" t="s">
        <v>9</v>
      </c>
      <c r="E7" t="s">
        <v>4163</v>
      </c>
      <c r="F7" t="s">
        <v>1438</v>
      </c>
      <c r="G7" t="s">
        <v>87</v>
      </c>
      <c r="H7" t="s">
        <v>87</v>
      </c>
      <c r="I7" t="s">
        <v>88</v>
      </c>
      <c r="J7" t="s">
        <v>4134</v>
      </c>
      <c r="K7" t="s">
        <v>4135</v>
      </c>
      <c r="L7" t="s">
        <v>4164</v>
      </c>
      <c r="M7" t="s">
        <v>1442</v>
      </c>
      <c r="N7" t="s">
        <v>164</v>
      </c>
      <c r="O7" t="s">
        <v>87</v>
      </c>
      <c r="P7" t="s">
        <v>87</v>
      </c>
      <c r="Q7" t="s">
        <v>88</v>
      </c>
      <c r="R7" t="s">
        <v>4134</v>
      </c>
      <c r="S7" t="s">
        <v>4135</v>
      </c>
      <c r="T7" t="s">
        <v>4165</v>
      </c>
      <c r="U7" t="s">
        <v>4166</v>
      </c>
      <c r="V7" t="s">
        <v>624</v>
      </c>
      <c r="W7" t="s">
        <v>4140</v>
      </c>
      <c r="X7" t="s">
        <v>4167</v>
      </c>
      <c r="Y7" t="s">
        <v>4168</v>
      </c>
      <c r="Z7" t="s">
        <v>4169</v>
      </c>
      <c r="AA7" t="s">
        <v>4170</v>
      </c>
      <c r="AB7" t="s">
        <v>624</v>
      </c>
      <c r="AC7" t="s">
        <v>50</v>
      </c>
      <c r="AD7" t="s">
        <v>50</v>
      </c>
      <c r="AE7" t="s">
        <v>50</v>
      </c>
      <c r="AF7" t="s">
        <v>4171</v>
      </c>
      <c r="AG7" t="s">
        <v>4172</v>
      </c>
      <c r="AH7" t="s">
        <v>4171</v>
      </c>
      <c r="AI7" t="s">
        <v>4173</v>
      </c>
      <c r="AJ7" t="s">
        <v>4171</v>
      </c>
      <c r="AK7" t="s">
        <v>4173</v>
      </c>
      <c r="AL7" t="s">
        <v>4146</v>
      </c>
    </row>
    <row r="8" spans="1:38" ht="11.25" customHeight="1">
      <c r="A8" t="s">
        <v>9</v>
      </c>
      <c r="B8" t="s">
        <v>36</v>
      </c>
      <c r="C8" t="s">
        <v>38</v>
      </c>
      <c r="D8" t="s">
        <v>9</v>
      </c>
      <c r="E8" t="s">
        <v>4174</v>
      </c>
      <c r="F8" t="s">
        <v>1438</v>
      </c>
      <c r="G8" t="s">
        <v>87</v>
      </c>
      <c r="H8" t="s">
        <v>87</v>
      </c>
      <c r="I8" t="s">
        <v>88</v>
      </c>
      <c r="J8" t="s">
        <v>4134</v>
      </c>
      <c r="K8" t="s">
        <v>4135</v>
      </c>
      <c r="L8" t="s">
        <v>4175</v>
      </c>
      <c r="M8" t="s">
        <v>4176</v>
      </c>
      <c r="N8" t="s">
        <v>164</v>
      </c>
      <c r="O8" t="s">
        <v>87</v>
      </c>
      <c r="P8" t="s">
        <v>87</v>
      </c>
      <c r="Q8" t="s">
        <v>88</v>
      </c>
      <c r="R8" t="s">
        <v>4134</v>
      </c>
      <c r="S8" t="s">
        <v>4135</v>
      </c>
      <c r="T8" t="s">
        <v>4138</v>
      </c>
      <c r="U8" t="s">
        <v>4139</v>
      </c>
      <c r="V8" t="s">
        <v>624</v>
      </c>
      <c r="W8" t="s">
        <v>4140</v>
      </c>
      <c r="X8" t="s">
        <v>4141</v>
      </c>
      <c r="Y8" t="s">
        <v>4142</v>
      </c>
      <c r="Z8" t="s">
        <v>4177</v>
      </c>
      <c r="AA8" t="s">
        <v>4178</v>
      </c>
      <c r="AB8" t="s">
        <v>624</v>
      </c>
      <c r="AC8" t="s">
        <v>50</v>
      </c>
      <c r="AD8" t="s">
        <v>50</v>
      </c>
      <c r="AE8" t="s">
        <v>50</v>
      </c>
      <c r="AF8" t="s">
        <v>130</v>
      </c>
      <c r="AG8" t="s">
        <v>4179</v>
      </c>
      <c r="AH8" t="s">
        <v>130</v>
      </c>
      <c r="AI8" t="s">
        <v>4179</v>
      </c>
      <c r="AJ8" t="s">
        <v>130</v>
      </c>
      <c r="AK8" t="s">
        <v>4179</v>
      </c>
      <c r="AL8" t="s">
        <v>4146</v>
      </c>
    </row>
    <row r="9" spans="1:38" ht="11.25" customHeight="1">
      <c r="A9" t="s">
        <v>9</v>
      </c>
      <c r="B9" t="s">
        <v>36</v>
      </c>
      <c r="C9" t="s">
        <v>38</v>
      </c>
      <c r="D9" t="s">
        <v>9</v>
      </c>
      <c r="E9" t="s">
        <v>4180</v>
      </c>
      <c r="F9" t="s">
        <v>4148</v>
      </c>
      <c r="G9" t="s">
        <v>87</v>
      </c>
      <c r="H9" t="s">
        <v>87</v>
      </c>
      <c r="I9" t="s">
        <v>88</v>
      </c>
      <c r="J9" t="s">
        <v>4134</v>
      </c>
      <c r="K9" t="s">
        <v>4135</v>
      </c>
      <c r="L9" t="s">
        <v>4175</v>
      </c>
      <c r="M9" t="s">
        <v>4176</v>
      </c>
      <c r="N9" t="s">
        <v>164</v>
      </c>
      <c r="O9" t="s">
        <v>87</v>
      </c>
      <c r="P9" t="s">
        <v>87</v>
      </c>
      <c r="Q9" t="s">
        <v>88</v>
      </c>
      <c r="R9" t="s">
        <v>4134</v>
      </c>
      <c r="S9" t="s">
        <v>4135</v>
      </c>
      <c r="T9" t="s">
        <v>4138</v>
      </c>
      <c r="U9" t="s">
        <v>4139</v>
      </c>
      <c r="V9" t="s">
        <v>624</v>
      </c>
      <c r="W9" t="s">
        <v>4140</v>
      </c>
      <c r="X9" t="s">
        <v>4141</v>
      </c>
      <c r="Y9" t="s">
        <v>4142</v>
      </c>
      <c r="Z9" t="s">
        <v>4177</v>
      </c>
      <c r="AA9" t="s">
        <v>4178</v>
      </c>
      <c r="AB9" t="s">
        <v>624</v>
      </c>
      <c r="AC9" t="s">
        <v>6</v>
      </c>
      <c r="AD9" t="s">
        <v>50</v>
      </c>
      <c r="AE9" t="s">
        <v>6</v>
      </c>
      <c r="AF9" t="s">
        <v>9</v>
      </c>
      <c r="AG9" t="s">
        <v>9</v>
      </c>
      <c r="AH9" t="s">
        <v>130</v>
      </c>
      <c r="AI9" t="s">
        <v>4179</v>
      </c>
      <c r="AJ9" t="s">
        <v>130</v>
      </c>
      <c r="AK9" t="s">
        <v>4179</v>
      </c>
      <c r="AL9" t="s">
        <v>9</v>
      </c>
    </row>
    <row r="10" spans="1:38" ht="11.25" customHeight="1">
      <c r="A10" t="s">
        <v>9</v>
      </c>
      <c r="B10" t="s">
        <v>36</v>
      </c>
      <c r="C10" t="s">
        <v>38</v>
      </c>
      <c r="D10" t="s">
        <v>9</v>
      </c>
      <c r="E10" t="s">
        <v>4181</v>
      </c>
      <c r="F10" t="s">
        <v>4148</v>
      </c>
      <c r="G10" t="s">
        <v>87</v>
      </c>
      <c r="H10" t="s">
        <v>87</v>
      </c>
      <c r="I10" t="s">
        <v>88</v>
      </c>
      <c r="J10" t="s">
        <v>4134</v>
      </c>
      <c r="K10" t="s">
        <v>4135</v>
      </c>
      <c r="L10" t="s">
        <v>4175</v>
      </c>
      <c r="M10" t="s">
        <v>4176</v>
      </c>
      <c r="N10" t="s">
        <v>164</v>
      </c>
      <c r="O10" t="s">
        <v>87</v>
      </c>
      <c r="P10" t="s">
        <v>87</v>
      </c>
      <c r="Q10" t="s">
        <v>88</v>
      </c>
      <c r="R10" t="s">
        <v>4134</v>
      </c>
      <c r="S10" t="s">
        <v>4135</v>
      </c>
      <c r="T10" t="s">
        <v>4138</v>
      </c>
      <c r="U10" t="s">
        <v>4139</v>
      </c>
      <c r="V10" t="s">
        <v>624</v>
      </c>
      <c r="W10" t="s">
        <v>4140</v>
      </c>
      <c r="X10" t="s">
        <v>4141</v>
      </c>
      <c r="Y10" t="s">
        <v>4142</v>
      </c>
      <c r="Z10" t="s">
        <v>4177</v>
      </c>
      <c r="AA10" t="s">
        <v>4178</v>
      </c>
      <c r="AB10" t="s">
        <v>624</v>
      </c>
      <c r="AC10" t="s">
        <v>6</v>
      </c>
      <c r="AD10" t="s">
        <v>50</v>
      </c>
      <c r="AE10" t="s">
        <v>6</v>
      </c>
      <c r="AF10" t="s">
        <v>9</v>
      </c>
      <c r="AG10" t="s">
        <v>9</v>
      </c>
      <c r="AH10" t="s">
        <v>130</v>
      </c>
      <c r="AI10" t="s">
        <v>4179</v>
      </c>
      <c r="AJ10" t="s">
        <v>130</v>
      </c>
      <c r="AK10" t="s">
        <v>4179</v>
      </c>
      <c r="AL10" t="s">
        <v>9</v>
      </c>
    </row>
    <row r="11" spans="1:38" ht="11.25" customHeight="1">
      <c r="A11" t="s">
        <v>9</v>
      </c>
      <c r="B11" t="s">
        <v>36</v>
      </c>
      <c r="C11" t="s">
        <v>38</v>
      </c>
      <c r="D11" t="s">
        <v>9</v>
      </c>
      <c r="E11" t="s">
        <v>4182</v>
      </c>
      <c r="F11" t="s">
        <v>1438</v>
      </c>
      <c r="G11" t="s">
        <v>87</v>
      </c>
      <c r="H11" t="s">
        <v>87</v>
      </c>
      <c r="I11" t="s">
        <v>88</v>
      </c>
      <c r="J11" t="s">
        <v>4134</v>
      </c>
      <c r="K11" t="s">
        <v>4135</v>
      </c>
      <c r="L11" t="s">
        <v>4183</v>
      </c>
      <c r="M11" t="s">
        <v>4184</v>
      </c>
      <c r="N11" t="s">
        <v>164</v>
      </c>
      <c r="O11" t="s">
        <v>87</v>
      </c>
      <c r="P11" t="s">
        <v>87</v>
      </c>
      <c r="Q11" t="s">
        <v>88</v>
      </c>
      <c r="R11" t="s">
        <v>4134</v>
      </c>
      <c r="S11" t="s">
        <v>4135</v>
      </c>
      <c r="T11" t="s">
        <v>4138</v>
      </c>
      <c r="U11" t="s">
        <v>4139</v>
      </c>
      <c r="V11" t="s">
        <v>624</v>
      </c>
      <c r="W11" t="s">
        <v>4140</v>
      </c>
      <c r="X11" t="s">
        <v>4141</v>
      </c>
      <c r="Y11" t="s">
        <v>4142</v>
      </c>
      <c r="Z11" t="s">
        <v>4185</v>
      </c>
      <c r="AA11" t="s">
        <v>4186</v>
      </c>
      <c r="AB11" t="s">
        <v>624</v>
      </c>
      <c r="AC11" t="s">
        <v>50</v>
      </c>
      <c r="AD11" t="s">
        <v>50</v>
      </c>
      <c r="AE11" t="s">
        <v>50</v>
      </c>
      <c r="AF11" t="s">
        <v>4187</v>
      </c>
      <c r="AG11" t="s">
        <v>4188</v>
      </c>
      <c r="AH11" t="s">
        <v>4187</v>
      </c>
      <c r="AI11" t="s">
        <v>4188</v>
      </c>
      <c r="AJ11" t="s">
        <v>4187</v>
      </c>
      <c r="AK11" t="s">
        <v>4188</v>
      </c>
      <c r="AL11" t="s">
        <v>4146</v>
      </c>
    </row>
    <row r="12" spans="1:38" ht="11.25" customHeight="1">
      <c r="A12" t="s">
        <v>9</v>
      </c>
      <c r="B12" t="s">
        <v>36</v>
      </c>
      <c r="C12" t="s">
        <v>38</v>
      </c>
      <c r="D12" t="s">
        <v>9</v>
      </c>
      <c r="E12" t="s">
        <v>4189</v>
      </c>
      <c r="F12" t="s">
        <v>4148</v>
      </c>
      <c r="G12" t="s">
        <v>87</v>
      </c>
      <c r="H12" t="s">
        <v>87</v>
      </c>
      <c r="I12" t="s">
        <v>88</v>
      </c>
      <c r="J12" t="s">
        <v>4134</v>
      </c>
      <c r="K12" t="s">
        <v>4135</v>
      </c>
      <c r="L12" t="s">
        <v>4183</v>
      </c>
      <c r="M12" t="s">
        <v>4184</v>
      </c>
      <c r="N12" t="s">
        <v>164</v>
      </c>
      <c r="O12" t="s">
        <v>87</v>
      </c>
      <c r="P12" t="s">
        <v>87</v>
      </c>
      <c r="Q12" t="s">
        <v>88</v>
      </c>
      <c r="R12" t="s">
        <v>4134</v>
      </c>
      <c r="S12" t="s">
        <v>4135</v>
      </c>
      <c r="T12" t="s">
        <v>4138</v>
      </c>
      <c r="U12" t="s">
        <v>4139</v>
      </c>
      <c r="V12" t="s">
        <v>624</v>
      </c>
      <c r="W12" t="s">
        <v>4140</v>
      </c>
      <c r="X12" t="s">
        <v>4141</v>
      </c>
      <c r="Y12" t="s">
        <v>4142</v>
      </c>
      <c r="Z12" t="s">
        <v>4185</v>
      </c>
      <c r="AA12" t="s">
        <v>4186</v>
      </c>
      <c r="AB12" t="s">
        <v>624</v>
      </c>
      <c r="AC12" t="s">
        <v>6</v>
      </c>
      <c r="AD12" t="s">
        <v>50</v>
      </c>
      <c r="AE12" t="s">
        <v>6</v>
      </c>
      <c r="AF12" t="s">
        <v>9</v>
      </c>
      <c r="AG12" t="s">
        <v>9</v>
      </c>
      <c r="AH12" t="s">
        <v>4187</v>
      </c>
      <c r="AI12" t="s">
        <v>4188</v>
      </c>
      <c r="AJ12" t="s">
        <v>4187</v>
      </c>
      <c r="AK12" t="s">
        <v>4188</v>
      </c>
      <c r="AL12" t="s">
        <v>9</v>
      </c>
    </row>
    <row r="13" spans="1:38" ht="11.25" customHeight="1">
      <c r="A13" t="s">
        <v>9</v>
      </c>
      <c r="B13" t="s">
        <v>36</v>
      </c>
      <c r="C13" t="s">
        <v>38</v>
      </c>
      <c r="D13" t="s">
        <v>9</v>
      </c>
      <c r="E13" t="s">
        <v>4190</v>
      </c>
      <c r="F13" t="s">
        <v>4148</v>
      </c>
      <c r="G13" t="s">
        <v>87</v>
      </c>
      <c r="H13" t="s">
        <v>87</v>
      </c>
      <c r="I13" t="s">
        <v>88</v>
      </c>
      <c r="J13" t="s">
        <v>4134</v>
      </c>
      <c r="K13" t="s">
        <v>4135</v>
      </c>
      <c r="L13" t="s">
        <v>4183</v>
      </c>
      <c r="M13" t="s">
        <v>4191</v>
      </c>
      <c r="N13" t="s">
        <v>164</v>
      </c>
      <c r="O13" t="s">
        <v>87</v>
      </c>
      <c r="P13" t="s">
        <v>87</v>
      </c>
      <c r="Q13" t="s">
        <v>88</v>
      </c>
      <c r="R13" t="s">
        <v>4134</v>
      </c>
      <c r="S13" t="s">
        <v>4135</v>
      </c>
      <c r="T13" t="s">
        <v>4138</v>
      </c>
      <c r="U13" t="s">
        <v>4139</v>
      </c>
      <c r="V13" t="s">
        <v>624</v>
      </c>
      <c r="W13" t="s">
        <v>4140</v>
      </c>
      <c r="X13" t="s">
        <v>4141</v>
      </c>
      <c r="Y13" t="s">
        <v>4142</v>
      </c>
      <c r="Z13" t="s">
        <v>4185</v>
      </c>
      <c r="AA13" t="s">
        <v>4186</v>
      </c>
      <c r="AB13" t="s">
        <v>624</v>
      </c>
      <c r="AC13" t="s">
        <v>6</v>
      </c>
      <c r="AD13" t="s">
        <v>50</v>
      </c>
      <c r="AE13" t="s">
        <v>6</v>
      </c>
      <c r="AF13" t="s">
        <v>9</v>
      </c>
      <c r="AG13" t="s">
        <v>9</v>
      </c>
      <c r="AH13" t="s">
        <v>4187</v>
      </c>
      <c r="AI13" t="s">
        <v>4188</v>
      </c>
      <c r="AJ13" t="s">
        <v>4187</v>
      </c>
      <c r="AK13" t="s">
        <v>4188</v>
      </c>
      <c r="AL13" t="s">
        <v>9</v>
      </c>
    </row>
    <row r="14" spans="1:38" ht="11.25" customHeight="1">
      <c r="A14" t="s">
        <v>9</v>
      </c>
      <c r="B14" t="s">
        <v>36</v>
      </c>
      <c r="C14" t="s">
        <v>38</v>
      </c>
      <c r="D14" t="s">
        <v>9</v>
      </c>
      <c r="E14" t="s">
        <v>1456</v>
      </c>
      <c r="F14" t="s">
        <v>1438</v>
      </c>
      <c r="G14" t="s">
        <v>87</v>
      </c>
      <c r="H14" t="s">
        <v>87</v>
      </c>
      <c r="I14" t="s">
        <v>88</v>
      </c>
      <c r="J14" t="s">
        <v>4134</v>
      </c>
      <c r="K14" t="s">
        <v>4135</v>
      </c>
      <c r="L14" t="s">
        <v>4192</v>
      </c>
      <c r="M14" t="s">
        <v>4193</v>
      </c>
      <c r="N14" t="s">
        <v>164</v>
      </c>
      <c r="O14" t="s">
        <v>87</v>
      </c>
      <c r="P14" t="s">
        <v>87</v>
      </c>
      <c r="Q14" t="s">
        <v>88</v>
      </c>
      <c r="R14" t="s">
        <v>4134</v>
      </c>
      <c r="S14" t="s">
        <v>4135</v>
      </c>
      <c r="T14" t="s">
        <v>4138</v>
      </c>
      <c r="U14" t="s">
        <v>4139</v>
      </c>
      <c r="V14" t="s">
        <v>624</v>
      </c>
      <c r="W14" t="s">
        <v>4140</v>
      </c>
      <c r="X14" t="s">
        <v>4141</v>
      </c>
      <c r="Y14" t="s">
        <v>4142</v>
      </c>
      <c r="Z14" t="s">
        <v>4194</v>
      </c>
      <c r="AA14" t="s">
        <v>4195</v>
      </c>
      <c r="AB14" t="s">
        <v>624</v>
      </c>
      <c r="AC14" t="s">
        <v>50</v>
      </c>
      <c r="AD14" t="s">
        <v>50</v>
      </c>
      <c r="AE14" t="s">
        <v>50</v>
      </c>
      <c r="AF14" t="s">
        <v>4153</v>
      </c>
      <c r="AG14" t="s">
        <v>722</v>
      </c>
      <c r="AH14" t="s">
        <v>4153</v>
      </c>
      <c r="AI14" t="s">
        <v>722</v>
      </c>
      <c r="AJ14" t="s">
        <v>4153</v>
      </c>
      <c r="AK14" t="s">
        <v>722</v>
      </c>
      <c r="AL14" t="s">
        <v>4146</v>
      </c>
    </row>
    <row r="15" spans="1:38" ht="11.25" customHeight="1">
      <c r="A15" t="s">
        <v>9</v>
      </c>
      <c r="B15" t="s">
        <v>36</v>
      </c>
      <c r="C15" t="s">
        <v>38</v>
      </c>
      <c r="D15" t="s">
        <v>9</v>
      </c>
      <c r="E15" t="s">
        <v>4196</v>
      </c>
      <c r="F15" t="s">
        <v>4148</v>
      </c>
      <c r="G15" t="s">
        <v>87</v>
      </c>
      <c r="H15" t="s">
        <v>87</v>
      </c>
      <c r="I15" t="s">
        <v>88</v>
      </c>
      <c r="J15" t="s">
        <v>4134</v>
      </c>
      <c r="K15" t="s">
        <v>4135</v>
      </c>
      <c r="L15" t="s">
        <v>4192</v>
      </c>
      <c r="M15" t="s">
        <v>4150</v>
      </c>
      <c r="N15" t="s">
        <v>164</v>
      </c>
      <c r="O15" t="s">
        <v>87</v>
      </c>
      <c r="P15" t="s">
        <v>87</v>
      </c>
      <c r="Q15" t="s">
        <v>88</v>
      </c>
      <c r="R15" t="s">
        <v>4134</v>
      </c>
      <c r="S15" t="s">
        <v>4135</v>
      </c>
      <c r="T15" t="s">
        <v>4138</v>
      </c>
      <c r="U15" t="s">
        <v>4139</v>
      </c>
      <c r="V15" t="s">
        <v>624</v>
      </c>
      <c r="W15" t="s">
        <v>4140</v>
      </c>
      <c r="X15" t="s">
        <v>4141</v>
      </c>
      <c r="Y15" t="s">
        <v>4142</v>
      </c>
      <c r="Z15" t="s">
        <v>4194</v>
      </c>
      <c r="AA15" t="s">
        <v>4195</v>
      </c>
      <c r="AB15" t="s">
        <v>624</v>
      </c>
      <c r="AC15" t="s">
        <v>6</v>
      </c>
      <c r="AD15" t="s">
        <v>50</v>
      </c>
      <c r="AE15" t="s">
        <v>6</v>
      </c>
      <c r="AF15" t="s">
        <v>9</v>
      </c>
      <c r="AG15" t="s">
        <v>9</v>
      </c>
      <c r="AH15" t="s">
        <v>4153</v>
      </c>
      <c r="AI15" t="s">
        <v>4197</v>
      </c>
      <c r="AJ15" t="s">
        <v>4153</v>
      </c>
      <c r="AK15" t="s">
        <v>4197</v>
      </c>
      <c r="AL15" t="s">
        <v>9</v>
      </c>
    </row>
    <row r="16" spans="1:38" ht="11.25" customHeight="1">
      <c r="A16" t="s">
        <v>9</v>
      </c>
      <c r="B16" t="s">
        <v>36</v>
      </c>
      <c r="C16" t="s">
        <v>38</v>
      </c>
      <c r="D16" t="s">
        <v>9</v>
      </c>
      <c r="E16" t="s">
        <v>1500</v>
      </c>
      <c r="F16" t="s">
        <v>1438</v>
      </c>
      <c r="G16" t="s">
        <v>87</v>
      </c>
      <c r="H16" t="s">
        <v>87</v>
      </c>
      <c r="I16" t="s">
        <v>88</v>
      </c>
      <c r="J16" t="s">
        <v>4134</v>
      </c>
      <c r="K16" t="s">
        <v>4135</v>
      </c>
      <c r="L16" t="s">
        <v>4198</v>
      </c>
      <c r="M16" t="s">
        <v>1442</v>
      </c>
      <c r="N16" t="s">
        <v>164</v>
      </c>
      <c r="O16" t="s">
        <v>87</v>
      </c>
      <c r="P16" t="s">
        <v>87</v>
      </c>
      <c r="Q16" t="s">
        <v>88</v>
      </c>
      <c r="R16" t="s">
        <v>4134</v>
      </c>
      <c r="S16" t="s">
        <v>4135</v>
      </c>
      <c r="T16" t="s">
        <v>4138</v>
      </c>
      <c r="U16" t="s">
        <v>4139</v>
      </c>
      <c r="V16" t="s">
        <v>624</v>
      </c>
      <c r="W16" t="s">
        <v>4140</v>
      </c>
      <c r="X16" t="s">
        <v>4141</v>
      </c>
      <c r="Y16" t="s">
        <v>4142</v>
      </c>
      <c r="Z16" t="s">
        <v>4199</v>
      </c>
      <c r="AA16" t="s">
        <v>4200</v>
      </c>
      <c r="AB16" t="s">
        <v>624</v>
      </c>
      <c r="AC16" t="s">
        <v>50</v>
      </c>
      <c r="AD16" t="s">
        <v>50</v>
      </c>
      <c r="AE16" t="s">
        <v>50</v>
      </c>
      <c r="AF16" t="s">
        <v>122</v>
      </c>
      <c r="AG16" t="s">
        <v>1049</v>
      </c>
      <c r="AH16" t="s">
        <v>1219</v>
      </c>
      <c r="AI16" t="s">
        <v>1049</v>
      </c>
      <c r="AJ16" t="s">
        <v>1219</v>
      </c>
      <c r="AK16" t="s">
        <v>1049</v>
      </c>
      <c r="AL16" t="s">
        <v>4146</v>
      </c>
    </row>
    <row r="17" spans="1:38" ht="11.25" customHeight="1">
      <c r="A17" t="s">
        <v>9</v>
      </c>
      <c r="B17" t="s">
        <v>36</v>
      </c>
      <c r="C17" t="s">
        <v>38</v>
      </c>
      <c r="D17" t="s">
        <v>9</v>
      </c>
      <c r="E17" t="s">
        <v>4201</v>
      </c>
      <c r="F17" t="s">
        <v>4148</v>
      </c>
      <c r="G17" t="s">
        <v>87</v>
      </c>
      <c r="H17" t="s">
        <v>87</v>
      </c>
      <c r="I17" t="s">
        <v>88</v>
      </c>
      <c r="J17" t="s">
        <v>4134</v>
      </c>
      <c r="K17" t="s">
        <v>4135</v>
      </c>
      <c r="L17" t="s">
        <v>4198</v>
      </c>
      <c r="M17" t="s">
        <v>1442</v>
      </c>
      <c r="N17" t="s">
        <v>164</v>
      </c>
      <c r="O17" t="s">
        <v>87</v>
      </c>
      <c r="P17" t="s">
        <v>87</v>
      </c>
      <c r="Q17" t="s">
        <v>88</v>
      </c>
      <c r="R17" t="s">
        <v>4134</v>
      </c>
      <c r="S17" t="s">
        <v>4135</v>
      </c>
      <c r="T17" t="s">
        <v>4138</v>
      </c>
      <c r="U17" t="s">
        <v>4139</v>
      </c>
      <c r="V17" t="s">
        <v>624</v>
      </c>
      <c r="W17" t="s">
        <v>4140</v>
      </c>
      <c r="X17" t="s">
        <v>4141</v>
      </c>
      <c r="Y17" t="s">
        <v>4142</v>
      </c>
      <c r="Z17" t="s">
        <v>4199</v>
      </c>
      <c r="AA17" t="s">
        <v>4200</v>
      </c>
      <c r="AB17" t="s">
        <v>624</v>
      </c>
      <c r="AC17" t="s">
        <v>6</v>
      </c>
      <c r="AD17" t="s">
        <v>50</v>
      </c>
      <c r="AE17" t="s">
        <v>6</v>
      </c>
      <c r="AF17" t="s">
        <v>9</v>
      </c>
      <c r="AG17" t="s">
        <v>9</v>
      </c>
      <c r="AH17" t="s">
        <v>1219</v>
      </c>
      <c r="AI17" t="s">
        <v>1049</v>
      </c>
      <c r="AJ17" t="s">
        <v>1219</v>
      </c>
      <c r="AK17" t="s">
        <v>1049</v>
      </c>
      <c r="AL17" t="s">
        <v>9</v>
      </c>
    </row>
    <row r="18" spans="1:38" ht="11.25" customHeight="1">
      <c r="A18" t="s">
        <v>9</v>
      </c>
      <c r="B18" t="s">
        <v>36</v>
      </c>
      <c r="C18" t="s">
        <v>38</v>
      </c>
      <c r="D18" t="s">
        <v>9</v>
      </c>
      <c r="E18" t="s">
        <v>4202</v>
      </c>
      <c r="F18" t="s">
        <v>1457</v>
      </c>
      <c r="G18" t="s">
        <v>87</v>
      </c>
      <c r="H18" t="s">
        <v>87</v>
      </c>
      <c r="I18" t="s">
        <v>88</v>
      </c>
      <c r="J18" t="s">
        <v>4134</v>
      </c>
      <c r="K18" t="s">
        <v>4135</v>
      </c>
      <c r="L18" t="s">
        <v>4203</v>
      </c>
      <c r="M18" t="s">
        <v>4204</v>
      </c>
      <c r="N18" t="s">
        <v>164</v>
      </c>
      <c r="O18" t="s">
        <v>87</v>
      </c>
      <c r="P18" t="s">
        <v>87</v>
      </c>
      <c r="Q18" t="s">
        <v>88</v>
      </c>
      <c r="R18" t="s">
        <v>4134</v>
      </c>
      <c r="S18" t="s">
        <v>4135</v>
      </c>
      <c r="T18" t="s">
        <v>4138</v>
      </c>
      <c r="U18" t="s">
        <v>4139</v>
      </c>
      <c r="V18" t="s">
        <v>624</v>
      </c>
      <c r="W18" t="s">
        <v>4140</v>
      </c>
      <c r="X18" t="s">
        <v>4141</v>
      </c>
      <c r="Y18" t="s">
        <v>4142</v>
      </c>
      <c r="Z18" t="s">
        <v>4205</v>
      </c>
      <c r="AA18" t="s">
        <v>4206</v>
      </c>
      <c r="AB18" t="s">
        <v>624</v>
      </c>
      <c r="AC18" t="s">
        <v>50</v>
      </c>
      <c r="AD18" t="s">
        <v>6</v>
      </c>
      <c r="AE18" t="s">
        <v>6</v>
      </c>
      <c r="AF18" t="s">
        <v>1544</v>
      </c>
      <c r="AG18" t="s">
        <v>4207</v>
      </c>
      <c r="AH18" t="s">
        <v>9</v>
      </c>
      <c r="AI18" t="s">
        <v>9</v>
      </c>
      <c r="AJ18" t="s">
        <v>9</v>
      </c>
      <c r="AK18" t="s">
        <v>9</v>
      </c>
      <c r="AL18" t="s">
        <v>4146</v>
      </c>
    </row>
    <row r="19" spans="1:38" ht="11.25" customHeight="1">
      <c r="A19" t="s">
        <v>9</v>
      </c>
      <c r="B19" t="s">
        <v>36</v>
      </c>
      <c r="C19" t="s">
        <v>38</v>
      </c>
      <c r="D19" t="s">
        <v>9</v>
      </c>
      <c r="E19" t="s">
        <v>1467</v>
      </c>
      <c r="F19" t="s">
        <v>1438</v>
      </c>
      <c r="G19" t="s">
        <v>87</v>
      </c>
      <c r="H19" t="s">
        <v>87</v>
      </c>
      <c r="I19" t="s">
        <v>88</v>
      </c>
      <c r="J19" t="s">
        <v>4134</v>
      </c>
      <c r="K19" t="s">
        <v>4135</v>
      </c>
      <c r="L19" t="s">
        <v>4208</v>
      </c>
      <c r="M19" t="s">
        <v>4209</v>
      </c>
      <c r="N19" t="s">
        <v>164</v>
      </c>
      <c r="O19" t="s">
        <v>87</v>
      </c>
      <c r="P19" t="s">
        <v>87</v>
      </c>
      <c r="Q19" t="s">
        <v>88</v>
      </c>
      <c r="R19" t="s">
        <v>4134</v>
      </c>
      <c r="S19" t="s">
        <v>4135</v>
      </c>
      <c r="T19" t="s">
        <v>4165</v>
      </c>
      <c r="U19" t="s">
        <v>4210</v>
      </c>
      <c r="V19" t="s">
        <v>624</v>
      </c>
      <c r="W19" t="s">
        <v>4140</v>
      </c>
      <c r="X19" t="s">
        <v>4167</v>
      </c>
      <c r="Y19" t="s">
        <v>4168</v>
      </c>
      <c r="Z19" t="s">
        <v>4211</v>
      </c>
      <c r="AA19" t="s">
        <v>4170</v>
      </c>
      <c r="AB19" t="s">
        <v>624</v>
      </c>
      <c r="AC19" t="s">
        <v>50</v>
      </c>
      <c r="AD19" t="s">
        <v>50</v>
      </c>
      <c r="AE19" t="s">
        <v>50</v>
      </c>
      <c r="AF19" t="s">
        <v>1366</v>
      </c>
      <c r="AG19" t="s">
        <v>4212</v>
      </c>
      <c r="AH19" t="s">
        <v>1366</v>
      </c>
      <c r="AI19" t="s">
        <v>4212</v>
      </c>
      <c r="AJ19" t="s">
        <v>1366</v>
      </c>
      <c r="AK19" t="s">
        <v>4212</v>
      </c>
      <c r="AL19" t="s">
        <v>4146</v>
      </c>
    </row>
    <row r="20" spans="1:38" ht="11.25" customHeight="1">
      <c r="A20" t="s">
        <v>9</v>
      </c>
      <c r="B20" t="s">
        <v>36</v>
      </c>
      <c r="C20" t="s">
        <v>38</v>
      </c>
      <c r="D20" t="s">
        <v>9</v>
      </c>
      <c r="E20" t="s">
        <v>4213</v>
      </c>
      <c r="F20" t="s">
        <v>4148</v>
      </c>
      <c r="G20" t="s">
        <v>87</v>
      </c>
      <c r="H20" t="s">
        <v>87</v>
      </c>
      <c r="I20" t="s">
        <v>88</v>
      </c>
      <c r="J20" t="s">
        <v>4134</v>
      </c>
      <c r="K20" t="s">
        <v>4135</v>
      </c>
      <c r="L20" t="s">
        <v>4208</v>
      </c>
      <c r="M20" t="s">
        <v>4209</v>
      </c>
      <c r="N20" t="s">
        <v>164</v>
      </c>
      <c r="O20" t="s">
        <v>87</v>
      </c>
      <c r="P20" t="s">
        <v>87</v>
      </c>
      <c r="Q20" t="s">
        <v>88</v>
      </c>
      <c r="R20" t="s">
        <v>4134</v>
      </c>
      <c r="S20" t="s">
        <v>4135</v>
      </c>
      <c r="T20" t="s">
        <v>4165</v>
      </c>
      <c r="U20" t="s">
        <v>4210</v>
      </c>
      <c r="V20" t="s">
        <v>624</v>
      </c>
      <c r="W20" t="s">
        <v>4140</v>
      </c>
      <c r="X20" t="s">
        <v>4167</v>
      </c>
      <c r="Y20" t="s">
        <v>4168</v>
      </c>
      <c r="Z20" t="s">
        <v>4211</v>
      </c>
      <c r="AA20" t="s">
        <v>4170</v>
      </c>
      <c r="AB20" t="s">
        <v>624</v>
      </c>
      <c r="AC20" t="s">
        <v>6</v>
      </c>
      <c r="AD20" t="s">
        <v>50</v>
      </c>
      <c r="AE20" t="s">
        <v>6</v>
      </c>
      <c r="AF20" t="s">
        <v>9</v>
      </c>
      <c r="AG20" t="s">
        <v>9</v>
      </c>
      <c r="AH20" t="s">
        <v>1366</v>
      </c>
      <c r="AI20" t="s">
        <v>4212</v>
      </c>
      <c r="AJ20" t="s">
        <v>1366</v>
      </c>
      <c r="AK20" t="s">
        <v>4212</v>
      </c>
      <c r="AL20" t="s">
        <v>9</v>
      </c>
    </row>
    <row r="21" spans="1:38" ht="11.25" customHeight="1">
      <c r="A21" t="s">
        <v>9</v>
      </c>
      <c r="B21" t="s">
        <v>36</v>
      </c>
      <c r="C21" t="s">
        <v>38</v>
      </c>
      <c r="D21" t="s">
        <v>9</v>
      </c>
      <c r="E21" t="s">
        <v>4214</v>
      </c>
      <c r="F21" t="s">
        <v>4148</v>
      </c>
      <c r="G21" t="s">
        <v>87</v>
      </c>
      <c r="H21" t="s">
        <v>87</v>
      </c>
      <c r="I21" t="s">
        <v>88</v>
      </c>
      <c r="J21" t="s">
        <v>4134</v>
      </c>
      <c r="K21" t="s">
        <v>4135</v>
      </c>
      <c r="L21" t="s">
        <v>4208</v>
      </c>
      <c r="M21" t="s">
        <v>4209</v>
      </c>
      <c r="N21" t="s">
        <v>164</v>
      </c>
      <c r="O21" t="s">
        <v>87</v>
      </c>
      <c r="P21" t="s">
        <v>87</v>
      </c>
      <c r="Q21" t="s">
        <v>88</v>
      </c>
      <c r="R21" t="s">
        <v>4134</v>
      </c>
      <c r="S21" t="s">
        <v>4135</v>
      </c>
      <c r="T21" t="s">
        <v>4165</v>
      </c>
      <c r="U21" t="s">
        <v>4210</v>
      </c>
      <c r="V21" t="s">
        <v>624</v>
      </c>
      <c r="W21" t="s">
        <v>4140</v>
      </c>
      <c r="X21" t="s">
        <v>4167</v>
      </c>
      <c r="Y21" t="s">
        <v>4168</v>
      </c>
      <c r="Z21" t="s">
        <v>4211</v>
      </c>
      <c r="AA21" t="s">
        <v>4170</v>
      </c>
      <c r="AB21" t="s">
        <v>624</v>
      </c>
      <c r="AC21" t="s">
        <v>6</v>
      </c>
      <c r="AD21" t="s">
        <v>50</v>
      </c>
      <c r="AE21" t="s">
        <v>6</v>
      </c>
      <c r="AF21" t="s">
        <v>9</v>
      </c>
      <c r="AG21" t="s">
        <v>9</v>
      </c>
      <c r="AH21" t="s">
        <v>1366</v>
      </c>
      <c r="AI21" t="s">
        <v>4212</v>
      </c>
      <c r="AJ21" t="s">
        <v>1366</v>
      </c>
      <c r="AK21" t="s">
        <v>4212</v>
      </c>
      <c r="AL21" t="s">
        <v>9</v>
      </c>
    </row>
    <row r="22" spans="1:38" ht="11.25" customHeight="1">
      <c r="A22" t="s">
        <v>9</v>
      </c>
      <c r="B22" t="s">
        <v>36</v>
      </c>
      <c r="C22" t="s">
        <v>38</v>
      </c>
      <c r="D22" t="s">
        <v>9</v>
      </c>
      <c r="E22" t="s">
        <v>1471</v>
      </c>
      <c r="F22" t="s">
        <v>1438</v>
      </c>
      <c r="G22" t="s">
        <v>87</v>
      </c>
      <c r="H22" t="s">
        <v>87</v>
      </c>
      <c r="I22" t="s">
        <v>88</v>
      </c>
      <c r="J22" t="s">
        <v>4134</v>
      </c>
      <c r="K22" t="s">
        <v>4135</v>
      </c>
      <c r="L22" t="s">
        <v>4215</v>
      </c>
      <c r="M22" t="s">
        <v>1442</v>
      </c>
      <c r="N22" t="s">
        <v>164</v>
      </c>
      <c r="O22" t="s">
        <v>87</v>
      </c>
      <c r="P22" t="s">
        <v>87</v>
      </c>
      <c r="Q22" t="s">
        <v>88</v>
      </c>
      <c r="R22" t="s">
        <v>4134</v>
      </c>
      <c r="S22" t="s">
        <v>4135</v>
      </c>
      <c r="T22" t="s">
        <v>4165</v>
      </c>
      <c r="U22" t="s">
        <v>4210</v>
      </c>
      <c r="V22" t="s">
        <v>624</v>
      </c>
      <c r="W22" t="s">
        <v>4140</v>
      </c>
      <c r="X22" t="s">
        <v>4167</v>
      </c>
      <c r="Y22" t="s">
        <v>4168</v>
      </c>
      <c r="Z22" t="s">
        <v>4211</v>
      </c>
      <c r="AA22" t="s">
        <v>4170</v>
      </c>
      <c r="AB22" t="s">
        <v>624</v>
      </c>
      <c r="AC22" t="s">
        <v>50</v>
      </c>
      <c r="AD22" t="s">
        <v>50</v>
      </c>
      <c r="AE22" t="s">
        <v>50</v>
      </c>
      <c r="AF22" t="s">
        <v>4216</v>
      </c>
      <c r="AG22" t="s">
        <v>4217</v>
      </c>
      <c r="AH22" t="s">
        <v>4216</v>
      </c>
      <c r="AI22" t="s">
        <v>4217</v>
      </c>
      <c r="AJ22" t="s">
        <v>4216</v>
      </c>
      <c r="AK22" t="s">
        <v>4217</v>
      </c>
      <c r="AL22" t="s">
        <v>4146</v>
      </c>
    </row>
    <row r="23" spans="1:38" ht="11.25" customHeight="1">
      <c r="A23" t="s">
        <v>9</v>
      </c>
      <c r="B23" t="s">
        <v>36</v>
      </c>
      <c r="C23" t="s">
        <v>38</v>
      </c>
      <c r="D23" t="s">
        <v>9</v>
      </c>
      <c r="E23" t="s">
        <v>4218</v>
      </c>
      <c r="F23" t="s">
        <v>4148</v>
      </c>
      <c r="G23" t="s">
        <v>87</v>
      </c>
      <c r="H23" t="s">
        <v>87</v>
      </c>
      <c r="I23" t="s">
        <v>88</v>
      </c>
      <c r="J23" t="s">
        <v>4134</v>
      </c>
      <c r="K23" t="s">
        <v>4135</v>
      </c>
      <c r="L23" t="s">
        <v>4215</v>
      </c>
      <c r="M23" t="s">
        <v>1442</v>
      </c>
      <c r="N23" t="s">
        <v>164</v>
      </c>
      <c r="O23" t="s">
        <v>87</v>
      </c>
      <c r="P23" t="s">
        <v>87</v>
      </c>
      <c r="Q23" t="s">
        <v>88</v>
      </c>
      <c r="R23" t="s">
        <v>4134</v>
      </c>
      <c r="S23" t="s">
        <v>4135</v>
      </c>
      <c r="T23" t="s">
        <v>4165</v>
      </c>
      <c r="U23" t="s">
        <v>4210</v>
      </c>
      <c r="V23" t="s">
        <v>624</v>
      </c>
      <c r="W23" t="s">
        <v>4140</v>
      </c>
      <c r="X23" t="s">
        <v>4167</v>
      </c>
      <c r="Y23" t="s">
        <v>4168</v>
      </c>
      <c r="Z23" t="s">
        <v>4211</v>
      </c>
      <c r="AA23" t="s">
        <v>4170</v>
      </c>
      <c r="AB23" t="s">
        <v>624</v>
      </c>
      <c r="AC23" t="s">
        <v>6</v>
      </c>
      <c r="AD23" t="s">
        <v>50</v>
      </c>
      <c r="AE23" t="s">
        <v>6</v>
      </c>
      <c r="AF23" t="s">
        <v>9</v>
      </c>
      <c r="AG23" t="s">
        <v>9</v>
      </c>
      <c r="AH23" t="s">
        <v>4216</v>
      </c>
      <c r="AI23" t="s">
        <v>4217</v>
      </c>
      <c r="AJ23" t="s">
        <v>4216</v>
      </c>
      <c r="AK23" t="s">
        <v>4217</v>
      </c>
      <c r="AL23" t="s">
        <v>9</v>
      </c>
    </row>
    <row r="24" spans="1:38" ht="11.25" customHeight="1">
      <c r="A24" t="s">
        <v>9</v>
      </c>
      <c r="B24" t="s">
        <v>36</v>
      </c>
      <c r="C24" t="s">
        <v>38</v>
      </c>
      <c r="D24" t="s">
        <v>9</v>
      </c>
      <c r="E24" t="s">
        <v>4219</v>
      </c>
      <c r="F24" t="s">
        <v>4148</v>
      </c>
      <c r="G24" t="s">
        <v>87</v>
      </c>
      <c r="H24" t="s">
        <v>87</v>
      </c>
      <c r="I24" t="s">
        <v>88</v>
      </c>
      <c r="J24" t="s">
        <v>4134</v>
      </c>
      <c r="K24" t="s">
        <v>4135</v>
      </c>
      <c r="L24" t="s">
        <v>4215</v>
      </c>
      <c r="M24" t="s">
        <v>1442</v>
      </c>
      <c r="N24" t="s">
        <v>164</v>
      </c>
      <c r="O24" t="s">
        <v>87</v>
      </c>
      <c r="P24" t="s">
        <v>87</v>
      </c>
      <c r="Q24" t="s">
        <v>88</v>
      </c>
      <c r="R24" t="s">
        <v>4134</v>
      </c>
      <c r="S24" t="s">
        <v>4135</v>
      </c>
      <c r="T24" t="s">
        <v>4165</v>
      </c>
      <c r="U24" t="s">
        <v>4210</v>
      </c>
      <c r="V24" t="s">
        <v>624</v>
      </c>
      <c r="W24" t="s">
        <v>4140</v>
      </c>
      <c r="X24" t="s">
        <v>4167</v>
      </c>
      <c r="Y24" t="s">
        <v>4168</v>
      </c>
      <c r="Z24" t="s">
        <v>4211</v>
      </c>
      <c r="AA24" t="s">
        <v>4170</v>
      </c>
      <c r="AB24" t="s">
        <v>624</v>
      </c>
      <c r="AC24" t="s">
        <v>6</v>
      </c>
      <c r="AD24" t="s">
        <v>50</v>
      </c>
      <c r="AE24" t="s">
        <v>6</v>
      </c>
      <c r="AF24" t="s">
        <v>9</v>
      </c>
      <c r="AG24" t="s">
        <v>9</v>
      </c>
      <c r="AH24" t="s">
        <v>4216</v>
      </c>
      <c r="AI24" t="s">
        <v>4217</v>
      </c>
      <c r="AJ24" t="s">
        <v>4216</v>
      </c>
      <c r="AK24" t="s">
        <v>4217</v>
      </c>
      <c r="AL24" t="s">
        <v>9</v>
      </c>
    </row>
    <row r="25" spans="1:38" ht="11.25" customHeight="1">
      <c r="A25" t="s">
        <v>9</v>
      </c>
      <c r="B25" t="s">
        <v>36</v>
      </c>
      <c r="C25" t="s">
        <v>38</v>
      </c>
      <c r="D25" t="s">
        <v>9</v>
      </c>
      <c r="E25" t="s">
        <v>1461</v>
      </c>
      <c r="F25" t="s">
        <v>1438</v>
      </c>
      <c r="G25" t="s">
        <v>87</v>
      </c>
      <c r="H25" t="s">
        <v>87</v>
      </c>
      <c r="I25" t="s">
        <v>88</v>
      </c>
      <c r="J25" t="s">
        <v>4134</v>
      </c>
      <c r="K25" t="s">
        <v>4135</v>
      </c>
      <c r="L25" t="s">
        <v>4220</v>
      </c>
      <c r="M25" t="s">
        <v>1442</v>
      </c>
      <c r="N25" t="s">
        <v>164</v>
      </c>
      <c r="O25" t="s">
        <v>87</v>
      </c>
      <c r="P25" t="s">
        <v>87</v>
      </c>
      <c r="Q25" t="s">
        <v>88</v>
      </c>
      <c r="R25" t="s">
        <v>4134</v>
      </c>
      <c r="S25" t="s">
        <v>4135</v>
      </c>
      <c r="T25" t="s">
        <v>4165</v>
      </c>
      <c r="U25" t="s">
        <v>4210</v>
      </c>
      <c r="V25" t="s">
        <v>624</v>
      </c>
      <c r="W25" t="s">
        <v>4140</v>
      </c>
      <c r="X25" t="s">
        <v>4167</v>
      </c>
      <c r="Y25" t="s">
        <v>4168</v>
      </c>
      <c r="Z25" t="s">
        <v>4211</v>
      </c>
      <c r="AA25" t="s">
        <v>4170</v>
      </c>
      <c r="AB25" t="s">
        <v>624</v>
      </c>
      <c r="AC25" t="s">
        <v>50</v>
      </c>
      <c r="AD25" t="s">
        <v>50</v>
      </c>
      <c r="AE25" t="s">
        <v>50</v>
      </c>
      <c r="AF25" t="s">
        <v>110</v>
      </c>
      <c r="AG25" t="s">
        <v>4221</v>
      </c>
      <c r="AH25" t="s">
        <v>110</v>
      </c>
      <c r="AI25" t="s">
        <v>4221</v>
      </c>
      <c r="AJ25" t="s">
        <v>110</v>
      </c>
      <c r="AK25" t="s">
        <v>4221</v>
      </c>
      <c r="AL25" t="s">
        <v>4146</v>
      </c>
    </row>
    <row r="26" spans="1:38" ht="11.25" customHeight="1">
      <c r="A26" t="s">
        <v>9</v>
      </c>
      <c r="B26" t="s">
        <v>36</v>
      </c>
      <c r="C26" t="s">
        <v>38</v>
      </c>
      <c r="D26" t="s">
        <v>9</v>
      </c>
      <c r="E26" t="s">
        <v>4222</v>
      </c>
      <c r="F26" t="s">
        <v>4148</v>
      </c>
      <c r="G26" t="s">
        <v>87</v>
      </c>
      <c r="H26" t="s">
        <v>87</v>
      </c>
      <c r="I26" t="s">
        <v>88</v>
      </c>
      <c r="J26" t="s">
        <v>4134</v>
      </c>
      <c r="K26" t="s">
        <v>4135</v>
      </c>
      <c r="L26" t="s">
        <v>4220</v>
      </c>
      <c r="M26" t="s">
        <v>1442</v>
      </c>
      <c r="N26" t="s">
        <v>164</v>
      </c>
      <c r="O26" t="s">
        <v>87</v>
      </c>
      <c r="P26" t="s">
        <v>87</v>
      </c>
      <c r="Q26" t="s">
        <v>88</v>
      </c>
      <c r="R26" t="s">
        <v>4134</v>
      </c>
      <c r="S26" t="s">
        <v>4135</v>
      </c>
      <c r="T26" t="s">
        <v>4165</v>
      </c>
      <c r="U26" t="s">
        <v>4210</v>
      </c>
      <c r="V26" t="s">
        <v>624</v>
      </c>
      <c r="W26" t="s">
        <v>4140</v>
      </c>
      <c r="X26" t="s">
        <v>4167</v>
      </c>
      <c r="Y26" t="s">
        <v>4168</v>
      </c>
      <c r="Z26" t="s">
        <v>4211</v>
      </c>
      <c r="AA26" t="s">
        <v>4170</v>
      </c>
      <c r="AB26" t="s">
        <v>624</v>
      </c>
      <c r="AC26" t="s">
        <v>6</v>
      </c>
      <c r="AD26" t="s">
        <v>50</v>
      </c>
      <c r="AE26" t="s">
        <v>6</v>
      </c>
      <c r="AF26" t="s">
        <v>9</v>
      </c>
      <c r="AG26" t="s">
        <v>9</v>
      </c>
      <c r="AH26" t="s">
        <v>110</v>
      </c>
      <c r="AI26" t="s">
        <v>4221</v>
      </c>
      <c r="AJ26" t="s">
        <v>110</v>
      </c>
      <c r="AK26" t="s">
        <v>4221</v>
      </c>
      <c r="AL26" t="s">
        <v>9</v>
      </c>
    </row>
    <row r="27" spans="1:38" ht="11.25" customHeight="1">
      <c r="A27" t="s">
        <v>9</v>
      </c>
      <c r="B27" t="s">
        <v>36</v>
      </c>
      <c r="C27" t="s">
        <v>38</v>
      </c>
      <c r="D27" t="s">
        <v>9</v>
      </c>
      <c r="E27" t="s">
        <v>4223</v>
      </c>
      <c r="F27" t="s">
        <v>1457</v>
      </c>
      <c r="G27" t="s">
        <v>87</v>
      </c>
      <c r="H27" t="s">
        <v>87</v>
      </c>
      <c r="I27" t="s">
        <v>88</v>
      </c>
      <c r="J27" t="s">
        <v>4134</v>
      </c>
      <c r="K27" t="s">
        <v>4135</v>
      </c>
      <c r="L27" t="s">
        <v>4224</v>
      </c>
      <c r="M27" t="s">
        <v>1442</v>
      </c>
      <c r="N27" t="s">
        <v>164</v>
      </c>
      <c r="O27" t="s">
        <v>87</v>
      </c>
      <c r="P27" t="s">
        <v>87</v>
      </c>
      <c r="Q27" t="s">
        <v>88</v>
      </c>
      <c r="R27" t="s">
        <v>4134</v>
      </c>
      <c r="S27" t="s">
        <v>4135</v>
      </c>
      <c r="T27" t="s">
        <v>4165</v>
      </c>
      <c r="U27" t="s">
        <v>4168</v>
      </c>
      <c r="V27" t="s">
        <v>624</v>
      </c>
      <c r="W27" t="s">
        <v>4140</v>
      </c>
      <c r="X27" t="s">
        <v>4167</v>
      </c>
      <c r="Y27" t="s">
        <v>4168</v>
      </c>
      <c r="Z27" t="s">
        <v>1442</v>
      </c>
      <c r="AA27" t="s">
        <v>4225</v>
      </c>
      <c r="AB27" t="s">
        <v>624</v>
      </c>
      <c r="AC27" t="s">
        <v>50</v>
      </c>
      <c r="AD27" t="s">
        <v>6</v>
      </c>
      <c r="AE27" t="s">
        <v>6</v>
      </c>
      <c r="AF27" t="s">
        <v>4226</v>
      </c>
      <c r="AG27" t="s">
        <v>4227</v>
      </c>
      <c r="AH27" t="s">
        <v>9</v>
      </c>
      <c r="AI27" t="s">
        <v>9</v>
      </c>
      <c r="AJ27" t="s">
        <v>9</v>
      </c>
      <c r="AK27" t="s">
        <v>9</v>
      </c>
      <c r="AL27" t="s">
        <v>4146</v>
      </c>
    </row>
    <row r="28" spans="1:38" ht="11.25" customHeight="1">
      <c r="A28" t="s">
        <v>9</v>
      </c>
      <c r="B28" t="s">
        <v>36</v>
      </c>
      <c r="C28" t="s">
        <v>38</v>
      </c>
      <c r="D28" t="s">
        <v>9</v>
      </c>
      <c r="E28" t="s">
        <v>4228</v>
      </c>
      <c r="F28" t="s">
        <v>1438</v>
      </c>
      <c r="G28" t="s">
        <v>87</v>
      </c>
      <c r="H28" t="s">
        <v>87</v>
      </c>
      <c r="I28" t="s">
        <v>88</v>
      </c>
      <c r="J28" t="s">
        <v>4134</v>
      </c>
      <c r="K28" t="s">
        <v>4135</v>
      </c>
      <c r="L28" t="s">
        <v>4158</v>
      </c>
      <c r="M28" t="s">
        <v>4159</v>
      </c>
      <c r="N28" t="s">
        <v>164</v>
      </c>
      <c r="O28" t="s">
        <v>87</v>
      </c>
      <c r="P28" t="s">
        <v>87</v>
      </c>
      <c r="Q28" t="s">
        <v>88</v>
      </c>
      <c r="R28" t="s">
        <v>4134</v>
      </c>
      <c r="S28" t="s">
        <v>4135</v>
      </c>
      <c r="T28" t="s">
        <v>4138</v>
      </c>
      <c r="U28" t="s">
        <v>4139</v>
      </c>
      <c r="V28" t="s">
        <v>624</v>
      </c>
      <c r="W28" t="s">
        <v>4140</v>
      </c>
      <c r="X28" t="s">
        <v>4141</v>
      </c>
      <c r="Y28" t="s">
        <v>4142</v>
      </c>
      <c r="Z28" t="s">
        <v>4160</v>
      </c>
      <c r="AA28" t="s">
        <v>4161</v>
      </c>
      <c r="AB28" t="s">
        <v>624</v>
      </c>
      <c r="AC28" t="s">
        <v>50</v>
      </c>
      <c r="AD28" t="s">
        <v>50</v>
      </c>
      <c r="AE28" t="s">
        <v>50</v>
      </c>
      <c r="AF28" t="s">
        <v>1222</v>
      </c>
      <c r="AG28" t="s">
        <v>4162</v>
      </c>
      <c r="AH28" t="s">
        <v>1222</v>
      </c>
      <c r="AI28" t="s">
        <v>4162</v>
      </c>
      <c r="AJ28" t="s">
        <v>1222</v>
      </c>
      <c r="AK28" t="s">
        <v>4162</v>
      </c>
      <c r="AL28" t="s">
        <v>4146</v>
      </c>
    </row>
    <row r="29" spans="1:38" ht="11.25" customHeight="1">
      <c r="A29" t="s">
        <v>9</v>
      </c>
      <c r="B29" t="s">
        <v>36</v>
      </c>
      <c r="C29" t="s">
        <v>38</v>
      </c>
      <c r="D29" t="s">
        <v>9</v>
      </c>
      <c r="E29" t="s">
        <v>1507</v>
      </c>
      <c r="F29" t="s">
        <v>1438</v>
      </c>
      <c r="G29" t="s">
        <v>87</v>
      </c>
      <c r="H29" t="s">
        <v>87</v>
      </c>
      <c r="I29" t="s">
        <v>88</v>
      </c>
      <c r="J29" t="s">
        <v>4229</v>
      </c>
      <c r="K29" t="s">
        <v>4230</v>
      </c>
      <c r="L29" t="s">
        <v>4231</v>
      </c>
      <c r="M29" t="s">
        <v>1442</v>
      </c>
      <c r="N29" t="s">
        <v>164</v>
      </c>
      <c r="O29" t="s">
        <v>87</v>
      </c>
      <c r="P29" t="s">
        <v>87</v>
      </c>
      <c r="Q29" t="s">
        <v>88</v>
      </c>
      <c r="R29" t="s">
        <v>4229</v>
      </c>
      <c r="S29" t="s">
        <v>4230</v>
      </c>
      <c r="T29" t="s">
        <v>4165</v>
      </c>
      <c r="U29" t="s">
        <v>4166</v>
      </c>
      <c r="V29" t="s">
        <v>624</v>
      </c>
      <c r="W29" t="s">
        <v>4140</v>
      </c>
      <c r="X29" t="s">
        <v>4167</v>
      </c>
      <c r="Y29" t="s">
        <v>4168</v>
      </c>
      <c r="Z29" t="s">
        <v>1442</v>
      </c>
      <c r="AA29" t="s">
        <v>4232</v>
      </c>
      <c r="AB29" t="s">
        <v>624</v>
      </c>
      <c r="AC29" t="s">
        <v>50</v>
      </c>
      <c r="AD29" t="s">
        <v>50</v>
      </c>
      <c r="AE29" t="s">
        <v>50</v>
      </c>
      <c r="AF29" t="s">
        <v>78</v>
      </c>
      <c r="AG29" t="s">
        <v>4233</v>
      </c>
      <c r="AH29" t="s">
        <v>78</v>
      </c>
      <c r="AI29" t="s">
        <v>4233</v>
      </c>
      <c r="AJ29" t="s">
        <v>78</v>
      </c>
      <c r="AK29" t="s">
        <v>4233</v>
      </c>
      <c r="AL29" t="s">
        <v>4146</v>
      </c>
    </row>
    <row r="30" spans="1:38" ht="11.25" customHeight="1">
      <c r="A30" t="s">
        <v>9</v>
      </c>
      <c r="B30" t="s">
        <v>36</v>
      </c>
      <c r="C30" t="s">
        <v>38</v>
      </c>
      <c r="D30" t="s">
        <v>9</v>
      </c>
      <c r="E30" t="s">
        <v>4234</v>
      </c>
      <c r="F30" t="s">
        <v>1438</v>
      </c>
      <c r="G30" t="s">
        <v>87</v>
      </c>
      <c r="H30" t="s">
        <v>87</v>
      </c>
      <c r="I30" t="s">
        <v>88</v>
      </c>
      <c r="J30" t="s">
        <v>4229</v>
      </c>
      <c r="K30" t="s">
        <v>4230</v>
      </c>
      <c r="L30" t="s">
        <v>4235</v>
      </c>
      <c r="M30" t="s">
        <v>1442</v>
      </c>
      <c r="N30" t="s">
        <v>164</v>
      </c>
      <c r="O30" t="s">
        <v>87</v>
      </c>
      <c r="P30" t="s">
        <v>87</v>
      </c>
      <c r="Q30" t="s">
        <v>88</v>
      </c>
      <c r="R30" t="s">
        <v>4229</v>
      </c>
      <c r="S30" t="s">
        <v>4230</v>
      </c>
      <c r="T30" t="s">
        <v>4165</v>
      </c>
      <c r="U30" t="s">
        <v>4236</v>
      </c>
      <c r="V30" t="s">
        <v>624</v>
      </c>
      <c r="W30" t="s">
        <v>4140</v>
      </c>
      <c r="X30" t="s">
        <v>4167</v>
      </c>
      <c r="Y30" t="s">
        <v>4168</v>
      </c>
      <c r="Z30" t="s">
        <v>4237</v>
      </c>
      <c r="AA30" t="s">
        <v>4238</v>
      </c>
      <c r="AB30" t="s">
        <v>624</v>
      </c>
      <c r="AC30" t="s">
        <v>50</v>
      </c>
      <c r="AD30" t="s">
        <v>50</v>
      </c>
      <c r="AE30" t="s">
        <v>50</v>
      </c>
      <c r="AF30" t="s">
        <v>80</v>
      </c>
      <c r="AG30" t="s">
        <v>4239</v>
      </c>
      <c r="AH30" t="s">
        <v>80</v>
      </c>
      <c r="AI30" t="s">
        <v>4239</v>
      </c>
      <c r="AJ30" t="s">
        <v>80</v>
      </c>
      <c r="AK30" t="s">
        <v>4239</v>
      </c>
      <c r="AL30" t="s">
        <v>4146</v>
      </c>
    </row>
    <row r="31" spans="1:38" ht="11.25" customHeight="1">
      <c r="A31" t="s">
        <v>9</v>
      </c>
      <c r="B31" t="s">
        <v>36</v>
      </c>
      <c r="C31" t="s">
        <v>38</v>
      </c>
      <c r="D31" t="s">
        <v>9</v>
      </c>
      <c r="E31" t="s">
        <v>4240</v>
      </c>
      <c r="F31" t="s">
        <v>1438</v>
      </c>
      <c r="G31" t="s">
        <v>87</v>
      </c>
      <c r="H31" t="s">
        <v>87</v>
      </c>
      <c r="I31" t="s">
        <v>88</v>
      </c>
      <c r="J31" t="s">
        <v>4241</v>
      </c>
      <c r="K31" t="s">
        <v>4242</v>
      </c>
      <c r="L31" t="s">
        <v>4243</v>
      </c>
      <c r="M31" t="s">
        <v>1442</v>
      </c>
      <c r="N31" t="s">
        <v>164</v>
      </c>
      <c r="O31" t="s">
        <v>87</v>
      </c>
      <c r="P31" t="s">
        <v>87</v>
      </c>
      <c r="Q31" t="s">
        <v>88</v>
      </c>
      <c r="R31" t="s">
        <v>4241</v>
      </c>
      <c r="S31" t="s">
        <v>4242</v>
      </c>
      <c r="T31" t="s">
        <v>4165</v>
      </c>
      <c r="U31" t="s">
        <v>4210</v>
      </c>
      <c r="V31" t="s">
        <v>624</v>
      </c>
      <c r="W31" t="s">
        <v>4140</v>
      </c>
      <c r="X31" t="s">
        <v>4167</v>
      </c>
      <c r="Y31" t="s">
        <v>4168</v>
      </c>
      <c r="Z31" t="s">
        <v>4244</v>
      </c>
      <c r="AA31" t="s">
        <v>4245</v>
      </c>
      <c r="AB31" t="s">
        <v>624</v>
      </c>
      <c r="AC31" t="s">
        <v>50</v>
      </c>
      <c r="AD31" t="s">
        <v>50</v>
      </c>
      <c r="AE31" t="s">
        <v>50</v>
      </c>
      <c r="AF31" t="s">
        <v>110</v>
      </c>
      <c r="AG31" t="s">
        <v>4246</v>
      </c>
      <c r="AH31" t="s">
        <v>110</v>
      </c>
      <c r="AI31" t="s">
        <v>4246</v>
      </c>
      <c r="AJ31" t="s">
        <v>110</v>
      </c>
      <c r="AK31" t="s">
        <v>4246</v>
      </c>
      <c r="AL31" t="s">
        <v>4146</v>
      </c>
    </row>
    <row r="32" spans="1:38" ht="11.25" customHeight="1">
      <c r="A32" t="s">
        <v>9</v>
      </c>
      <c r="B32" t="s">
        <v>36</v>
      </c>
      <c r="C32" t="s">
        <v>38</v>
      </c>
      <c r="D32" t="s">
        <v>9</v>
      </c>
      <c r="E32" t="s">
        <v>4247</v>
      </c>
      <c r="F32" t="s">
        <v>4148</v>
      </c>
      <c r="G32" t="s">
        <v>87</v>
      </c>
      <c r="H32" t="s">
        <v>87</v>
      </c>
      <c r="I32" t="s">
        <v>88</v>
      </c>
      <c r="J32" t="s">
        <v>4241</v>
      </c>
      <c r="K32" t="s">
        <v>4242</v>
      </c>
      <c r="L32" t="s">
        <v>4243</v>
      </c>
      <c r="M32" t="s">
        <v>1442</v>
      </c>
      <c r="N32" t="s">
        <v>164</v>
      </c>
      <c r="O32" t="s">
        <v>87</v>
      </c>
      <c r="P32" t="s">
        <v>87</v>
      </c>
      <c r="Q32" t="s">
        <v>88</v>
      </c>
      <c r="R32" t="s">
        <v>4241</v>
      </c>
      <c r="S32" t="s">
        <v>4242</v>
      </c>
      <c r="T32" t="s">
        <v>4165</v>
      </c>
      <c r="U32" t="s">
        <v>4210</v>
      </c>
      <c r="V32" t="s">
        <v>624</v>
      </c>
      <c r="W32" t="s">
        <v>4140</v>
      </c>
      <c r="X32" t="s">
        <v>4167</v>
      </c>
      <c r="Y32" t="s">
        <v>4168</v>
      </c>
      <c r="Z32" t="s">
        <v>4244</v>
      </c>
      <c r="AA32" t="s">
        <v>4245</v>
      </c>
      <c r="AB32" t="s">
        <v>624</v>
      </c>
      <c r="AC32" t="s">
        <v>6</v>
      </c>
      <c r="AD32" t="s">
        <v>50</v>
      </c>
      <c r="AE32" t="s">
        <v>6</v>
      </c>
      <c r="AF32" t="s">
        <v>9</v>
      </c>
      <c r="AG32" t="s">
        <v>9</v>
      </c>
      <c r="AH32" t="s">
        <v>110</v>
      </c>
      <c r="AI32" t="s">
        <v>4246</v>
      </c>
      <c r="AJ32" t="s">
        <v>110</v>
      </c>
      <c r="AK32" t="s">
        <v>4246</v>
      </c>
      <c r="AL32" t="s">
        <v>9</v>
      </c>
    </row>
    <row r="33" spans="1:38" ht="11.25" customHeight="1">
      <c r="A33" t="s">
        <v>9</v>
      </c>
      <c r="B33" t="s">
        <v>36</v>
      </c>
      <c r="C33" t="s">
        <v>38</v>
      </c>
      <c r="D33" t="s">
        <v>9</v>
      </c>
      <c r="E33" t="s">
        <v>4248</v>
      </c>
      <c r="F33" t="s">
        <v>1438</v>
      </c>
      <c r="G33" t="s">
        <v>87</v>
      </c>
      <c r="H33" t="s">
        <v>87</v>
      </c>
      <c r="I33" t="s">
        <v>88</v>
      </c>
      <c r="J33" t="s">
        <v>4249</v>
      </c>
      <c r="K33" t="s">
        <v>4250</v>
      </c>
      <c r="L33" t="s">
        <v>1442</v>
      </c>
      <c r="M33" t="s">
        <v>1442</v>
      </c>
      <c r="N33" t="s">
        <v>164</v>
      </c>
      <c r="O33" t="s">
        <v>87</v>
      </c>
      <c r="P33" t="s">
        <v>87</v>
      </c>
      <c r="Q33" t="s">
        <v>88</v>
      </c>
      <c r="R33" t="s">
        <v>4249</v>
      </c>
      <c r="S33" t="s">
        <v>4250</v>
      </c>
      <c r="T33" t="s">
        <v>4165</v>
      </c>
      <c r="U33" t="s">
        <v>4168</v>
      </c>
      <c r="V33" t="s">
        <v>624</v>
      </c>
      <c r="W33" t="s">
        <v>4140</v>
      </c>
      <c r="X33" t="s">
        <v>4167</v>
      </c>
      <c r="Y33" t="s">
        <v>4168</v>
      </c>
      <c r="Z33" t="s">
        <v>100</v>
      </c>
      <c r="AA33" t="s">
        <v>4251</v>
      </c>
      <c r="AB33" t="s">
        <v>624</v>
      </c>
      <c r="AC33" t="s">
        <v>50</v>
      </c>
      <c r="AD33" t="s">
        <v>50</v>
      </c>
      <c r="AE33" t="s">
        <v>50</v>
      </c>
      <c r="AF33" t="s">
        <v>2145</v>
      </c>
      <c r="AG33" t="s">
        <v>4252</v>
      </c>
      <c r="AH33" t="s">
        <v>2145</v>
      </c>
      <c r="AI33" t="s">
        <v>4252</v>
      </c>
      <c r="AJ33" t="s">
        <v>2145</v>
      </c>
      <c r="AK33" t="s">
        <v>4252</v>
      </c>
      <c r="AL33" t="s">
        <v>4146</v>
      </c>
    </row>
    <row r="34" spans="1:38" ht="11.25" customHeight="1">
      <c r="A34" t="s">
        <v>9</v>
      </c>
      <c r="B34" t="s">
        <v>36</v>
      </c>
      <c r="C34" t="s">
        <v>38</v>
      </c>
      <c r="D34" t="s">
        <v>9</v>
      </c>
      <c r="E34" t="s">
        <v>4253</v>
      </c>
      <c r="F34" t="s">
        <v>4148</v>
      </c>
      <c r="G34" t="s">
        <v>87</v>
      </c>
      <c r="H34" t="s">
        <v>87</v>
      </c>
      <c r="I34" t="s">
        <v>88</v>
      </c>
      <c r="J34" t="s">
        <v>4254</v>
      </c>
      <c r="K34" t="s">
        <v>4255</v>
      </c>
      <c r="L34" t="s">
        <v>4256</v>
      </c>
      <c r="M34" t="s">
        <v>1442</v>
      </c>
      <c r="N34" t="s">
        <v>164</v>
      </c>
      <c r="O34" t="s">
        <v>87</v>
      </c>
      <c r="P34" t="s">
        <v>87</v>
      </c>
      <c r="Q34" t="s">
        <v>88</v>
      </c>
      <c r="R34" t="s">
        <v>4254</v>
      </c>
      <c r="S34" t="s">
        <v>4255</v>
      </c>
      <c r="T34" t="s">
        <v>4138</v>
      </c>
      <c r="U34" t="s">
        <v>4139</v>
      </c>
      <c r="V34" t="s">
        <v>624</v>
      </c>
      <c r="W34" t="s">
        <v>4140</v>
      </c>
      <c r="X34" t="s">
        <v>4141</v>
      </c>
      <c r="Y34" t="s">
        <v>4142</v>
      </c>
      <c r="Z34" t="s">
        <v>4257</v>
      </c>
      <c r="AA34" t="s">
        <v>4258</v>
      </c>
      <c r="AB34" t="s">
        <v>624</v>
      </c>
      <c r="AC34" t="s">
        <v>6</v>
      </c>
      <c r="AD34" t="s">
        <v>50</v>
      </c>
      <c r="AE34" t="s">
        <v>6</v>
      </c>
      <c r="AF34" t="s">
        <v>9</v>
      </c>
      <c r="AG34" t="s">
        <v>9</v>
      </c>
      <c r="AH34" t="s">
        <v>4259</v>
      </c>
      <c r="AI34" t="s">
        <v>4260</v>
      </c>
      <c r="AJ34" t="s">
        <v>4259</v>
      </c>
      <c r="AK34" t="s">
        <v>4260</v>
      </c>
      <c r="AL34" t="s">
        <v>9</v>
      </c>
    </row>
    <row r="35" spans="1:38" ht="11.25" customHeight="1">
      <c r="A35" t="s">
        <v>9</v>
      </c>
      <c r="B35" t="s">
        <v>36</v>
      </c>
      <c r="C35" t="s">
        <v>38</v>
      </c>
      <c r="D35" t="s">
        <v>9</v>
      </c>
      <c r="E35" t="s">
        <v>4261</v>
      </c>
      <c r="F35" t="s">
        <v>1438</v>
      </c>
      <c r="G35" t="s">
        <v>87</v>
      </c>
      <c r="H35" t="s">
        <v>87</v>
      </c>
      <c r="I35" t="s">
        <v>88</v>
      </c>
      <c r="J35" t="s">
        <v>4254</v>
      </c>
      <c r="K35" t="s">
        <v>4255</v>
      </c>
      <c r="L35" t="s">
        <v>4256</v>
      </c>
      <c r="M35" t="s">
        <v>1442</v>
      </c>
      <c r="N35" t="s">
        <v>164</v>
      </c>
      <c r="O35" t="s">
        <v>87</v>
      </c>
      <c r="P35" t="s">
        <v>87</v>
      </c>
      <c r="Q35" t="s">
        <v>88</v>
      </c>
      <c r="R35" t="s">
        <v>4254</v>
      </c>
      <c r="S35" t="s">
        <v>4255</v>
      </c>
      <c r="T35" t="s">
        <v>4138</v>
      </c>
      <c r="U35" t="s">
        <v>4139</v>
      </c>
      <c r="V35" t="s">
        <v>624</v>
      </c>
      <c r="W35" t="s">
        <v>4140</v>
      </c>
      <c r="X35" t="s">
        <v>4141</v>
      </c>
      <c r="Y35" t="s">
        <v>4142</v>
      </c>
      <c r="Z35" t="s">
        <v>4257</v>
      </c>
      <c r="AA35" t="s">
        <v>4258</v>
      </c>
      <c r="AB35" t="s">
        <v>624</v>
      </c>
      <c r="AC35" t="s">
        <v>50</v>
      </c>
      <c r="AD35" t="s">
        <v>50</v>
      </c>
      <c r="AE35" t="s">
        <v>50</v>
      </c>
      <c r="AF35" t="s">
        <v>352</v>
      </c>
      <c r="AG35" t="s">
        <v>4262</v>
      </c>
      <c r="AH35" t="s">
        <v>352</v>
      </c>
      <c r="AI35" t="s">
        <v>4260</v>
      </c>
      <c r="AJ35" t="s">
        <v>352</v>
      </c>
      <c r="AK35" t="s">
        <v>4260</v>
      </c>
      <c r="AL35" t="s">
        <v>4146</v>
      </c>
    </row>
    <row r="36" spans="1:38" ht="11.25" customHeight="1">
      <c r="A36" t="s">
        <v>9</v>
      </c>
      <c r="B36" t="s">
        <v>36</v>
      </c>
      <c r="C36" t="s">
        <v>38</v>
      </c>
      <c r="D36" t="s">
        <v>9</v>
      </c>
      <c r="E36" t="s">
        <v>4263</v>
      </c>
      <c r="F36" t="s">
        <v>1438</v>
      </c>
      <c r="G36" t="s">
        <v>87</v>
      </c>
      <c r="H36" t="s">
        <v>87</v>
      </c>
      <c r="I36" t="s">
        <v>88</v>
      </c>
      <c r="J36" t="s">
        <v>4264</v>
      </c>
      <c r="K36" t="s">
        <v>4265</v>
      </c>
      <c r="L36" t="s">
        <v>4266</v>
      </c>
      <c r="M36" t="s">
        <v>1442</v>
      </c>
      <c r="N36" t="s">
        <v>164</v>
      </c>
      <c r="O36" t="s">
        <v>87</v>
      </c>
      <c r="P36" t="s">
        <v>87</v>
      </c>
      <c r="Q36" t="s">
        <v>88</v>
      </c>
      <c r="R36" t="s">
        <v>4264</v>
      </c>
      <c r="S36" t="s">
        <v>4265</v>
      </c>
      <c r="T36" t="s">
        <v>4165</v>
      </c>
      <c r="U36" t="s">
        <v>4166</v>
      </c>
      <c r="V36" t="s">
        <v>624</v>
      </c>
      <c r="W36" t="s">
        <v>4140</v>
      </c>
      <c r="X36" t="s">
        <v>4167</v>
      </c>
      <c r="Y36" t="s">
        <v>4168</v>
      </c>
      <c r="Z36" t="s">
        <v>4237</v>
      </c>
      <c r="AA36" t="s">
        <v>4267</v>
      </c>
      <c r="AB36" t="s">
        <v>624</v>
      </c>
      <c r="AC36" t="s">
        <v>50</v>
      </c>
      <c r="AD36" t="s">
        <v>50</v>
      </c>
      <c r="AE36" t="s">
        <v>50</v>
      </c>
      <c r="AF36" t="s">
        <v>78</v>
      </c>
      <c r="AG36" t="s">
        <v>4226</v>
      </c>
      <c r="AH36" t="s">
        <v>78</v>
      </c>
      <c r="AI36" t="s">
        <v>4226</v>
      </c>
      <c r="AJ36" t="s">
        <v>78</v>
      </c>
      <c r="AK36" t="s">
        <v>4226</v>
      </c>
      <c r="AL36" t="s">
        <v>4268</v>
      </c>
    </row>
    <row r="37" spans="1:38" ht="11.25" customHeight="1">
      <c r="A37" t="s">
        <v>9</v>
      </c>
      <c r="B37" t="s">
        <v>36</v>
      </c>
      <c r="C37" t="s">
        <v>38</v>
      </c>
      <c r="D37" t="s">
        <v>9</v>
      </c>
      <c r="E37" t="s">
        <v>4269</v>
      </c>
      <c r="F37" t="s">
        <v>1438</v>
      </c>
      <c r="G37" t="s">
        <v>87</v>
      </c>
      <c r="H37" t="s">
        <v>87</v>
      </c>
      <c r="I37" t="s">
        <v>88</v>
      </c>
      <c r="J37" t="s">
        <v>4270</v>
      </c>
      <c r="K37" t="s">
        <v>4271</v>
      </c>
      <c r="L37" t="s">
        <v>4272</v>
      </c>
      <c r="M37" t="s">
        <v>1442</v>
      </c>
      <c r="N37" t="s">
        <v>164</v>
      </c>
      <c r="O37" t="s">
        <v>87</v>
      </c>
      <c r="P37" t="s">
        <v>87</v>
      </c>
      <c r="Q37" t="s">
        <v>88</v>
      </c>
      <c r="R37" t="s">
        <v>4270</v>
      </c>
      <c r="S37" t="s">
        <v>4271</v>
      </c>
      <c r="T37" t="s">
        <v>4165</v>
      </c>
      <c r="U37" t="s">
        <v>4168</v>
      </c>
      <c r="V37" t="s">
        <v>624</v>
      </c>
      <c r="W37" t="s">
        <v>4140</v>
      </c>
      <c r="X37" t="s">
        <v>4167</v>
      </c>
      <c r="Y37" t="s">
        <v>4168</v>
      </c>
      <c r="Z37" t="s">
        <v>4237</v>
      </c>
      <c r="AA37" t="s">
        <v>4273</v>
      </c>
      <c r="AB37" t="s">
        <v>624</v>
      </c>
      <c r="AC37" t="s">
        <v>50</v>
      </c>
      <c r="AD37" t="s">
        <v>50</v>
      </c>
      <c r="AE37" t="s">
        <v>50</v>
      </c>
      <c r="AF37" t="s">
        <v>1554</v>
      </c>
      <c r="AG37" t="s">
        <v>4274</v>
      </c>
      <c r="AH37" t="s">
        <v>1554</v>
      </c>
      <c r="AI37" t="s">
        <v>4274</v>
      </c>
      <c r="AJ37" t="s">
        <v>1554</v>
      </c>
      <c r="AK37" t="s">
        <v>4274</v>
      </c>
      <c r="AL37" t="s">
        <v>4146</v>
      </c>
    </row>
    <row r="38" spans="1:38" ht="11.25" customHeight="1">
      <c r="A38" t="s">
        <v>9</v>
      </c>
      <c r="B38" t="s">
        <v>36</v>
      </c>
      <c r="C38" t="s">
        <v>38</v>
      </c>
      <c r="D38" t="s">
        <v>9</v>
      </c>
      <c r="E38" t="s">
        <v>4275</v>
      </c>
      <c r="F38" t="s">
        <v>4148</v>
      </c>
      <c r="G38" t="s">
        <v>87</v>
      </c>
      <c r="H38" t="s">
        <v>87</v>
      </c>
      <c r="I38" t="s">
        <v>88</v>
      </c>
      <c r="J38" t="s">
        <v>4270</v>
      </c>
      <c r="K38" t="s">
        <v>4271</v>
      </c>
      <c r="L38" t="s">
        <v>4272</v>
      </c>
      <c r="M38" t="s">
        <v>1442</v>
      </c>
      <c r="N38" t="s">
        <v>164</v>
      </c>
      <c r="O38" t="s">
        <v>87</v>
      </c>
      <c r="P38" t="s">
        <v>87</v>
      </c>
      <c r="Q38" t="s">
        <v>88</v>
      </c>
      <c r="R38" t="s">
        <v>4270</v>
      </c>
      <c r="S38" t="s">
        <v>4271</v>
      </c>
      <c r="T38" t="s">
        <v>4165</v>
      </c>
      <c r="U38" t="s">
        <v>4168</v>
      </c>
      <c r="V38" t="s">
        <v>624</v>
      </c>
      <c r="W38" t="s">
        <v>4140</v>
      </c>
      <c r="X38" t="s">
        <v>4167</v>
      </c>
      <c r="Y38" t="s">
        <v>4168</v>
      </c>
      <c r="Z38" t="s">
        <v>4237</v>
      </c>
      <c r="AA38" t="s">
        <v>4273</v>
      </c>
      <c r="AB38" t="s">
        <v>624</v>
      </c>
      <c r="AC38" t="s">
        <v>6</v>
      </c>
      <c r="AD38" t="s">
        <v>50</v>
      </c>
      <c r="AE38" t="s">
        <v>6</v>
      </c>
      <c r="AF38" t="s">
        <v>9</v>
      </c>
      <c r="AG38" t="s">
        <v>9</v>
      </c>
      <c r="AH38" t="s">
        <v>1554</v>
      </c>
      <c r="AI38" t="s">
        <v>4274</v>
      </c>
      <c r="AJ38" t="s">
        <v>1554</v>
      </c>
      <c r="AK38" t="s">
        <v>4274</v>
      </c>
      <c r="AL38" t="s">
        <v>9</v>
      </c>
    </row>
    <row r="39" spans="1:38" ht="11.25" customHeight="1">
      <c r="A39" t="s">
        <v>9</v>
      </c>
      <c r="B39" t="s">
        <v>36</v>
      </c>
      <c r="C39" t="s">
        <v>38</v>
      </c>
      <c r="D39" t="s">
        <v>9</v>
      </c>
      <c r="E39" t="s">
        <v>1507</v>
      </c>
      <c r="F39" t="s">
        <v>1438</v>
      </c>
      <c r="G39" t="s">
        <v>3567</v>
      </c>
      <c r="H39" t="s">
        <v>3569</v>
      </c>
      <c r="I39" t="s">
        <v>3570</v>
      </c>
      <c r="J39" t="s">
        <v>4229</v>
      </c>
      <c r="K39" t="s">
        <v>4276</v>
      </c>
      <c r="L39" t="s">
        <v>4231</v>
      </c>
      <c r="M39" t="s">
        <v>1442</v>
      </c>
      <c r="N39" t="s">
        <v>164</v>
      </c>
      <c r="O39" t="s">
        <v>3567</v>
      </c>
      <c r="P39" t="s">
        <v>3569</v>
      </c>
      <c r="Q39" t="s">
        <v>3570</v>
      </c>
      <c r="R39" t="s">
        <v>4229</v>
      </c>
      <c r="S39" t="s">
        <v>4276</v>
      </c>
      <c r="T39" t="s">
        <v>4165</v>
      </c>
      <c r="U39" t="s">
        <v>4166</v>
      </c>
      <c r="V39" t="s">
        <v>624</v>
      </c>
      <c r="W39" t="s">
        <v>4140</v>
      </c>
      <c r="X39" t="s">
        <v>4167</v>
      </c>
      <c r="Y39" t="s">
        <v>4168</v>
      </c>
      <c r="Z39" t="s">
        <v>1442</v>
      </c>
      <c r="AA39" t="s">
        <v>4232</v>
      </c>
      <c r="AB39" t="s">
        <v>624</v>
      </c>
      <c r="AC39" t="s">
        <v>50</v>
      </c>
      <c r="AD39" t="s">
        <v>50</v>
      </c>
      <c r="AE39" t="s">
        <v>50</v>
      </c>
      <c r="AF39" t="s">
        <v>78</v>
      </c>
      <c r="AG39" t="s">
        <v>4233</v>
      </c>
      <c r="AH39" t="s">
        <v>78</v>
      </c>
      <c r="AI39" t="s">
        <v>4233</v>
      </c>
      <c r="AJ39" t="s">
        <v>78</v>
      </c>
      <c r="AK39" t="s">
        <v>4233</v>
      </c>
      <c r="AL39" t="s">
        <v>4146</v>
      </c>
    </row>
    <row r="40" spans="1:38" ht="11.25" customHeight="1">
      <c r="A40" t="s">
        <v>9</v>
      </c>
      <c r="B40" t="s">
        <v>36</v>
      </c>
      <c r="C40" t="s">
        <v>38</v>
      </c>
      <c r="D40" t="s">
        <v>9</v>
      </c>
      <c r="E40" t="s">
        <v>4240</v>
      </c>
      <c r="F40" t="s">
        <v>1438</v>
      </c>
      <c r="G40" t="s">
        <v>3567</v>
      </c>
      <c r="H40" t="s">
        <v>3569</v>
      </c>
      <c r="I40" t="s">
        <v>3570</v>
      </c>
      <c r="J40" t="s">
        <v>4241</v>
      </c>
      <c r="K40" t="s">
        <v>4277</v>
      </c>
      <c r="L40" t="s">
        <v>4243</v>
      </c>
      <c r="M40" t="s">
        <v>1442</v>
      </c>
      <c r="N40" t="s">
        <v>164</v>
      </c>
      <c r="O40" t="s">
        <v>3567</v>
      </c>
      <c r="P40" t="s">
        <v>3569</v>
      </c>
      <c r="Q40" t="s">
        <v>3570</v>
      </c>
      <c r="R40" t="s">
        <v>4241</v>
      </c>
      <c r="S40" t="s">
        <v>4277</v>
      </c>
      <c r="T40" t="s">
        <v>4165</v>
      </c>
      <c r="U40" t="s">
        <v>4210</v>
      </c>
      <c r="V40" t="s">
        <v>624</v>
      </c>
      <c r="W40" t="s">
        <v>4140</v>
      </c>
      <c r="X40" t="s">
        <v>4167</v>
      </c>
      <c r="Y40" t="s">
        <v>4168</v>
      </c>
      <c r="Z40" t="s">
        <v>4244</v>
      </c>
      <c r="AA40" t="s">
        <v>4245</v>
      </c>
      <c r="AB40" t="s">
        <v>624</v>
      </c>
      <c r="AC40" t="s">
        <v>50</v>
      </c>
      <c r="AD40" t="s">
        <v>50</v>
      </c>
      <c r="AE40" t="s">
        <v>50</v>
      </c>
      <c r="AF40" t="s">
        <v>110</v>
      </c>
      <c r="AG40" t="s">
        <v>4246</v>
      </c>
      <c r="AH40" t="s">
        <v>110</v>
      </c>
      <c r="AI40" t="s">
        <v>4246</v>
      </c>
      <c r="AJ40" t="s">
        <v>110</v>
      </c>
      <c r="AK40" t="s">
        <v>4246</v>
      </c>
      <c r="AL40" t="s">
        <v>4146</v>
      </c>
    </row>
    <row r="41" spans="1:38" ht="11.25" customHeight="1">
      <c r="A41" t="s">
        <v>9</v>
      </c>
      <c r="B41" t="s">
        <v>36</v>
      </c>
      <c r="C41" t="s">
        <v>38</v>
      </c>
      <c r="D41" t="s">
        <v>9</v>
      </c>
      <c r="E41" t="s">
        <v>4247</v>
      </c>
      <c r="F41" t="s">
        <v>4148</v>
      </c>
      <c r="G41" t="s">
        <v>3567</v>
      </c>
      <c r="H41" t="s">
        <v>3569</v>
      </c>
      <c r="I41" t="s">
        <v>3570</v>
      </c>
      <c r="J41" t="s">
        <v>4241</v>
      </c>
      <c r="K41" t="s">
        <v>4277</v>
      </c>
      <c r="L41" t="s">
        <v>4243</v>
      </c>
      <c r="M41" t="s">
        <v>1442</v>
      </c>
      <c r="N41" t="s">
        <v>164</v>
      </c>
      <c r="O41" t="s">
        <v>3567</v>
      </c>
      <c r="P41" t="s">
        <v>3569</v>
      </c>
      <c r="Q41" t="s">
        <v>3570</v>
      </c>
      <c r="R41" t="s">
        <v>4241</v>
      </c>
      <c r="S41" t="s">
        <v>4277</v>
      </c>
      <c r="T41" t="s">
        <v>4165</v>
      </c>
      <c r="U41" t="s">
        <v>4210</v>
      </c>
      <c r="V41" t="s">
        <v>624</v>
      </c>
      <c r="W41" t="s">
        <v>4140</v>
      </c>
      <c r="X41" t="s">
        <v>4167</v>
      </c>
      <c r="Y41" t="s">
        <v>4168</v>
      </c>
      <c r="Z41" t="s">
        <v>4244</v>
      </c>
      <c r="AA41" t="s">
        <v>4245</v>
      </c>
      <c r="AB41" t="s">
        <v>624</v>
      </c>
      <c r="AC41" t="s">
        <v>6</v>
      </c>
      <c r="AD41" t="s">
        <v>50</v>
      </c>
      <c r="AE41" t="s">
        <v>6</v>
      </c>
      <c r="AF41" t="s">
        <v>9</v>
      </c>
      <c r="AG41" t="s">
        <v>9</v>
      </c>
      <c r="AH41" t="s">
        <v>110</v>
      </c>
      <c r="AI41" t="s">
        <v>4246</v>
      </c>
      <c r="AJ41" t="s">
        <v>110</v>
      </c>
      <c r="AK41" t="s">
        <v>4246</v>
      </c>
      <c r="AL41" t="s">
        <v>9</v>
      </c>
    </row>
    <row r="42" spans="1:38" ht="11.25" customHeight="1">
      <c r="A42" t="s">
        <v>9</v>
      </c>
      <c r="B42" t="s">
        <v>36</v>
      </c>
      <c r="C42" t="s">
        <v>38</v>
      </c>
      <c r="D42" t="s">
        <v>9</v>
      </c>
      <c r="E42" t="s">
        <v>1437</v>
      </c>
      <c r="F42" t="s">
        <v>1438</v>
      </c>
      <c r="G42" t="s">
        <v>3567</v>
      </c>
      <c r="H42" t="s">
        <v>3571</v>
      </c>
      <c r="I42" t="s">
        <v>3572</v>
      </c>
      <c r="J42" t="s">
        <v>4134</v>
      </c>
      <c r="K42" t="s">
        <v>4278</v>
      </c>
      <c r="L42" t="s">
        <v>4136</v>
      </c>
      <c r="M42" t="s">
        <v>4137</v>
      </c>
      <c r="N42" t="s">
        <v>164</v>
      </c>
      <c r="O42" t="s">
        <v>3567</v>
      </c>
      <c r="P42" t="s">
        <v>3571</v>
      </c>
      <c r="Q42" t="s">
        <v>3572</v>
      </c>
      <c r="R42" t="s">
        <v>4134</v>
      </c>
      <c r="S42" t="s">
        <v>4278</v>
      </c>
      <c r="T42" t="s">
        <v>4138</v>
      </c>
      <c r="U42" t="s">
        <v>4139</v>
      </c>
      <c r="V42" t="s">
        <v>624</v>
      </c>
      <c r="W42" t="s">
        <v>4140</v>
      </c>
      <c r="X42" t="s">
        <v>4141</v>
      </c>
      <c r="Y42" t="s">
        <v>4142</v>
      </c>
      <c r="Z42" t="s">
        <v>4143</v>
      </c>
      <c r="AA42" t="s">
        <v>4144</v>
      </c>
      <c r="AB42" t="s">
        <v>624</v>
      </c>
      <c r="AC42" t="s">
        <v>50</v>
      </c>
      <c r="AD42" t="s">
        <v>50</v>
      </c>
      <c r="AE42" t="s">
        <v>50</v>
      </c>
      <c r="AF42" t="s">
        <v>142</v>
      </c>
      <c r="AG42" t="s">
        <v>4145</v>
      </c>
      <c r="AH42" t="s">
        <v>142</v>
      </c>
      <c r="AI42" t="s">
        <v>4145</v>
      </c>
      <c r="AJ42" t="s">
        <v>142</v>
      </c>
      <c r="AK42" t="s">
        <v>4145</v>
      </c>
      <c r="AL42" t="s">
        <v>4146</v>
      </c>
    </row>
    <row r="43" spans="1:38" ht="11.25" customHeight="1">
      <c r="A43" t="s">
        <v>9</v>
      </c>
      <c r="B43" t="s">
        <v>36</v>
      </c>
      <c r="C43" t="s">
        <v>38</v>
      </c>
      <c r="D43" t="s">
        <v>9</v>
      </c>
      <c r="E43" t="s">
        <v>4147</v>
      </c>
      <c r="F43" t="s">
        <v>4148</v>
      </c>
      <c r="G43" t="s">
        <v>3567</v>
      </c>
      <c r="H43" t="s">
        <v>3571</v>
      </c>
      <c r="I43" t="s">
        <v>3572</v>
      </c>
      <c r="J43" t="s">
        <v>4134</v>
      </c>
      <c r="K43" t="s">
        <v>4278</v>
      </c>
      <c r="L43" t="s">
        <v>4136</v>
      </c>
      <c r="M43" t="s">
        <v>4137</v>
      </c>
      <c r="N43" t="s">
        <v>164</v>
      </c>
      <c r="O43" t="s">
        <v>3567</v>
      </c>
      <c r="P43" t="s">
        <v>3571</v>
      </c>
      <c r="Q43" t="s">
        <v>3572</v>
      </c>
      <c r="R43" t="s">
        <v>4134</v>
      </c>
      <c r="S43" t="s">
        <v>4278</v>
      </c>
      <c r="T43" t="s">
        <v>4138</v>
      </c>
      <c r="U43" t="s">
        <v>4139</v>
      </c>
      <c r="V43" t="s">
        <v>624</v>
      </c>
      <c r="W43" t="s">
        <v>4140</v>
      </c>
      <c r="X43" t="s">
        <v>4141</v>
      </c>
      <c r="Y43" t="s">
        <v>4142</v>
      </c>
      <c r="Z43" t="s">
        <v>4143</v>
      </c>
      <c r="AA43" t="s">
        <v>4144</v>
      </c>
      <c r="AB43" t="s">
        <v>624</v>
      </c>
      <c r="AC43" t="s">
        <v>6</v>
      </c>
      <c r="AD43" t="s">
        <v>50</v>
      </c>
      <c r="AE43" t="s">
        <v>6</v>
      </c>
      <c r="AF43" t="s">
        <v>9</v>
      </c>
      <c r="AG43" t="s">
        <v>9</v>
      </c>
      <c r="AH43" t="s">
        <v>142</v>
      </c>
      <c r="AI43" t="s">
        <v>4149</v>
      </c>
      <c r="AJ43" t="s">
        <v>142</v>
      </c>
      <c r="AK43" t="s">
        <v>4149</v>
      </c>
      <c r="AL43" t="s">
        <v>9</v>
      </c>
    </row>
    <row r="44" spans="1:38" ht="11.25" customHeight="1">
      <c r="A44" t="s">
        <v>9</v>
      </c>
      <c r="B44" t="s">
        <v>36</v>
      </c>
      <c r="C44" t="s">
        <v>38</v>
      </c>
      <c r="D44" t="s">
        <v>9</v>
      </c>
      <c r="E44" t="s">
        <v>1449</v>
      </c>
      <c r="F44" t="s">
        <v>1438</v>
      </c>
      <c r="G44" t="s">
        <v>3567</v>
      </c>
      <c r="H44" t="s">
        <v>3571</v>
      </c>
      <c r="I44" t="s">
        <v>3572</v>
      </c>
      <c r="J44" t="s">
        <v>4134</v>
      </c>
      <c r="K44" t="s">
        <v>4278</v>
      </c>
      <c r="L44" t="s">
        <v>4136</v>
      </c>
      <c r="M44" t="s">
        <v>4150</v>
      </c>
      <c r="N44" t="s">
        <v>164</v>
      </c>
      <c r="O44" t="s">
        <v>3567</v>
      </c>
      <c r="P44" t="s">
        <v>3571</v>
      </c>
      <c r="Q44" t="s">
        <v>3572</v>
      </c>
      <c r="R44" t="s">
        <v>4134</v>
      </c>
      <c r="S44" t="s">
        <v>4278</v>
      </c>
      <c r="T44" t="s">
        <v>4138</v>
      </c>
      <c r="U44" t="s">
        <v>4139</v>
      </c>
      <c r="V44" t="s">
        <v>624</v>
      </c>
      <c r="W44" t="s">
        <v>4140</v>
      </c>
      <c r="X44" t="s">
        <v>4141</v>
      </c>
      <c r="Y44" t="s">
        <v>4142</v>
      </c>
      <c r="Z44" t="s">
        <v>4151</v>
      </c>
      <c r="AA44" t="s">
        <v>4152</v>
      </c>
      <c r="AB44" t="s">
        <v>624</v>
      </c>
      <c r="AC44" t="s">
        <v>50</v>
      </c>
      <c r="AD44" t="s">
        <v>50</v>
      </c>
      <c r="AE44" t="s">
        <v>50</v>
      </c>
      <c r="AF44" t="s">
        <v>4153</v>
      </c>
      <c r="AG44" t="s">
        <v>4154</v>
      </c>
      <c r="AH44" t="s">
        <v>4153</v>
      </c>
      <c r="AI44" t="s">
        <v>4154</v>
      </c>
      <c r="AJ44" t="s">
        <v>4153</v>
      </c>
      <c r="AK44" t="s">
        <v>4154</v>
      </c>
      <c r="AL44" t="s">
        <v>4146</v>
      </c>
    </row>
    <row r="45" spans="1:38" ht="11.25" customHeight="1">
      <c r="A45" t="s">
        <v>9</v>
      </c>
      <c r="B45" t="s">
        <v>36</v>
      </c>
      <c r="C45" t="s">
        <v>38</v>
      </c>
      <c r="D45" t="s">
        <v>9</v>
      </c>
      <c r="E45" t="s">
        <v>4155</v>
      </c>
      <c r="F45" t="s">
        <v>4148</v>
      </c>
      <c r="G45" t="s">
        <v>3567</v>
      </c>
      <c r="H45" t="s">
        <v>3571</v>
      </c>
      <c r="I45" t="s">
        <v>3572</v>
      </c>
      <c r="J45" t="s">
        <v>4134</v>
      </c>
      <c r="K45" t="s">
        <v>4278</v>
      </c>
      <c r="L45" t="s">
        <v>4156</v>
      </c>
      <c r="M45" t="s">
        <v>4150</v>
      </c>
      <c r="N45" t="s">
        <v>164</v>
      </c>
      <c r="O45" t="s">
        <v>3567</v>
      </c>
      <c r="P45" t="s">
        <v>3571</v>
      </c>
      <c r="Q45" t="s">
        <v>3572</v>
      </c>
      <c r="R45" t="s">
        <v>4134</v>
      </c>
      <c r="S45" t="s">
        <v>4278</v>
      </c>
      <c r="T45" t="s">
        <v>4138</v>
      </c>
      <c r="U45" t="s">
        <v>4139</v>
      </c>
      <c r="V45" t="s">
        <v>624</v>
      </c>
      <c r="W45" t="s">
        <v>4140</v>
      </c>
      <c r="X45" t="s">
        <v>4141</v>
      </c>
      <c r="Y45" t="s">
        <v>4142</v>
      </c>
      <c r="Z45" t="s">
        <v>4151</v>
      </c>
      <c r="AA45" t="s">
        <v>4152</v>
      </c>
      <c r="AB45" t="s">
        <v>624</v>
      </c>
      <c r="AC45" t="s">
        <v>6</v>
      </c>
      <c r="AD45" t="s">
        <v>50</v>
      </c>
      <c r="AE45" t="s">
        <v>6</v>
      </c>
      <c r="AF45" t="s">
        <v>9</v>
      </c>
      <c r="AG45" t="s">
        <v>9</v>
      </c>
      <c r="AH45" t="s">
        <v>4153</v>
      </c>
      <c r="AI45" t="s">
        <v>4154</v>
      </c>
      <c r="AJ45" t="s">
        <v>4153</v>
      </c>
      <c r="AK45" t="s">
        <v>4154</v>
      </c>
      <c r="AL45" t="s">
        <v>9</v>
      </c>
    </row>
    <row r="46" spans="1:38" ht="11.25" customHeight="1">
      <c r="A46" t="s">
        <v>9</v>
      </c>
      <c r="B46" t="s">
        <v>36</v>
      </c>
      <c r="C46" t="s">
        <v>38</v>
      </c>
      <c r="D46" t="s">
        <v>9</v>
      </c>
      <c r="E46" t="s">
        <v>4157</v>
      </c>
      <c r="F46" t="s">
        <v>4148</v>
      </c>
      <c r="G46" t="s">
        <v>3567</v>
      </c>
      <c r="H46" t="s">
        <v>3571</v>
      </c>
      <c r="I46" t="s">
        <v>3572</v>
      </c>
      <c r="J46" t="s">
        <v>4134</v>
      </c>
      <c r="K46" t="s">
        <v>4278</v>
      </c>
      <c r="L46" t="s">
        <v>4158</v>
      </c>
      <c r="M46" t="s">
        <v>4159</v>
      </c>
      <c r="N46" t="s">
        <v>164</v>
      </c>
      <c r="O46" t="s">
        <v>3567</v>
      </c>
      <c r="P46" t="s">
        <v>3571</v>
      </c>
      <c r="Q46" t="s">
        <v>3572</v>
      </c>
      <c r="R46" t="s">
        <v>4134</v>
      </c>
      <c r="S46" t="s">
        <v>4278</v>
      </c>
      <c r="T46" t="s">
        <v>4138</v>
      </c>
      <c r="U46" t="s">
        <v>4139</v>
      </c>
      <c r="V46" t="s">
        <v>624</v>
      </c>
      <c r="W46" t="s">
        <v>4140</v>
      </c>
      <c r="X46" t="s">
        <v>4141</v>
      </c>
      <c r="Y46" t="s">
        <v>4142</v>
      </c>
      <c r="Z46" t="s">
        <v>4160</v>
      </c>
      <c r="AA46" t="s">
        <v>4161</v>
      </c>
      <c r="AB46" t="s">
        <v>624</v>
      </c>
      <c r="AC46" t="s">
        <v>6</v>
      </c>
      <c r="AD46" t="s">
        <v>50</v>
      </c>
      <c r="AE46" t="s">
        <v>6</v>
      </c>
      <c r="AF46" t="s">
        <v>9</v>
      </c>
      <c r="AG46" t="s">
        <v>9</v>
      </c>
      <c r="AH46" t="s">
        <v>1222</v>
      </c>
      <c r="AI46" t="s">
        <v>4162</v>
      </c>
      <c r="AJ46" t="s">
        <v>1222</v>
      </c>
      <c r="AK46" t="s">
        <v>4162</v>
      </c>
      <c r="AL46" t="s">
        <v>9</v>
      </c>
    </row>
    <row r="47" spans="1:38" ht="11.25" customHeight="1">
      <c r="A47" t="s">
        <v>9</v>
      </c>
      <c r="B47" t="s">
        <v>36</v>
      </c>
      <c r="C47" t="s">
        <v>38</v>
      </c>
      <c r="D47" t="s">
        <v>9</v>
      </c>
      <c r="E47" t="s">
        <v>4163</v>
      </c>
      <c r="F47" t="s">
        <v>1438</v>
      </c>
      <c r="G47" t="s">
        <v>3567</v>
      </c>
      <c r="H47" t="s">
        <v>3571</v>
      </c>
      <c r="I47" t="s">
        <v>3572</v>
      </c>
      <c r="J47" t="s">
        <v>4134</v>
      </c>
      <c r="K47" t="s">
        <v>4278</v>
      </c>
      <c r="L47" t="s">
        <v>4164</v>
      </c>
      <c r="M47" t="s">
        <v>1442</v>
      </c>
      <c r="N47" t="s">
        <v>164</v>
      </c>
      <c r="O47" t="s">
        <v>3567</v>
      </c>
      <c r="P47" t="s">
        <v>3571</v>
      </c>
      <c r="Q47" t="s">
        <v>3572</v>
      </c>
      <c r="R47" t="s">
        <v>4134</v>
      </c>
      <c r="S47" t="s">
        <v>4278</v>
      </c>
      <c r="T47" t="s">
        <v>4165</v>
      </c>
      <c r="U47" t="s">
        <v>4166</v>
      </c>
      <c r="V47" t="s">
        <v>624</v>
      </c>
      <c r="W47" t="s">
        <v>4140</v>
      </c>
      <c r="X47" t="s">
        <v>4167</v>
      </c>
      <c r="Y47" t="s">
        <v>4168</v>
      </c>
      <c r="Z47" t="s">
        <v>4169</v>
      </c>
      <c r="AA47" t="s">
        <v>4170</v>
      </c>
      <c r="AB47" t="s">
        <v>624</v>
      </c>
      <c r="AC47" t="s">
        <v>50</v>
      </c>
      <c r="AD47" t="s">
        <v>50</v>
      </c>
      <c r="AE47" t="s">
        <v>50</v>
      </c>
      <c r="AF47" t="s">
        <v>4171</v>
      </c>
      <c r="AG47" t="s">
        <v>4172</v>
      </c>
      <c r="AH47" t="s">
        <v>4171</v>
      </c>
      <c r="AI47" t="s">
        <v>4173</v>
      </c>
      <c r="AJ47" t="s">
        <v>4171</v>
      </c>
      <c r="AK47" t="s">
        <v>4173</v>
      </c>
      <c r="AL47" t="s">
        <v>4146</v>
      </c>
    </row>
    <row r="48" spans="1:38" ht="11.25" customHeight="1">
      <c r="A48" t="s">
        <v>9</v>
      </c>
      <c r="B48" t="s">
        <v>36</v>
      </c>
      <c r="C48" t="s">
        <v>38</v>
      </c>
      <c r="D48" t="s">
        <v>9</v>
      </c>
      <c r="E48" t="s">
        <v>4174</v>
      </c>
      <c r="F48" t="s">
        <v>1438</v>
      </c>
      <c r="G48" t="s">
        <v>3567</v>
      </c>
      <c r="H48" t="s">
        <v>3571</v>
      </c>
      <c r="I48" t="s">
        <v>3572</v>
      </c>
      <c r="J48" t="s">
        <v>4134</v>
      </c>
      <c r="K48" t="s">
        <v>4278</v>
      </c>
      <c r="L48" t="s">
        <v>4175</v>
      </c>
      <c r="M48" t="s">
        <v>4176</v>
      </c>
      <c r="N48" t="s">
        <v>164</v>
      </c>
      <c r="O48" t="s">
        <v>3567</v>
      </c>
      <c r="P48" t="s">
        <v>3571</v>
      </c>
      <c r="Q48" t="s">
        <v>3572</v>
      </c>
      <c r="R48" t="s">
        <v>4134</v>
      </c>
      <c r="S48" t="s">
        <v>4278</v>
      </c>
      <c r="T48" t="s">
        <v>4138</v>
      </c>
      <c r="U48" t="s">
        <v>4139</v>
      </c>
      <c r="V48" t="s">
        <v>624</v>
      </c>
      <c r="W48" t="s">
        <v>4140</v>
      </c>
      <c r="X48" t="s">
        <v>4141</v>
      </c>
      <c r="Y48" t="s">
        <v>4142</v>
      </c>
      <c r="Z48" t="s">
        <v>4177</v>
      </c>
      <c r="AA48" t="s">
        <v>4178</v>
      </c>
      <c r="AB48" t="s">
        <v>624</v>
      </c>
      <c r="AC48" t="s">
        <v>50</v>
      </c>
      <c r="AD48" t="s">
        <v>50</v>
      </c>
      <c r="AE48" t="s">
        <v>50</v>
      </c>
      <c r="AF48" t="s">
        <v>130</v>
      </c>
      <c r="AG48" t="s">
        <v>4179</v>
      </c>
      <c r="AH48" t="s">
        <v>130</v>
      </c>
      <c r="AI48" t="s">
        <v>4179</v>
      </c>
      <c r="AJ48" t="s">
        <v>130</v>
      </c>
      <c r="AK48" t="s">
        <v>4179</v>
      </c>
      <c r="AL48" t="s">
        <v>4146</v>
      </c>
    </row>
    <row r="49" spans="1:38" ht="11.25" customHeight="1">
      <c r="A49" t="s">
        <v>9</v>
      </c>
      <c r="B49" t="s">
        <v>36</v>
      </c>
      <c r="C49" t="s">
        <v>38</v>
      </c>
      <c r="D49" t="s">
        <v>9</v>
      </c>
      <c r="E49" t="s">
        <v>4180</v>
      </c>
      <c r="F49" t="s">
        <v>4148</v>
      </c>
      <c r="G49" t="s">
        <v>3567</v>
      </c>
      <c r="H49" t="s">
        <v>3571</v>
      </c>
      <c r="I49" t="s">
        <v>3572</v>
      </c>
      <c r="J49" t="s">
        <v>4134</v>
      </c>
      <c r="K49" t="s">
        <v>4278</v>
      </c>
      <c r="L49" t="s">
        <v>4175</v>
      </c>
      <c r="M49" t="s">
        <v>4176</v>
      </c>
      <c r="N49" t="s">
        <v>164</v>
      </c>
      <c r="O49" t="s">
        <v>3567</v>
      </c>
      <c r="P49" t="s">
        <v>3571</v>
      </c>
      <c r="Q49" t="s">
        <v>3572</v>
      </c>
      <c r="R49" t="s">
        <v>4134</v>
      </c>
      <c r="S49" t="s">
        <v>4278</v>
      </c>
      <c r="T49" t="s">
        <v>4138</v>
      </c>
      <c r="U49" t="s">
        <v>4139</v>
      </c>
      <c r="V49" t="s">
        <v>624</v>
      </c>
      <c r="W49" t="s">
        <v>4140</v>
      </c>
      <c r="X49" t="s">
        <v>4141</v>
      </c>
      <c r="Y49" t="s">
        <v>4142</v>
      </c>
      <c r="Z49" t="s">
        <v>4177</v>
      </c>
      <c r="AA49" t="s">
        <v>4178</v>
      </c>
      <c r="AB49" t="s">
        <v>624</v>
      </c>
      <c r="AC49" t="s">
        <v>6</v>
      </c>
      <c r="AD49" t="s">
        <v>50</v>
      </c>
      <c r="AE49" t="s">
        <v>6</v>
      </c>
      <c r="AF49" t="s">
        <v>9</v>
      </c>
      <c r="AG49" t="s">
        <v>9</v>
      </c>
      <c r="AH49" t="s">
        <v>130</v>
      </c>
      <c r="AI49" t="s">
        <v>4179</v>
      </c>
      <c r="AJ49" t="s">
        <v>130</v>
      </c>
      <c r="AK49" t="s">
        <v>4179</v>
      </c>
      <c r="AL49" t="s">
        <v>9</v>
      </c>
    </row>
    <row r="50" spans="1:38" ht="11.25" customHeight="1">
      <c r="A50" t="s">
        <v>9</v>
      </c>
      <c r="B50" t="s">
        <v>36</v>
      </c>
      <c r="C50" t="s">
        <v>38</v>
      </c>
      <c r="D50" t="s">
        <v>9</v>
      </c>
      <c r="E50" t="s">
        <v>4181</v>
      </c>
      <c r="F50" t="s">
        <v>4148</v>
      </c>
      <c r="G50" t="s">
        <v>3567</v>
      </c>
      <c r="H50" t="s">
        <v>3571</v>
      </c>
      <c r="I50" t="s">
        <v>3572</v>
      </c>
      <c r="J50" t="s">
        <v>4134</v>
      </c>
      <c r="K50" t="s">
        <v>4278</v>
      </c>
      <c r="L50" t="s">
        <v>4175</v>
      </c>
      <c r="M50" t="s">
        <v>4176</v>
      </c>
      <c r="N50" t="s">
        <v>164</v>
      </c>
      <c r="O50" t="s">
        <v>3567</v>
      </c>
      <c r="P50" t="s">
        <v>3571</v>
      </c>
      <c r="Q50" t="s">
        <v>3572</v>
      </c>
      <c r="R50" t="s">
        <v>4134</v>
      </c>
      <c r="S50" t="s">
        <v>4278</v>
      </c>
      <c r="T50" t="s">
        <v>4138</v>
      </c>
      <c r="U50" t="s">
        <v>4139</v>
      </c>
      <c r="V50" t="s">
        <v>624</v>
      </c>
      <c r="W50" t="s">
        <v>4140</v>
      </c>
      <c r="X50" t="s">
        <v>4141</v>
      </c>
      <c r="Y50" t="s">
        <v>4142</v>
      </c>
      <c r="Z50" t="s">
        <v>4177</v>
      </c>
      <c r="AA50" t="s">
        <v>4178</v>
      </c>
      <c r="AB50" t="s">
        <v>624</v>
      </c>
      <c r="AC50" t="s">
        <v>6</v>
      </c>
      <c r="AD50" t="s">
        <v>50</v>
      </c>
      <c r="AE50" t="s">
        <v>6</v>
      </c>
      <c r="AF50" t="s">
        <v>9</v>
      </c>
      <c r="AG50" t="s">
        <v>9</v>
      </c>
      <c r="AH50" t="s">
        <v>130</v>
      </c>
      <c r="AI50" t="s">
        <v>4179</v>
      </c>
      <c r="AJ50" t="s">
        <v>130</v>
      </c>
      <c r="AK50" t="s">
        <v>4179</v>
      </c>
      <c r="AL50" t="s">
        <v>9</v>
      </c>
    </row>
    <row r="51" spans="1:38" ht="11.25" customHeight="1">
      <c r="A51" t="s">
        <v>9</v>
      </c>
      <c r="B51" t="s">
        <v>36</v>
      </c>
      <c r="C51" t="s">
        <v>38</v>
      </c>
      <c r="D51" t="s">
        <v>9</v>
      </c>
      <c r="E51" t="s">
        <v>4182</v>
      </c>
      <c r="F51" t="s">
        <v>1438</v>
      </c>
      <c r="G51" t="s">
        <v>3567</v>
      </c>
      <c r="H51" t="s">
        <v>3571</v>
      </c>
      <c r="I51" t="s">
        <v>3572</v>
      </c>
      <c r="J51" t="s">
        <v>4134</v>
      </c>
      <c r="K51" t="s">
        <v>4278</v>
      </c>
      <c r="L51" t="s">
        <v>4183</v>
      </c>
      <c r="M51" t="s">
        <v>4184</v>
      </c>
      <c r="N51" t="s">
        <v>164</v>
      </c>
      <c r="O51" t="s">
        <v>3567</v>
      </c>
      <c r="P51" t="s">
        <v>3571</v>
      </c>
      <c r="Q51" t="s">
        <v>3572</v>
      </c>
      <c r="R51" t="s">
        <v>4134</v>
      </c>
      <c r="S51" t="s">
        <v>4278</v>
      </c>
      <c r="T51" t="s">
        <v>4138</v>
      </c>
      <c r="U51" t="s">
        <v>4139</v>
      </c>
      <c r="V51" t="s">
        <v>624</v>
      </c>
      <c r="W51" t="s">
        <v>4140</v>
      </c>
      <c r="X51" t="s">
        <v>4141</v>
      </c>
      <c r="Y51" t="s">
        <v>4142</v>
      </c>
      <c r="Z51" t="s">
        <v>4185</v>
      </c>
      <c r="AA51" t="s">
        <v>4186</v>
      </c>
      <c r="AB51" t="s">
        <v>624</v>
      </c>
      <c r="AC51" t="s">
        <v>50</v>
      </c>
      <c r="AD51" t="s">
        <v>50</v>
      </c>
      <c r="AE51" t="s">
        <v>50</v>
      </c>
      <c r="AF51" t="s">
        <v>4187</v>
      </c>
      <c r="AG51" t="s">
        <v>4188</v>
      </c>
      <c r="AH51" t="s">
        <v>4187</v>
      </c>
      <c r="AI51" t="s">
        <v>4188</v>
      </c>
      <c r="AJ51" t="s">
        <v>4187</v>
      </c>
      <c r="AK51" t="s">
        <v>4188</v>
      </c>
      <c r="AL51" t="s">
        <v>4146</v>
      </c>
    </row>
    <row r="52" spans="1:38" ht="11.25" customHeight="1">
      <c r="A52" t="s">
        <v>9</v>
      </c>
      <c r="B52" t="s">
        <v>36</v>
      </c>
      <c r="C52" t="s">
        <v>38</v>
      </c>
      <c r="D52" t="s">
        <v>9</v>
      </c>
      <c r="E52" t="s">
        <v>4189</v>
      </c>
      <c r="F52" t="s">
        <v>4148</v>
      </c>
      <c r="G52" t="s">
        <v>3567</v>
      </c>
      <c r="H52" t="s">
        <v>3571</v>
      </c>
      <c r="I52" t="s">
        <v>3572</v>
      </c>
      <c r="J52" t="s">
        <v>4134</v>
      </c>
      <c r="K52" t="s">
        <v>4278</v>
      </c>
      <c r="L52" t="s">
        <v>4183</v>
      </c>
      <c r="M52" t="s">
        <v>4184</v>
      </c>
      <c r="N52" t="s">
        <v>164</v>
      </c>
      <c r="O52" t="s">
        <v>3567</v>
      </c>
      <c r="P52" t="s">
        <v>3571</v>
      </c>
      <c r="Q52" t="s">
        <v>3572</v>
      </c>
      <c r="R52" t="s">
        <v>4134</v>
      </c>
      <c r="S52" t="s">
        <v>4278</v>
      </c>
      <c r="T52" t="s">
        <v>4138</v>
      </c>
      <c r="U52" t="s">
        <v>4139</v>
      </c>
      <c r="V52" t="s">
        <v>624</v>
      </c>
      <c r="W52" t="s">
        <v>4140</v>
      </c>
      <c r="X52" t="s">
        <v>4141</v>
      </c>
      <c r="Y52" t="s">
        <v>4142</v>
      </c>
      <c r="Z52" t="s">
        <v>4185</v>
      </c>
      <c r="AA52" t="s">
        <v>4186</v>
      </c>
      <c r="AB52" t="s">
        <v>624</v>
      </c>
      <c r="AC52" t="s">
        <v>6</v>
      </c>
      <c r="AD52" t="s">
        <v>50</v>
      </c>
      <c r="AE52" t="s">
        <v>6</v>
      </c>
      <c r="AF52" t="s">
        <v>9</v>
      </c>
      <c r="AG52" t="s">
        <v>9</v>
      </c>
      <c r="AH52" t="s">
        <v>4187</v>
      </c>
      <c r="AI52" t="s">
        <v>4188</v>
      </c>
      <c r="AJ52" t="s">
        <v>4187</v>
      </c>
      <c r="AK52" t="s">
        <v>4188</v>
      </c>
      <c r="AL52" t="s">
        <v>9</v>
      </c>
    </row>
    <row r="53" spans="1:38" ht="11.25" customHeight="1">
      <c r="A53" t="s">
        <v>9</v>
      </c>
      <c r="B53" t="s">
        <v>36</v>
      </c>
      <c r="C53" t="s">
        <v>38</v>
      </c>
      <c r="D53" t="s">
        <v>9</v>
      </c>
      <c r="E53" t="s">
        <v>4190</v>
      </c>
      <c r="F53" t="s">
        <v>4148</v>
      </c>
      <c r="G53" t="s">
        <v>3567</v>
      </c>
      <c r="H53" t="s">
        <v>3571</v>
      </c>
      <c r="I53" t="s">
        <v>3572</v>
      </c>
      <c r="J53" t="s">
        <v>4134</v>
      </c>
      <c r="K53" t="s">
        <v>4278</v>
      </c>
      <c r="L53" t="s">
        <v>4183</v>
      </c>
      <c r="M53" t="s">
        <v>4191</v>
      </c>
      <c r="N53" t="s">
        <v>164</v>
      </c>
      <c r="O53" t="s">
        <v>3567</v>
      </c>
      <c r="P53" t="s">
        <v>3571</v>
      </c>
      <c r="Q53" t="s">
        <v>3572</v>
      </c>
      <c r="R53" t="s">
        <v>4134</v>
      </c>
      <c r="S53" t="s">
        <v>4278</v>
      </c>
      <c r="T53" t="s">
        <v>4138</v>
      </c>
      <c r="U53" t="s">
        <v>4139</v>
      </c>
      <c r="V53" t="s">
        <v>624</v>
      </c>
      <c r="W53" t="s">
        <v>4140</v>
      </c>
      <c r="X53" t="s">
        <v>4141</v>
      </c>
      <c r="Y53" t="s">
        <v>4142</v>
      </c>
      <c r="Z53" t="s">
        <v>4185</v>
      </c>
      <c r="AA53" t="s">
        <v>4186</v>
      </c>
      <c r="AB53" t="s">
        <v>624</v>
      </c>
      <c r="AC53" t="s">
        <v>6</v>
      </c>
      <c r="AD53" t="s">
        <v>50</v>
      </c>
      <c r="AE53" t="s">
        <v>6</v>
      </c>
      <c r="AF53" t="s">
        <v>9</v>
      </c>
      <c r="AG53" t="s">
        <v>9</v>
      </c>
      <c r="AH53" t="s">
        <v>4187</v>
      </c>
      <c r="AI53" t="s">
        <v>4188</v>
      </c>
      <c r="AJ53" t="s">
        <v>4187</v>
      </c>
      <c r="AK53" t="s">
        <v>4188</v>
      </c>
      <c r="AL53" t="s">
        <v>9</v>
      </c>
    </row>
    <row r="54" spans="1:38" ht="11.25" customHeight="1">
      <c r="A54" t="s">
        <v>9</v>
      </c>
      <c r="B54" t="s">
        <v>36</v>
      </c>
      <c r="C54" t="s">
        <v>38</v>
      </c>
      <c r="D54" t="s">
        <v>9</v>
      </c>
      <c r="E54" t="s">
        <v>1456</v>
      </c>
      <c r="F54" t="s">
        <v>1438</v>
      </c>
      <c r="G54" t="s">
        <v>3567</v>
      </c>
      <c r="H54" t="s">
        <v>3571</v>
      </c>
      <c r="I54" t="s">
        <v>3572</v>
      </c>
      <c r="J54" t="s">
        <v>4134</v>
      </c>
      <c r="K54" t="s">
        <v>4278</v>
      </c>
      <c r="L54" t="s">
        <v>4192</v>
      </c>
      <c r="M54" t="s">
        <v>4193</v>
      </c>
      <c r="N54" t="s">
        <v>164</v>
      </c>
      <c r="O54" t="s">
        <v>3567</v>
      </c>
      <c r="P54" t="s">
        <v>3571</v>
      </c>
      <c r="Q54" t="s">
        <v>3572</v>
      </c>
      <c r="R54" t="s">
        <v>4134</v>
      </c>
      <c r="S54" t="s">
        <v>4278</v>
      </c>
      <c r="T54" t="s">
        <v>4138</v>
      </c>
      <c r="U54" t="s">
        <v>4139</v>
      </c>
      <c r="V54" t="s">
        <v>624</v>
      </c>
      <c r="W54" t="s">
        <v>4140</v>
      </c>
      <c r="X54" t="s">
        <v>4141</v>
      </c>
      <c r="Y54" t="s">
        <v>4142</v>
      </c>
      <c r="Z54" t="s">
        <v>4194</v>
      </c>
      <c r="AA54" t="s">
        <v>4195</v>
      </c>
      <c r="AB54" t="s">
        <v>624</v>
      </c>
      <c r="AC54" t="s">
        <v>50</v>
      </c>
      <c r="AD54" t="s">
        <v>50</v>
      </c>
      <c r="AE54" t="s">
        <v>50</v>
      </c>
      <c r="AF54" t="s">
        <v>4153</v>
      </c>
      <c r="AG54" t="s">
        <v>722</v>
      </c>
      <c r="AH54" t="s">
        <v>4153</v>
      </c>
      <c r="AI54" t="s">
        <v>722</v>
      </c>
      <c r="AJ54" t="s">
        <v>4153</v>
      </c>
      <c r="AK54" t="s">
        <v>722</v>
      </c>
      <c r="AL54" t="s">
        <v>4146</v>
      </c>
    </row>
    <row r="55" spans="1:38" ht="11.25" customHeight="1">
      <c r="A55" t="s">
        <v>9</v>
      </c>
      <c r="B55" t="s">
        <v>36</v>
      </c>
      <c r="C55" t="s">
        <v>38</v>
      </c>
      <c r="D55" t="s">
        <v>9</v>
      </c>
      <c r="E55" t="s">
        <v>4196</v>
      </c>
      <c r="F55" t="s">
        <v>4148</v>
      </c>
      <c r="G55" t="s">
        <v>3567</v>
      </c>
      <c r="H55" t="s">
        <v>3571</v>
      </c>
      <c r="I55" t="s">
        <v>3572</v>
      </c>
      <c r="J55" t="s">
        <v>4134</v>
      </c>
      <c r="K55" t="s">
        <v>4278</v>
      </c>
      <c r="L55" t="s">
        <v>4192</v>
      </c>
      <c r="M55" t="s">
        <v>4150</v>
      </c>
      <c r="N55" t="s">
        <v>164</v>
      </c>
      <c r="O55" t="s">
        <v>3567</v>
      </c>
      <c r="P55" t="s">
        <v>3571</v>
      </c>
      <c r="Q55" t="s">
        <v>3572</v>
      </c>
      <c r="R55" t="s">
        <v>4134</v>
      </c>
      <c r="S55" t="s">
        <v>4278</v>
      </c>
      <c r="T55" t="s">
        <v>4138</v>
      </c>
      <c r="U55" t="s">
        <v>4139</v>
      </c>
      <c r="V55" t="s">
        <v>624</v>
      </c>
      <c r="W55" t="s">
        <v>4140</v>
      </c>
      <c r="X55" t="s">
        <v>4141</v>
      </c>
      <c r="Y55" t="s">
        <v>4142</v>
      </c>
      <c r="Z55" t="s">
        <v>4194</v>
      </c>
      <c r="AA55" t="s">
        <v>4195</v>
      </c>
      <c r="AB55" t="s">
        <v>624</v>
      </c>
      <c r="AC55" t="s">
        <v>6</v>
      </c>
      <c r="AD55" t="s">
        <v>50</v>
      </c>
      <c r="AE55" t="s">
        <v>6</v>
      </c>
      <c r="AF55" t="s">
        <v>9</v>
      </c>
      <c r="AG55" t="s">
        <v>9</v>
      </c>
      <c r="AH55" t="s">
        <v>4153</v>
      </c>
      <c r="AI55" t="s">
        <v>4197</v>
      </c>
      <c r="AJ55" t="s">
        <v>4153</v>
      </c>
      <c r="AK55" t="s">
        <v>4197</v>
      </c>
      <c r="AL55" t="s">
        <v>9</v>
      </c>
    </row>
    <row r="56" spans="1:38" ht="11.25" customHeight="1">
      <c r="A56" t="s">
        <v>9</v>
      </c>
      <c r="B56" t="s">
        <v>36</v>
      </c>
      <c r="C56" t="s">
        <v>38</v>
      </c>
      <c r="D56" t="s">
        <v>9</v>
      </c>
      <c r="E56" t="s">
        <v>1500</v>
      </c>
      <c r="F56" t="s">
        <v>1438</v>
      </c>
      <c r="G56" t="s">
        <v>3567</v>
      </c>
      <c r="H56" t="s">
        <v>3571</v>
      </c>
      <c r="I56" t="s">
        <v>3572</v>
      </c>
      <c r="J56" t="s">
        <v>4134</v>
      </c>
      <c r="K56" t="s">
        <v>4278</v>
      </c>
      <c r="L56" t="s">
        <v>4198</v>
      </c>
      <c r="M56" t="s">
        <v>1442</v>
      </c>
      <c r="N56" t="s">
        <v>164</v>
      </c>
      <c r="O56" t="s">
        <v>3567</v>
      </c>
      <c r="P56" t="s">
        <v>3571</v>
      </c>
      <c r="Q56" t="s">
        <v>3572</v>
      </c>
      <c r="R56" t="s">
        <v>4134</v>
      </c>
      <c r="S56" t="s">
        <v>4278</v>
      </c>
      <c r="T56" t="s">
        <v>4138</v>
      </c>
      <c r="U56" t="s">
        <v>4139</v>
      </c>
      <c r="V56" t="s">
        <v>624</v>
      </c>
      <c r="W56" t="s">
        <v>4140</v>
      </c>
      <c r="X56" t="s">
        <v>4141</v>
      </c>
      <c r="Y56" t="s">
        <v>4142</v>
      </c>
      <c r="Z56" t="s">
        <v>4199</v>
      </c>
      <c r="AA56" t="s">
        <v>4200</v>
      </c>
      <c r="AB56" t="s">
        <v>624</v>
      </c>
      <c r="AC56" t="s">
        <v>50</v>
      </c>
      <c r="AD56" t="s">
        <v>50</v>
      </c>
      <c r="AE56" t="s">
        <v>50</v>
      </c>
      <c r="AF56" t="s">
        <v>122</v>
      </c>
      <c r="AG56" t="s">
        <v>1049</v>
      </c>
      <c r="AH56" t="s">
        <v>1219</v>
      </c>
      <c r="AI56" t="s">
        <v>1049</v>
      </c>
      <c r="AJ56" t="s">
        <v>1219</v>
      </c>
      <c r="AK56" t="s">
        <v>1049</v>
      </c>
      <c r="AL56" t="s">
        <v>4146</v>
      </c>
    </row>
    <row r="57" spans="1:38" ht="11.25" customHeight="1">
      <c r="A57" t="s">
        <v>9</v>
      </c>
      <c r="B57" t="s">
        <v>36</v>
      </c>
      <c r="C57" t="s">
        <v>38</v>
      </c>
      <c r="D57" t="s">
        <v>9</v>
      </c>
      <c r="E57" t="s">
        <v>4201</v>
      </c>
      <c r="F57" t="s">
        <v>4148</v>
      </c>
      <c r="G57" t="s">
        <v>3567</v>
      </c>
      <c r="H57" t="s">
        <v>3571</v>
      </c>
      <c r="I57" t="s">
        <v>3572</v>
      </c>
      <c r="J57" t="s">
        <v>4134</v>
      </c>
      <c r="K57" t="s">
        <v>4278</v>
      </c>
      <c r="L57" t="s">
        <v>4198</v>
      </c>
      <c r="M57" t="s">
        <v>1442</v>
      </c>
      <c r="N57" t="s">
        <v>164</v>
      </c>
      <c r="O57" t="s">
        <v>3567</v>
      </c>
      <c r="P57" t="s">
        <v>3571</v>
      </c>
      <c r="Q57" t="s">
        <v>3572</v>
      </c>
      <c r="R57" t="s">
        <v>4134</v>
      </c>
      <c r="S57" t="s">
        <v>4278</v>
      </c>
      <c r="T57" t="s">
        <v>4138</v>
      </c>
      <c r="U57" t="s">
        <v>4139</v>
      </c>
      <c r="V57" t="s">
        <v>624</v>
      </c>
      <c r="W57" t="s">
        <v>4140</v>
      </c>
      <c r="X57" t="s">
        <v>4141</v>
      </c>
      <c r="Y57" t="s">
        <v>4142</v>
      </c>
      <c r="Z57" t="s">
        <v>4199</v>
      </c>
      <c r="AA57" t="s">
        <v>4200</v>
      </c>
      <c r="AB57" t="s">
        <v>624</v>
      </c>
      <c r="AC57" t="s">
        <v>6</v>
      </c>
      <c r="AD57" t="s">
        <v>50</v>
      </c>
      <c r="AE57" t="s">
        <v>6</v>
      </c>
      <c r="AF57" t="s">
        <v>9</v>
      </c>
      <c r="AG57" t="s">
        <v>9</v>
      </c>
      <c r="AH57" t="s">
        <v>1219</v>
      </c>
      <c r="AI57" t="s">
        <v>1049</v>
      </c>
      <c r="AJ57" t="s">
        <v>1219</v>
      </c>
      <c r="AK57" t="s">
        <v>1049</v>
      </c>
      <c r="AL57" t="s">
        <v>9</v>
      </c>
    </row>
    <row r="58" spans="1:38" ht="11.25" customHeight="1">
      <c r="A58" t="s">
        <v>9</v>
      </c>
      <c r="B58" t="s">
        <v>36</v>
      </c>
      <c r="C58" t="s">
        <v>38</v>
      </c>
      <c r="D58" t="s">
        <v>9</v>
      </c>
      <c r="E58" t="s">
        <v>4202</v>
      </c>
      <c r="F58" t="s">
        <v>1457</v>
      </c>
      <c r="G58" t="s">
        <v>3567</v>
      </c>
      <c r="H58" t="s">
        <v>3571</v>
      </c>
      <c r="I58" t="s">
        <v>3572</v>
      </c>
      <c r="J58" t="s">
        <v>4134</v>
      </c>
      <c r="K58" t="s">
        <v>4278</v>
      </c>
      <c r="L58" t="s">
        <v>4203</v>
      </c>
      <c r="M58" t="s">
        <v>4204</v>
      </c>
      <c r="N58" t="s">
        <v>164</v>
      </c>
      <c r="O58" t="s">
        <v>3567</v>
      </c>
      <c r="P58" t="s">
        <v>3571</v>
      </c>
      <c r="Q58" t="s">
        <v>3572</v>
      </c>
      <c r="R58" t="s">
        <v>4134</v>
      </c>
      <c r="S58" t="s">
        <v>4278</v>
      </c>
      <c r="T58" t="s">
        <v>4138</v>
      </c>
      <c r="U58" t="s">
        <v>4139</v>
      </c>
      <c r="V58" t="s">
        <v>624</v>
      </c>
      <c r="W58" t="s">
        <v>4140</v>
      </c>
      <c r="X58" t="s">
        <v>4141</v>
      </c>
      <c r="Y58" t="s">
        <v>4142</v>
      </c>
      <c r="Z58" t="s">
        <v>4205</v>
      </c>
      <c r="AA58" t="s">
        <v>4206</v>
      </c>
      <c r="AB58" t="s">
        <v>624</v>
      </c>
      <c r="AC58" t="s">
        <v>50</v>
      </c>
      <c r="AD58" t="s">
        <v>6</v>
      </c>
      <c r="AE58" t="s">
        <v>6</v>
      </c>
      <c r="AF58" t="s">
        <v>1544</v>
      </c>
      <c r="AG58" t="s">
        <v>4207</v>
      </c>
      <c r="AH58" t="s">
        <v>9</v>
      </c>
      <c r="AI58" t="s">
        <v>9</v>
      </c>
      <c r="AJ58" t="s">
        <v>9</v>
      </c>
      <c r="AK58" t="s">
        <v>9</v>
      </c>
      <c r="AL58" t="s">
        <v>4146</v>
      </c>
    </row>
    <row r="59" spans="1:38" ht="11.25" customHeight="1">
      <c r="A59" t="s">
        <v>9</v>
      </c>
      <c r="B59" t="s">
        <v>36</v>
      </c>
      <c r="C59" t="s">
        <v>38</v>
      </c>
      <c r="D59" t="s">
        <v>9</v>
      </c>
      <c r="E59" t="s">
        <v>1467</v>
      </c>
      <c r="F59" t="s">
        <v>1438</v>
      </c>
      <c r="G59" t="s">
        <v>3567</v>
      </c>
      <c r="H59" t="s">
        <v>3571</v>
      </c>
      <c r="I59" t="s">
        <v>3572</v>
      </c>
      <c r="J59" t="s">
        <v>4134</v>
      </c>
      <c r="K59" t="s">
        <v>4278</v>
      </c>
      <c r="L59" t="s">
        <v>4208</v>
      </c>
      <c r="M59" t="s">
        <v>4209</v>
      </c>
      <c r="N59" t="s">
        <v>164</v>
      </c>
      <c r="O59" t="s">
        <v>3567</v>
      </c>
      <c r="P59" t="s">
        <v>3571</v>
      </c>
      <c r="Q59" t="s">
        <v>3572</v>
      </c>
      <c r="R59" t="s">
        <v>4134</v>
      </c>
      <c r="S59" t="s">
        <v>4278</v>
      </c>
      <c r="T59" t="s">
        <v>4165</v>
      </c>
      <c r="U59" t="s">
        <v>4210</v>
      </c>
      <c r="V59" t="s">
        <v>624</v>
      </c>
      <c r="W59" t="s">
        <v>4140</v>
      </c>
      <c r="X59" t="s">
        <v>4167</v>
      </c>
      <c r="Y59" t="s">
        <v>4168</v>
      </c>
      <c r="Z59" t="s">
        <v>4211</v>
      </c>
      <c r="AA59" t="s">
        <v>4170</v>
      </c>
      <c r="AB59" t="s">
        <v>624</v>
      </c>
      <c r="AC59" t="s">
        <v>50</v>
      </c>
      <c r="AD59" t="s">
        <v>50</v>
      </c>
      <c r="AE59" t="s">
        <v>50</v>
      </c>
      <c r="AF59" t="s">
        <v>1366</v>
      </c>
      <c r="AG59" t="s">
        <v>4212</v>
      </c>
      <c r="AH59" t="s">
        <v>1366</v>
      </c>
      <c r="AI59" t="s">
        <v>4212</v>
      </c>
      <c r="AJ59" t="s">
        <v>1366</v>
      </c>
      <c r="AK59" t="s">
        <v>4212</v>
      </c>
      <c r="AL59" t="s">
        <v>4146</v>
      </c>
    </row>
    <row r="60" spans="1:38" ht="11.25" customHeight="1">
      <c r="A60" t="s">
        <v>9</v>
      </c>
      <c r="B60" t="s">
        <v>36</v>
      </c>
      <c r="C60" t="s">
        <v>38</v>
      </c>
      <c r="D60" t="s">
        <v>9</v>
      </c>
      <c r="E60" t="s">
        <v>4213</v>
      </c>
      <c r="F60" t="s">
        <v>4148</v>
      </c>
      <c r="G60" t="s">
        <v>3567</v>
      </c>
      <c r="H60" t="s">
        <v>3571</v>
      </c>
      <c r="I60" t="s">
        <v>3572</v>
      </c>
      <c r="J60" t="s">
        <v>4134</v>
      </c>
      <c r="K60" t="s">
        <v>4278</v>
      </c>
      <c r="L60" t="s">
        <v>4208</v>
      </c>
      <c r="M60" t="s">
        <v>4209</v>
      </c>
      <c r="N60" t="s">
        <v>164</v>
      </c>
      <c r="O60" t="s">
        <v>3567</v>
      </c>
      <c r="P60" t="s">
        <v>3571</v>
      </c>
      <c r="Q60" t="s">
        <v>3572</v>
      </c>
      <c r="R60" t="s">
        <v>4134</v>
      </c>
      <c r="S60" t="s">
        <v>4278</v>
      </c>
      <c r="T60" t="s">
        <v>4165</v>
      </c>
      <c r="U60" t="s">
        <v>4210</v>
      </c>
      <c r="V60" t="s">
        <v>624</v>
      </c>
      <c r="W60" t="s">
        <v>4140</v>
      </c>
      <c r="X60" t="s">
        <v>4167</v>
      </c>
      <c r="Y60" t="s">
        <v>4168</v>
      </c>
      <c r="Z60" t="s">
        <v>4211</v>
      </c>
      <c r="AA60" t="s">
        <v>4170</v>
      </c>
      <c r="AB60" t="s">
        <v>624</v>
      </c>
      <c r="AC60" t="s">
        <v>6</v>
      </c>
      <c r="AD60" t="s">
        <v>50</v>
      </c>
      <c r="AE60" t="s">
        <v>6</v>
      </c>
      <c r="AF60" t="s">
        <v>9</v>
      </c>
      <c r="AG60" t="s">
        <v>9</v>
      </c>
      <c r="AH60" t="s">
        <v>1366</v>
      </c>
      <c r="AI60" t="s">
        <v>4212</v>
      </c>
      <c r="AJ60" t="s">
        <v>1366</v>
      </c>
      <c r="AK60" t="s">
        <v>4212</v>
      </c>
      <c r="AL60" t="s">
        <v>9</v>
      </c>
    </row>
    <row r="61" spans="1:38" ht="11.25" customHeight="1">
      <c r="A61" t="s">
        <v>9</v>
      </c>
      <c r="B61" t="s">
        <v>36</v>
      </c>
      <c r="C61" t="s">
        <v>38</v>
      </c>
      <c r="D61" t="s">
        <v>9</v>
      </c>
      <c r="E61" t="s">
        <v>4214</v>
      </c>
      <c r="F61" t="s">
        <v>4148</v>
      </c>
      <c r="G61" t="s">
        <v>3567</v>
      </c>
      <c r="H61" t="s">
        <v>3571</v>
      </c>
      <c r="I61" t="s">
        <v>3572</v>
      </c>
      <c r="J61" t="s">
        <v>4134</v>
      </c>
      <c r="K61" t="s">
        <v>4278</v>
      </c>
      <c r="L61" t="s">
        <v>4208</v>
      </c>
      <c r="M61" t="s">
        <v>4209</v>
      </c>
      <c r="N61" t="s">
        <v>164</v>
      </c>
      <c r="O61" t="s">
        <v>3567</v>
      </c>
      <c r="P61" t="s">
        <v>3571</v>
      </c>
      <c r="Q61" t="s">
        <v>3572</v>
      </c>
      <c r="R61" t="s">
        <v>4134</v>
      </c>
      <c r="S61" t="s">
        <v>4278</v>
      </c>
      <c r="T61" t="s">
        <v>4165</v>
      </c>
      <c r="U61" t="s">
        <v>4210</v>
      </c>
      <c r="V61" t="s">
        <v>624</v>
      </c>
      <c r="W61" t="s">
        <v>4140</v>
      </c>
      <c r="X61" t="s">
        <v>4167</v>
      </c>
      <c r="Y61" t="s">
        <v>4168</v>
      </c>
      <c r="Z61" t="s">
        <v>4211</v>
      </c>
      <c r="AA61" t="s">
        <v>4170</v>
      </c>
      <c r="AB61" t="s">
        <v>624</v>
      </c>
      <c r="AC61" t="s">
        <v>6</v>
      </c>
      <c r="AD61" t="s">
        <v>50</v>
      </c>
      <c r="AE61" t="s">
        <v>6</v>
      </c>
      <c r="AF61" t="s">
        <v>9</v>
      </c>
      <c r="AG61" t="s">
        <v>9</v>
      </c>
      <c r="AH61" t="s">
        <v>1366</v>
      </c>
      <c r="AI61" t="s">
        <v>4212</v>
      </c>
      <c r="AJ61" t="s">
        <v>1366</v>
      </c>
      <c r="AK61" t="s">
        <v>4212</v>
      </c>
      <c r="AL61" t="s">
        <v>9</v>
      </c>
    </row>
    <row r="62" spans="1:38" ht="11.25" customHeight="1">
      <c r="A62" t="s">
        <v>9</v>
      </c>
      <c r="B62" t="s">
        <v>36</v>
      </c>
      <c r="C62" t="s">
        <v>38</v>
      </c>
      <c r="D62" t="s">
        <v>9</v>
      </c>
      <c r="E62" t="s">
        <v>1471</v>
      </c>
      <c r="F62" t="s">
        <v>1438</v>
      </c>
      <c r="G62" t="s">
        <v>3567</v>
      </c>
      <c r="H62" t="s">
        <v>3571</v>
      </c>
      <c r="I62" t="s">
        <v>3572</v>
      </c>
      <c r="J62" t="s">
        <v>4134</v>
      </c>
      <c r="K62" t="s">
        <v>4278</v>
      </c>
      <c r="L62" t="s">
        <v>4215</v>
      </c>
      <c r="M62" t="s">
        <v>1442</v>
      </c>
      <c r="N62" t="s">
        <v>164</v>
      </c>
      <c r="O62" t="s">
        <v>3567</v>
      </c>
      <c r="P62" t="s">
        <v>3571</v>
      </c>
      <c r="Q62" t="s">
        <v>3572</v>
      </c>
      <c r="R62" t="s">
        <v>4134</v>
      </c>
      <c r="S62" t="s">
        <v>4278</v>
      </c>
      <c r="T62" t="s">
        <v>4165</v>
      </c>
      <c r="U62" t="s">
        <v>4210</v>
      </c>
      <c r="V62" t="s">
        <v>624</v>
      </c>
      <c r="W62" t="s">
        <v>4140</v>
      </c>
      <c r="X62" t="s">
        <v>4167</v>
      </c>
      <c r="Y62" t="s">
        <v>4168</v>
      </c>
      <c r="Z62" t="s">
        <v>4211</v>
      </c>
      <c r="AA62" t="s">
        <v>4170</v>
      </c>
      <c r="AB62" t="s">
        <v>624</v>
      </c>
      <c r="AC62" t="s">
        <v>50</v>
      </c>
      <c r="AD62" t="s">
        <v>50</v>
      </c>
      <c r="AE62" t="s">
        <v>50</v>
      </c>
      <c r="AF62" t="s">
        <v>4216</v>
      </c>
      <c r="AG62" t="s">
        <v>4217</v>
      </c>
      <c r="AH62" t="s">
        <v>4216</v>
      </c>
      <c r="AI62" t="s">
        <v>4217</v>
      </c>
      <c r="AJ62" t="s">
        <v>4216</v>
      </c>
      <c r="AK62" t="s">
        <v>4217</v>
      </c>
      <c r="AL62" t="s">
        <v>4146</v>
      </c>
    </row>
    <row r="63" spans="1:38" ht="11.25" customHeight="1">
      <c r="A63" t="s">
        <v>9</v>
      </c>
      <c r="B63" t="s">
        <v>36</v>
      </c>
      <c r="C63" t="s">
        <v>38</v>
      </c>
      <c r="D63" t="s">
        <v>9</v>
      </c>
      <c r="E63" t="s">
        <v>4218</v>
      </c>
      <c r="F63" t="s">
        <v>4148</v>
      </c>
      <c r="G63" t="s">
        <v>3567</v>
      </c>
      <c r="H63" t="s">
        <v>3571</v>
      </c>
      <c r="I63" t="s">
        <v>3572</v>
      </c>
      <c r="J63" t="s">
        <v>4134</v>
      </c>
      <c r="K63" t="s">
        <v>4278</v>
      </c>
      <c r="L63" t="s">
        <v>4215</v>
      </c>
      <c r="M63" t="s">
        <v>1442</v>
      </c>
      <c r="N63" t="s">
        <v>164</v>
      </c>
      <c r="O63" t="s">
        <v>3567</v>
      </c>
      <c r="P63" t="s">
        <v>3571</v>
      </c>
      <c r="Q63" t="s">
        <v>3572</v>
      </c>
      <c r="R63" t="s">
        <v>4134</v>
      </c>
      <c r="S63" t="s">
        <v>4278</v>
      </c>
      <c r="T63" t="s">
        <v>4165</v>
      </c>
      <c r="U63" t="s">
        <v>4210</v>
      </c>
      <c r="V63" t="s">
        <v>624</v>
      </c>
      <c r="W63" t="s">
        <v>4140</v>
      </c>
      <c r="X63" t="s">
        <v>4167</v>
      </c>
      <c r="Y63" t="s">
        <v>4168</v>
      </c>
      <c r="Z63" t="s">
        <v>4211</v>
      </c>
      <c r="AA63" t="s">
        <v>4170</v>
      </c>
      <c r="AB63" t="s">
        <v>624</v>
      </c>
      <c r="AC63" t="s">
        <v>6</v>
      </c>
      <c r="AD63" t="s">
        <v>50</v>
      </c>
      <c r="AE63" t="s">
        <v>6</v>
      </c>
      <c r="AF63" t="s">
        <v>9</v>
      </c>
      <c r="AG63" t="s">
        <v>9</v>
      </c>
      <c r="AH63" t="s">
        <v>4216</v>
      </c>
      <c r="AI63" t="s">
        <v>4217</v>
      </c>
      <c r="AJ63" t="s">
        <v>4216</v>
      </c>
      <c r="AK63" t="s">
        <v>4217</v>
      </c>
      <c r="AL63" t="s">
        <v>9</v>
      </c>
    </row>
    <row r="64" spans="1:38" ht="11.25" customHeight="1">
      <c r="A64" t="s">
        <v>9</v>
      </c>
      <c r="B64" t="s">
        <v>36</v>
      </c>
      <c r="C64" t="s">
        <v>38</v>
      </c>
      <c r="D64" t="s">
        <v>9</v>
      </c>
      <c r="E64" t="s">
        <v>4219</v>
      </c>
      <c r="F64" t="s">
        <v>4148</v>
      </c>
      <c r="G64" t="s">
        <v>3567</v>
      </c>
      <c r="H64" t="s">
        <v>3571</v>
      </c>
      <c r="I64" t="s">
        <v>3572</v>
      </c>
      <c r="J64" t="s">
        <v>4134</v>
      </c>
      <c r="K64" t="s">
        <v>4278</v>
      </c>
      <c r="L64" t="s">
        <v>4215</v>
      </c>
      <c r="M64" t="s">
        <v>1442</v>
      </c>
      <c r="N64" t="s">
        <v>164</v>
      </c>
      <c r="O64" t="s">
        <v>3567</v>
      </c>
      <c r="P64" t="s">
        <v>3571</v>
      </c>
      <c r="Q64" t="s">
        <v>3572</v>
      </c>
      <c r="R64" t="s">
        <v>4134</v>
      </c>
      <c r="S64" t="s">
        <v>4278</v>
      </c>
      <c r="T64" t="s">
        <v>4165</v>
      </c>
      <c r="U64" t="s">
        <v>4210</v>
      </c>
      <c r="V64" t="s">
        <v>624</v>
      </c>
      <c r="W64" t="s">
        <v>4140</v>
      </c>
      <c r="X64" t="s">
        <v>4167</v>
      </c>
      <c r="Y64" t="s">
        <v>4168</v>
      </c>
      <c r="Z64" t="s">
        <v>4211</v>
      </c>
      <c r="AA64" t="s">
        <v>4170</v>
      </c>
      <c r="AB64" t="s">
        <v>624</v>
      </c>
      <c r="AC64" t="s">
        <v>6</v>
      </c>
      <c r="AD64" t="s">
        <v>50</v>
      </c>
      <c r="AE64" t="s">
        <v>6</v>
      </c>
      <c r="AF64" t="s">
        <v>9</v>
      </c>
      <c r="AG64" t="s">
        <v>9</v>
      </c>
      <c r="AH64" t="s">
        <v>4216</v>
      </c>
      <c r="AI64" t="s">
        <v>4217</v>
      </c>
      <c r="AJ64" t="s">
        <v>4216</v>
      </c>
      <c r="AK64" t="s">
        <v>4217</v>
      </c>
      <c r="AL64" t="s">
        <v>9</v>
      </c>
    </row>
    <row r="65" spans="1:38" ht="11.25" customHeight="1">
      <c r="A65" t="s">
        <v>9</v>
      </c>
      <c r="B65" t="s">
        <v>36</v>
      </c>
      <c r="C65" t="s">
        <v>38</v>
      </c>
      <c r="D65" t="s">
        <v>9</v>
      </c>
      <c r="E65" t="s">
        <v>1461</v>
      </c>
      <c r="F65" t="s">
        <v>1438</v>
      </c>
      <c r="G65" t="s">
        <v>3567</v>
      </c>
      <c r="H65" t="s">
        <v>3571</v>
      </c>
      <c r="I65" t="s">
        <v>3572</v>
      </c>
      <c r="J65" t="s">
        <v>4134</v>
      </c>
      <c r="K65" t="s">
        <v>4278</v>
      </c>
      <c r="L65" t="s">
        <v>4220</v>
      </c>
      <c r="M65" t="s">
        <v>1442</v>
      </c>
      <c r="N65" t="s">
        <v>164</v>
      </c>
      <c r="O65" t="s">
        <v>3567</v>
      </c>
      <c r="P65" t="s">
        <v>3571</v>
      </c>
      <c r="Q65" t="s">
        <v>3572</v>
      </c>
      <c r="R65" t="s">
        <v>4134</v>
      </c>
      <c r="S65" t="s">
        <v>4278</v>
      </c>
      <c r="T65" t="s">
        <v>4165</v>
      </c>
      <c r="U65" t="s">
        <v>4210</v>
      </c>
      <c r="V65" t="s">
        <v>624</v>
      </c>
      <c r="W65" t="s">
        <v>4140</v>
      </c>
      <c r="X65" t="s">
        <v>4167</v>
      </c>
      <c r="Y65" t="s">
        <v>4168</v>
      </c>
      <c r="Z65" t="s">
        <v>4211</v>
      </c>
      <c r="AA65" t="s">
        <v>4170</v>
      </c>
      <c r="AB65" t="s">
        <v>624</v>
      </c>
      <c r="AC65" t="s">
        <v>50</v>
      </c>
      <c r="AD65" t="s">
        <v>50</v>
      </c>
      <c r="AE65" t="s">
        <v>50</v>
      </c>
      <c r="AF65" t="s">
        <v>110</v>
      </c>
      <c r="AG65" t="s">
        <v>4221</v>
      </c>
      <c r="AH65" t="s">
        <v>110</v>
      </c>
      <c r="AI65" t="s">
        <v>4221</v>
      </c>
      <c r="AJ65" t="s">
        <v>110</v>
      </c>
      <c r="AK65" t="s">
        <v>4221</v>
      </c>
      <c r="AL65" t="s">
        <v>4146</v>
      </c>
    </row>
    <row r="66" spans="1:38" ht="11.25" customHeight="1">
      <c r="A66" t="s">
        <v>9</v>
      </c>
      <c r="B66" t="s">
        <v>36</v>
      </c>
      <c r="C66" t="s">
        <v>38</v>
      </c>
      <c r="D66" t="s">
        <v>9</v>
      </c>
      <c r="E66" t="s">
        <v>4222</v>
      </c>
      <c r="F66" t="s">
        <v>4148</v>
      </c>
      <c r="G66" t="s">
        <v>3567</v>
      </c>
      <c r="H66" t="s">
        <v>3571</v>
      </c>
      <c r="I66" t="s">
        <v>3572</v>
      </c>
      <c r="J66" t="s">
        <v>4134</v>
      </c>
      <c r="K66" t="s">
        <v>4278</v>
      </c>
      <c r="L66" t="s">
        <v>4220</v>
      </c>
      <c r="M66" t="s">
        <v>1442</v>
      </c>
      <c r="N66" t="s">
        <v>164</v>
      </c>
      <c r="O66" t="s">
        <v>3567</v>
      </c>
      <c r="P66" t="s">
        <v>3571</v>
      </c>
      <c r="Q66" t="s">
        <v>3572</v>
      </c>
      <c r="R66" t="s">
        <v>4134</v>
      </c>
      <c r="S66" t="s">
        <v>4278</v>
      </c>
      <c r="T66" t="s">
        <v>4165</v>
      </c>
      <c r="U66" t="s">
        <v>4210</v>
      </c>
      <c r="V66" t="s">
        <v>624</v>
      </c>
      <c r="W66" t="s">
        <v>4140</v>
      </c>
      <c r="X66" t="s">
        <v>4167</v>
      </c>
      <c r="Y66" t="s">
        <v>4168</v>
      </c>
      <c r="Z66" t="s">
        <v>4211</v>
      </c>
      <c r="AA66" t="s">
        <v>4170</v>
      </c>
      <c r="AB66" t="s">
        <v>624</v>
      </c>
      <c r="AC66" t="s">
        <v>6</v>
      </c>
      <c r="AD66" t="s">
        <v>50</v>
      </c>
      <c r="AE66" t="s">
        <v>6</v>
      </c>
      <c r="AF66" t="s">
        <v>9</v>
      </c>
      <c r="AG66" t="s">
        <v>9</v>
      </c>
      <c r="AH66" t="s">
        <v>110</v>
      </c>
      <c r="AI66" t="s">
        <v>4221</v>
      </c>
      <c r="AJ66" t="s">
        <v>110</v>
      </c>
      <c r="AK66" t="s">
        <v>4221</v>
      </c>
      <c r="AL66" t="s">
        <v>9</v>
      </c>
    </row>
    <row r="67" spans="1:38" ht="11.25" customHeight="1">
      <c r="A67" t="s">
        <v>9</v>
      </c>
      <c r="B67" t="s">
        <v>36</v>
      </c>
      <c r="C67" t="s">
        <v>38</v>
      </c>
      <c r="D67" t="s">
        <v>9</v>
      </c>
      <c r="E67" t="s">
        <v>4223</v>
      </c>
      <c r="F67" t="s">
        <v>1457</v>
      </c>
      <c r="G67" t="s">
        <v>3567</v>
      </c>
      <c r="H67" t="s">
        <v>3571</v>
      </c>
      <c r="I67" t="s">
        <v>3572</v>
      </c>
      <c r="J67" t="s">
        <v>4134</v>
      </c>
      <c r="K67" t="s">
        <v>4278</v>
      </c>
      <c r="L67" t="s">
        <v>4224</v>
      </c>
      <c r="M67" t="s">
        <v>1442</v>
      </c>
      <c r="N67" t="s">
        <v>164</v>
      </c>
      <c r="O67" t="s">
        <v>3567</v>
      </c>
      <c r="P67" t="s">
        <v>3571</v>
      </c>
      <c r="Q67" t="s">
        <v>3572</v>
      </c>
      <c r="R67" t="s">
        <v>4134</v>
      </c>
      <c r="S67" t="s">
        <v>4278</v>
      </c>
      <c r="T67" t="s">
        <v>4165</v>
      </c>
      <c r="U67" t="s">
        <v>4168</v>
      </c>
      <c r="V67" t="s">
        <v>624</v>
      </c>
      <c r="W67" t="s">
        <v>4140</v>
      </c>
      <c r="X67" t="s">
        <v>4167</v>
      </c>
      <c r="Y67" t="s">
        <v>4168</v>
      </c>
      <c r="Z67" t="s">
        <v>1442</v>
      </c>
      <c r="AA67" t="s">
        <v>4225</v>
      </c>
      <c r="AB67" t="s">
        <v>624</v>
      </c>
      <c r="AC67" t="s">
        <v>50</v>
      </c>
      <c r="AD67" t="s">
        <v>6</v>
      </c>
      <c r="AE67" t="s">
        <v>6</v>
      </c>
      <c r="AF67" t="s">
        <v>4226</v>
      </c>
      <c r="AG67" t="s">
        <v>4227</v>
      </c>
      <c r="AH67" t="s">
        <v>9</v>
      </c>
      <c r="AI67" t="s">
        <v>9</v>
      </c>
      <c r="AJ67" t="s">
        <v>9</v>
      </c>
      <c r="AK67" t="s">
        <v>9</v>
      </c>
      <c r="AL67" t="s">
        <v>4146</v>
      </c>
    </row>
    <row r="68" spans="1:38" ht="11.25" customHeight="1">
      <c r="A68" t="s">
        <v>9</v>
      </c>
      <c r="B68" t="s">
        <v>36</v>
      </c>
      <c r="C68" t="s">
        <v>38</v>
      </c>
      <c r="D68" t="s">
        <v>9</v>
      </c>
      <c r="E68" t="s">
        <v>4228</v>
      </c>
      <c r="F68" t="s">
        <v>1438</v>
      </c>
      <c r="G68" t="s">
        <v>3567</v>
      </c>
      <c r="H68" t="s">
        <v>3571</v>
      </c>
      <c r="I68" t="s">
        <v>3572</v>
      </c>
      <c r="J68" t="s">
        <v>4134</v>
      </c>
      <c r="K68" t="s">
        <v>4278</v>
      </c>
      <c r="L68" t="s">
        <v>4158</v>
      </c>
      <c r="M68" t="s">
        <v>4159</v>
      </c>
      <c r="N68" t="s">
        <v>164</v>
      </c>
      <c r="O68" t="s">
        <v>3567</v>
      </c>
      <c r="P68" t="s">
        <v>3571</v>
      </c>
      <c r="Q68" t="s">
        <v>3572</v>
      </c>
      <c r="R68" t="s">
        <v>4134</v>
      </c>
      <c r="S68" t="s">
        <v>4278</v>
      </c>
      <c r="T68" t="s">
        <v>4138</v>
      </c>
      <c r="U68" t="s">
        <v>4139</v>
      </c>
      <c r="V68" t="s">
        <v>624</v>
      </c>
      <c r="W68" t="s">
        <v>4140</v>
      </c>
      <c r="X68" t="s">
        <v>4141</v>
      </c>
      <c r="Y68" t="s">
        <v>4142</v>
      </c>
      <c r="Z68" t="s">
        <v>4160</v>
      </c>
      <c r="AA68" t="s">
        <v>4161</v>
      </c>
      <c r="AB68" t="s">
        <v>624</v>
      </c>
      <c r="AC68" t="s">
        <v>50</v>
      </c>
      <c r="AD68" t="s">
        <v>50</v>
      </c>
      <c r="AE68" t="s">
        <v>50</v>
      </c>
      <c r="AF68" t="s">
        <v>1222</v>
      </c>
      <c r="AG68" t="s">
        <v>4162</v>
      </c>
      <c r="AH68" t="s">
        <v>1222</v>
      </c>
      <c r="AI68" t="s">
        <v>4162</v>
      </c>
      <c r="AJ68" t="s">
        <v>1222</v>
      </c>
      <c r="AK68" t="s">
        <v>4162</v>
      </c>
      <c r="AL68" t="s">
        <v>4146</v>
      </c>
    </row>
    <row r="69" spans="1:38" ht="11.25" customHeight="1">
      <c r="A69" t="s">
        <v>9</v>
      </c>
      <c r="B69" t="s">
        <v>36</v>
      </c>
      <c r="C69" t="s">
        <v>38</v>
      </c>
      <c r="D69" t="s">
        <v>9</v>
      </c>
      <c r="E69" t="s">
        <v>4234</v>
      </c>
      <c r="F69" t="s">
        <v>1438</v>
      </c>
      <c r="G69" t="s">
        <v>3567</v>
      </c>
      <c r="H69" t="s">
        <v>3577</v>
      </c>
      <c r="I69" t="s">
        <v>3578</v>
      </c>
      <c r="J69" t="s">
        <v>4279</v>
      </c>
      <c r="K69" t="s">
        <v>4280</v>
      </c>
      <c r="L69" t="s">
        <v>4235</v>
      </c>
      <c r="M69" t="s">
        <v>1442</v>
      </c>
      <c r="N69" t="s">
        <v>164</v>
      </c>
      <c r="O69" t="s">
        <v>3567</v>
      </c>
      <c r="P69" t="s">
        <v>3577</v>
      </c>
      <c r="Q69" t="s">
        <v>3578</v>
      </c>
      <c r="R69" t="s">
        <v>4279</v>
      </c>
      <c r="S69" t="s">
        <v>4280</v>
      </c>
      <c r="T69" t="s">
        <v>4165</v>
      </c>
      <c r="U69" t="s">
        <v>4236</v>
      </c>
      <c r="V69" t="s">
        <v>624</v>
      </c>
      <c r="W69" t="s">
        <v>4140</v>
      </c>
      <c r="X69" t="s">
        <v>4167</v>
      </c>
      <c r="Y69" t="s">
        <v>4168</v>
      </c>
      <c r="Z69" t="s">
        <v>4237</v>
      </c>
      <c r="AA69" t="s">
        <v>4238</v>
      </c>
      <c r="AB69" t="s">
        <v>624</v>
      </c>
      <c r="AC69" t="s">
        <v>50</v>
      </c>
      <c r="AD69" t="s">
        <v>50</v>
      </c>
      <c r="AE69" t="s">
        <v>50</v>
      </c>
      <c r="AF69" t="s">
        <v>80</v>
      </c>
      <c r="AG69" t="s">
        <v>4239</v>
      </c>
      <c r="AH69" t="s">
        <v>80</v>
      </c>
      <c r="AI69" t="s">
        <v>4239</v>
      </c>
      <c r="AJ69" t="s">
        <v>80</v>
      </c>
      <c r="AK69" t="s">
        <v>4239</v>
      </c>
      <c r="AL69" t="s">
        <v>4146</v>
      </c>
    </row>
    <row r="70" spans="1:38" ht="11.25" customHeight="1">
      <c r="A70" t="s">
        <v>9</v>
      </c>
      <c r="B70" t="s">
        <v>36</v>
      </c>
      <c r="C70" t="s">
        <v>38</v>
      </c>
      <c r="D70" t="s">
        <v>9</v>
      </c>
      <c r="E70" t="s">
        <v>4263</v>
      </c>
      <c r="F70" t="s">
        <v>1438</v>
      </c>
      <c r="G70" t="s">
        <v>3567</v>
      </c>
      <c r="H70" t="s">
        <v>3579</v>
      </c>
      <c r="I70" t="s">
        <v>3580</v>
      </c>
      <c r="J70" t="s">
        <v>4264</v>
      </c>
      <c r="K70" t="s">
        <v>4281</v>
      </c>
      <c r="L70" t="s">
        <v>4266</v>
      </c>
      <c r="M70" t="s">
        <v>1442</v>
      </c>
      <c r="N70" t="s">
        <v>164</v>
      </c>
      <c r="O70" t="s">
        <v>3567</v>
      </c>
      <c r="P70" t="s">
        <v>3579</v>
      </c>
      <c r="Q70" t="s">
        <v>3580</v>
      </c>
      <c r="R70" t="s">
        <v>4264</v>
      </c>
      <c r="S70" t="s">
        <v>4281</v>
      </c>
      <c r="T70" t="s">
        <v>4165</v>
      </c>
      <c r="U70" t="s">
        <v>4166</v>
      </c>
      <c r="V70" t="s">
        <v>624</v>
      </c>
      <c r="W70" t="s">
        <v>4140</v>
      </c>
      <c r="X70" t="s">
        <v>4167</v>
      </c>
      <c r="Y70" t="s">
        <v>4168</v>
      </c>
      <c r="Z70" t="s">
        <v>4237</v>
      </c>
      <c r="AA70" t="s">
        <v>4267</v>
      </c>
      <c r="AB70" t="s">
        <v>624</v>
      </c>
      <c r="AC70" t="s">
        <v>50</v>
      </c>
      <c r="AD70" t="s">
        <v>50</v>
      </c>
      <c r="AE70" t="s">
        <v>50</v>
      </c>
      <c r="AF70" t="s">
        <v>78</v>
      </c>
      <c r="AG70" t="s">
        <v>4226</v>
      </c>
      <c r="AH70" t="s">
        <v>78</v>
      </c>
      <c r="AI70" t="s">
        <v>4226</v>
      </c>
      <c r="AJ70" t="s">
        <v>78</v>
      </c>
      <c r="AK70" t="s">
        <v>4226</v>
      </c>
      <c r="AL70" t="s">
        <v>4268</v>
      </c>
    </row>
    <row r="71" spans="1:38" ht="11.25" customHeight="1">
      <c r="A71" t="s">
        <v>9</v>
      </c>
      <c r="B71" t="s">
        <v>36</v>
      </c>
      <c r="C71" t="s">
        <v>38</v>
      </c>
      <c r="D71" t="s">
        <v>9</v>
      </c>
      <c r="E71" t="s">
        <v>4269</v>
      </c>
      <c r="F71" t="s">
        <v>1438</v>
      </c>
      <c r="G71" t="s">
        <v>3567</v>
      </c>
      <c r="H71" t="s">
        <v>3579</v>
      </c>
      <c r="I71" t="s">
        <v>3580</v>
      </c>
      <c r="J71" t="s">
        <v>4270</v>
      </c>
      <c r="K71" t="s">
        <v>4282</v>
      </c>
      <c r="L71" t="s">
        <v>4272</v>
      </c>
      <c r="M71" t="s">
        <v>1442</v>
      </c>
      <c r="N71" t="s">
        <v>164</v>
      </c>
      <c r="O71" t="s">
        <v>3567</v>
      </c>
      <c r="P71" t="s">
        <v>3579</v>
      </c>
      <c r="Q71" t="s">
        <v>3580</v>
      </c>
      <c r="R71" t="s">
        <v>4270</v>
      </c>
      <c r="S71" t="s">
        <v>4282</v>
      </c>
      <c r="T71" t="s">
        <v>4165</v>
      </c>
      <c r="U71" t="s">
        <v>4168</v>
      </c>
      <c r="V71" t="s">
        <v>624</v>
      </c>
      <c r="W71" t="s">
        <v>4140</v>
      </c>
      <c r="X71" t="s">
        <v>4167</v>
      </c>
      <c r="Y71" t="s">
        <v>4168</v>
      </c>
      <c r="Z71" t="s">
        <v>4237</v>
      </c>
      <c r="AA71" t="s">
        <v>4273</v>
      </c>
      <c r="AB71" t="s">
        <v>624</v>
      </c>
      <c r="AC71" t="s">
        <v>50</v>
      </c>
      <c r="AD71" t="s">
        <v>50</v>
      </c>
      <c r="AE71" t="s">
        <v>50</v>
      </c>
      <c r="AF71" t="s">
        <v>1554</v>
      </c>
      <c r="AG71" t="s">
        <v>4274</v>
      </c>
      <c r="AH71" t="s">
        <v>1554</v>
      </c>
      <c r="AI71" t="s">
        <v>4274</v>
      </c>
      <c r="AJ71" t="s">
        <v>1554</v>
      </c>
      <c r="AK71" t="s">
        <v>4274</v>
      </c>
      <c r="AL71" t="s">
        <v>4146</v>
      </c>
    </row>
    <row r="72" spans="1:38" ht="11.25" customHeight="1">
      <c r="A72" t="s">
        <v>9</v>
      </c>
      <c r="B72" t="s">
        <v>36</v>
      </c>
      <c r="C72" t="s">
        <v>38</v>
      </c>
      <c r="D72" t="s">
        <v>9</v>
      </c>
      <c r="E72" t="s">
        <v>4275</v>
      </c>
      <c r="F72" t="s">
        <v>4148</v>
      </c>
      <c r="G72" t="s">
        <v>3567</v>
      </c>
      <c r="H72" t="s">
        <v>3579</v>
      </c>
      <c r="I72" t="s">
        <v>3580</v>
      </c>
      <c r="J72" t="s">
        <v>4270</v>
      </c>
      <c r="K72" t="s">
        <v>4282</v>
      </c>
      <c r="L72" t="s">
        <v>4272</v>
      </c>
      <c r="M72" t="s">
        <v>1442</v>
      </c>
      <c r="N72" t="s">
        <v>164</v>
      </c>
      <c r="O72" t="s">
        <v>3567</v>
      </c>
      <c r="P72" t="s">
        <v>3579</v>
      </c>
      <c r="Q72" t="s">
        <v>3580</v>
      </c>
      <c r="R72" t="s">
        <v>4270</v>
      </c>
      <c r="S72" t="s">
        <v>4282</v>
      </c>
      <c r="T72" t="s">
        <v>4165</v>
      </c>
      <c r="U72" t="s">
        <v>4168</v>
      </c>
      <c r="V72" t="s">
        <v>624</v>
      </c>
      <c r="W72" t="s">
        <v>4140</v>
      </c>
      <c r="X72" t="s">
        <v>4167</v>
      </c>
      <c r="Y72" t="s">
        <v>4168</v>
      </c>
      <c r="Z72" t="s">
        <v>4237</v>
      </c>
      <c r="AA72" t="s">
        <v>4273</v>
      </c>
      <c r="AB72" t="s">
        <v>624</v>
      </c>
      <c r="AC72" t="s">
        <v>6</v>
      </c>
      <c r="AD72" t="s">
        <v>50</v>
      </c>
      <c r="AE72" t="s">
        <v>6</v>
      </c>
      <c r="AF72" t="s">
        <v>9</v>
      </c>
      <c r="AG72" t="s">
        <v>9</v>
      </c>
      <c r="AH72" t="s">
        <v>1554</v>
      </c>
      <c r="AI72" t="s">
        <v>4274</v>
      </c>
      <c r="AJ72" t="s">
        <v>1554</v>
      </c>
      <c r="AK72" t="s">
        <v>4274</v>
      </c>
      <c r="AL72" t="s">
        <v>9</v>
      </c>
    </row>
    <row r="73" spans="1:38" ht="11.25" customHeight="1">
      <c r="A73" t="s">
        <v>9</v>
      </c>
      <c r="B73" t="s">
        <v>36</v>
      </c>
      <c r="C73" t="s">
        <v>38</v>
      </c>
      <c r="D73" t="s">
        <v>9</v>
      </c>
      <c r="E73" t="s">
        <v>4253</v>
      </c>
      <c r="F73" t="s">
        <v>4148</v>
      </c>
      <c r="G73" t="s">
        <v>3567</v>
      </c>
      <c r="H73" t="s">
        <v>3581</v>
      </c>
      <c r="I73" t="s">
        <v>3582</v>
      </c>
      <c r="J73" t="s">
        <v>4254</v>
      </c>
      <c r="K73" t="s">
        <v>4283</v>
      </c>
      <c r="L73" t="s">
        <v>4256</v>
      </c>
      <c r="M73" t="s">
        <v>1442</v>
      </c>
      <c r="N73" t="s">
        <v>164</v>
      </c>
      <c r="O73" t="s">
        <v>3567</v>
      </c>
      <c r="P73" t="s">
        <v>3581</v>
      </c>
      <c r="Q73" t="s">
        <v>3582</v>
      </c>
      <c r="R73" t="s">
        <v>4254</v>
      </c>
      <c r="S73" t="s">
        <v>4283</v>
      </c>
      <c r="T73" t="s">
        <v>4138</v>
      </c>
      <c r="U73" t="s">
        <v>4139</v>
      </c>
      <c r="V73" t="s">
        <v>624</v>
      </c>
      <c r="W73" t="s">
        <v>4140</v>
      </c>
      <c r="X73" t="s">
        <v>4141</v>
      </c>
      <c r="Y73" t="s">
        <v>4142</v>
      </c>
      <c r="Z73" t="s">
        <v>4257</v>
      </c>
      <c r="AA73" t="s">
        <v>4258</v>
      </c>
      <c r="AB73" t="s">
        <v>624</v>
      </c>
      <c r="AC73" t="s">
        <v>6</v>
      </c>
      <c r="AD73" t="s">
        <v>50</v>
      </c>
      <c r="AE73" t="s">
        <v>6</v>
      </c>
      <c r="AF73" t="s">
        <v>9</v>
      </c>
      <c r="AG73" t="s">
        <v>9</v>
      </c>
      <c r="AH73" t="s">
        <v>4259</v>
      </c>
      <c r="AI73" t="s">
        <v>4260</v>
      </c>
      <c r="AJ73" t="s">
        <v>4259</v>
      </c>
      <c r="AK73" t="s">
        <v>4260</v>
      </c>
      <c r="AL73" t="s">
        <v>9</v>
      </c>
    </row>
    <row r="74" spans="1:38" ht="11.25" customHeight="1">
      <c r="A74" t="s">
        <v>9</v>
      </c>
      <c r="B74" t="s">
        <v>36</v>
      </c>
      <c r="C74" t="s">
        <v>38</v>
      </c>
      <c r="D74" t="s">
        <v>9</v>
      </c>
      <c r="E74" t="s">
        <v>4261</v>
      </c>
      <c r="F74" t="s">
        <v>1438</v>
      </c>
      <c r="G74" t="s">
        <v>3567</v>
      </c>
      <c r="H74" t="s">
        <v>3581</v>
      </c>
      <c r="I74" t="s">
        <v>3582</v>
      </c>
      <c r="J74" t="s">
        <v>4254</v>
      </c>
      <c r="K74" t="s">
        <v>4283</v>
      </c>
      <c r="L74" t="s">
        <v>4256</v>
      </c>
      <c r="M74" t="s">
        <v>1442</v>
      </c>
      <c r="N74" t="s">
        <v>164</v>
      </c>
      <c r="O74" t="s">
        <v>3567</v>
      </c>
      <c r="P74" t="s">
        <v>3581</v>
      </c>
      <c r="Q74" t="s">
        <v>3582</v>
      </c>
      <c r="R74" t="s">
        <v>4254</v>
      </c>
      <c r="S74" t="s">
        <v>4283</v>
      </c>
      <c r="T74" t="s">
        <v>4138</v>
      </c>
      <c r="U74" t="s">
        <v>4139</v>
      </c>
      <c r="V74" t="s">
        <v>624</v>
      </c>
      <c r="W74" t="s">
        <v>4140</v>
      </c>
      <c r="X74" t="s">
        <v>4141</v>
      </c>
      <c r="Y74" t="s">
        <v>4142</v>
      </c>
      <c r="Z74" t="s">
        <v>4257</v>
      </c>
      <c r="AA74" t="s">
        <v>4258</v>
      </c>
      <c r="AB74" t="s">
        <v>624</v>
      </c>
      <c r="AC74" t="s">
        <v>50</v>
      </c>
      <c r="AD74" t="s">
        <v>50</v>
      </c>
      <c r="AE74" t="s">
        <v>50</v>
      </c>
      <c r="AF74" t="s">
        <v>352</v>
      </c>
      <c r="AG74" t="s">
        <v>4262</v>
      </c>
      <c r="AH74" t="s">
        <v>352</v>
      </c>
      <c r="AI74" t="s">
        <v>4260</v>
      </c>
      <c r="AJ74" t="s">
        <v>352</v>
      </c>
      <c r="AK74" t="s">
        <v>4260</v>
      </c>
      <c r="AL74" t="s">
        <v>4146</v>
      </c>
    </row>
    <row r="75" spans="1:38" ht="11.25" customHeight="1">
      <c r="A75" t="s">
        <v>9</v>
      </c>
      <c r="B75" t="s">
        <v>36</v>
      </c>
      <c r="C75" t="s">
        <v>38</v>
      </c>
      <c r="D75" t="s">
        <v>9</v>
      </c>
      <c r="E75" t="s">
        <v>1476</v>
      </c>
      <c r="F75" t="s">
        <v>1438</v>
      </c>
      <c r="G75" t="s">
        <v>92</v>
      </c>
      <c r="H75" t="s">
        <v>92</v>
      </c>
      <c r="I75" t="s">
        <v>93</v>
      </c>
      <c r="J75" t="s">
        <v>1462</v>
      </c>
      <c r="K75" t="s">
        <v>1463</v>
      </c>
      <c r="L75" t="s">
        <v>1477</v>
      </c>
      <c r="M75" t="s">
        <v>1478</v>
      </c>
      <c r="N75" t="s">
        <v>164</v>
      </c>
      <c r="O75" t="s">
        <v>92</v>
      </c>
      <c r="P75" t="s">
        <v>92</v>
      </c>
      <c r="Q75" t="s">
        <v>93</v>
      </c>
      <c r="R75" t="s">
        <v>1462</v>
      </c>
      <c r="S75" t="s">
        <v>1463</v>
      </c>
      <c r="T75" t="s">
        <v>4138</v>
      </c>
      <c r="U75" t="s">
        <v>4139</v>
      </c>
      <c r="V75" t="s">
        <v>624</v>
      </c>
      <c r="W75" t="s">
        <v>4140</v>
      </c>
      <c r="X75" t="s">
        <v>4141</v>
      </c>
      <c r="Y75" t="s">
        <v>4142</v>
      </c>
      <c r="Z75" t="s">
        <v>4284</v>
      </c>
      <c r="AA75" t="s">
        <v>4285</v>
      </c>
      <c r="AB75" t="s">
        <v>624</v>
      </c>
      <c r="AC75" t="s">
        <v>50</v>
      </c>
      <c r="AD75" t="s">
        <v>50</v>
      </c>
      <c r="AE75" t="s">
        <v>50</v>
      </c>
      <c r="AF75" t="s">
        <v>4286</v>
      </c>
      <c r="AG75" t="s">
        <v>4287</v>
      </c>
      <c r="AH75" t="s">
        <v>4286</v>
      </c>
      <c r="AI75" t="s">
        <v>4287</v>
      </c>
      <c r="AJ75" t="s">
        <v>4286</v>
      </c>
      <c r="AK75" t="s">
        <v>4287</v>
      </c>
      <c r="AL75" t="s">
        <v>4288</v>
      </c>
    </row>
    <row r="76" spans="1:38" ht="11.25" customHeight="1">
      <c r="A76" t="s">
        <v>9</v>
      </c>
      <c r="B76" t="s">
        <v>36</v>
      </c>
      <c r="C76" t="s">
        <v>38</v>
      </c>
      <c r="D76" t="s">
        <v>9</v>
      </c>
      <c r="E76" t="s">
        <v>4289</v>
      </c>
      <c r="F76" t="s">
        <v>4148</v>
      </c>
      <c r="G76" t="s">
        <v>92</v>
      </c>
      <c r="H76" t="s">
        <v>92</v>
      </c>
      <c r="I76" t="s">
        <v>93</v>
      </c>
      <c r="J76" t="s">
        <v>1462</v>
      </c>
      <c r="K76" t="s">
        <v>1463</v>
      </c>
      <c r="L76" t="s">
        <v>1477</v>
      </c>
      <c r="M76" t="s">
        <v>1478</v>
      </c>
      <c r="N76" t="s">
        <v>164</v>
      </c>
      <c r="O76" t="s">
        <v>92</v>
      </c>
      <c r="P76" t="s">
        <v>92</v>
      </c>
      <c r="Q76" t="s">
        <v>93</v>
      </c>
      <c r="R76" t="s">
        <v>1462</v>
      </c>
      <c r="S76" t="s">
        <v>1463</v>
      </c>
      <c r="T76" t="s">
        <v>4138</v>
      </c>
      <c r="U76" t="s">
        <v>4139</v>
      </c>
      <c r="V76" t="s">
        <v>624</v>
      </c>
      <c r="W76" t="s">
        <v>4140</v>
      </c>
      <c r="X76" t="s">
        <v>4141</v>
      </c>
      <c r="Y76" t="s">
        <v>4142</v>
      </c>
      <c r="Z76" t="s">
        <v>4284</v>
      </c>
      <c r="AA76" t="s">
        <v>4285</v>
      </c>
      <c r="AB76" t="s">
        <v>624</v>
      </c>
      <c r="AC76" t="s">
        <v>6</v>
      </c>
      <c r="AD76" t="s">
        <v>50</v>
      </c>
      <c r="AE76" t="s">
        <v>6</v>
      </c>
      <c r="AF76" t="s">
        <v>9</v>
      </c>
      <c r="AG76" t="s">
        <v>9</v>
      </c>
      <c r="AH76" t="s">
        <v>4286</v>
      </c>
      <c r="AI76" t="s">
        <v>4290</v>
      </c>
      <c r="AJ76" t="s">
        <v>4286</v>
      </c>
      <c r="AK76" t="s">
        <v>4290</v>
      </c>
      <c r="AL76" t="s">
        <v>9</v>
      </c>
    </row>
    <row r="77" spans="1:38" ht="11.25" customHeight="1">
      <c r="A77" t="s">
        <v>9</v>
      </c>
      <c r="B77" t="s">
        <v>36</v>
      </c>
      <c r="C77" t="s">
        <v>38</v>
      </c>
      <c r="D77" t="s">
        <v>9</v>
      </c>
      <c r="E77" t="s">
        <v>4291</v>
      </c>
      <c r="F77" t="s">
        <v>4148</v>
      </c>
      <c r="G77" t="s">
        <v>92</v>
      </c>
      <c r="H77" t="s">
        <v>92</v>
      </c>
      <c r="I77" t="s">
        <v>93</v>
      </c>
      <c r="J77" t="s">
        <v>1462</v>
      </c>
      <c r="K77" t="s">
        <v>1463</v>
      </c>
      <c r="L77" t="s">
        <v>1477</v>
      </c>
      <c r="M77" t="s">
        <v>1478</v>
      </c>
      <c r="N77" t="s">
        <v>164</v>
      </c>
      <c r="O77" t="s">
        <v>92</v>
      </c>
      <c r="P77" t="s">
        <v>92</v>
      </c>
      <c r="Q77" t="s">
        <v>93</v>
      </c>
      <c r="R77" t="s">
        <v>1462</v>
      </c>
      <c r="S77" t="s">
        <v>1463</v>
      </c>
      <c r="T77" t="s">
        <v>4138</v>
      </c>
      <c r="U77" t="s">
        <v>4139</v>
      </c>
      <c r="V77" t="s">
        <v>624</v>
      </c>
      <c r="W77" t="s">
        <v>4140</v>
      </c>
      <c r="X77" t="s">
        <v>4141</v>
      </c>
      <c r="Y77" t="s">
        <v>4142</v>
      </c>
      <c r="Z77" t="s">
        <v>4284</v>
      </c>
      <c r="AA77" t="s">
        <v>4285</v>
      </c>
      <c r="AB77" t="s">
        <v>624</v>
      </c>
      <c r="AC77" t="s">
        <v>6</v>
      </c>
      <c r="AD77" t="s">
        <v>50</v>
      </c>
      <c r="AE77" t="s">
        <v>6</v>
      </c>
      <c r="AF77" t="s">
        <v>9</v>
      </c>
      <c r="AG77" t="s">
        <v>9</v>
      </c>
      <c r="AH77" t="s">
        <v>4286</v>
      </c>
      <c r="AI77" t="s">
        <v>4290</v>
      </c>
      <c r="AJ77" t="s">
        <v>4286</v>
      </c>
      <c r="AK77" t="s">
        <v>4290</v>
      </c>
      <c r="AL77" t="s">
        <v>9</v>
      </c>
    </row>
    <row r="78" spans="1:38" ht="11.25" customHeight="1">
      <c r="A78" t="s">
        <v>9</v>
      </c>
      <c r="B78" t="s">
        <v>36</v>
      </c>
      <c r="C78" t="s">
        <v>38</v>
      </c>
      <c r="D78" t="s">
        <v>9</v>
      </c>
      <c r="E78" t="s">
        <v>4292</v>
      </c>
      <c r="F78" t="s">
        <v>4148</v>
      </c>
      <c r="G78" t="s">
        <v>92</v>
      </c>
      <c r="H78" t="s">
        <v>92</v>
      </c>
      <c r="I78" t="s">
        <v>93</v>
      </c>
      <c r="J78" t="s">
        <v>1462</v>
      </c>
      <c r="K78" t="s">
        <v>1463</v>
      </c>
      <c r="L78" t="s">
        <v>4293</v>
      </c>
      <c r="M78" t="s">
        <v>4294</v>
      </c>
      <c r="N78" t="s">
        <v>164</v>
      </c>
      <c r="O78" t="s">
        <v>92</v>
      </c>
      <c r="P78" t="s">
        <v>92</v>
      </c>
      <c r="Q78" t="s">
        <v>93</v>
      </c>
      <c r="R78" t="s">
        <v>1462</v>
      </c>
      <c r="S78" t="s">
        <v>1463</v>
      </c>
      <c r="T78" t="s">
        <v>4138</v>
      </c>
      <c r="U78" t="s">
        <v>4139</v>
      </c>
      <c r="V78" t="s">
        <v>624</v>
      </c>
      <c r="W78" t="s">
        <v>4140</v>
      </c>
      <c r="X78" t="s">
        <v>4141</v>
      </c>
      <c r="Y78" t="s">
        <v>4142</v>
      </c>
      <c r="Z78" t="s">
        <v>4295</v>
      </c>
      <c r="AA78" t="s">
        <v>4296</v>
      </c>
      <c r="AB78" t="s">
        <v>624</v>
      </c>
      <c r="AC78" t="s">
        <v>6</v>
      </c>
      <c r="AD78" t="s">
        <v>50</v>
      </c>
      <c r="AE78" t="s">
        <v>6</v>
      </c>
      <c r="AF78" t="s">
        <v>9</v>
      </c>
      <c r="AG78" t="s">
        <v>9</v>
      </c>
      <c r="AH78" t="s">
        <v>4297</v>
      </c>
      <c r="AI78" t="s">
        <v>4298</v>
      </c>
      <c r="AJ78" t="s">
        <v>4297</v>
      </c>
      <c r="AK78" t="s">
        <v>4298</v>
      </c>
      <c r="AL78" t="s">
        <v>9</v>
      </c>
    </row>
    <row r="79" spans="1:38" ht="11.25" customHeight="1">
      <c r="A79" t="s">
        <v>9</v>
      </c>
      <c r="B79" t="s">
        <v>36</v>
      </c>
      <c r="C79" t="s">
        <v>38</v>
      </c>
      <c r="D79" t="s">
        <v>9</v>
      </c>
      <c r="E79" t="s">
        <v>4299</v>
      </c>
      <c r="F79" t="s">
        <v>1438</v>
      </c>
      <c r="G79" t="s">
        <v>92</v>
      </c>
      <c r="H79" t="s">
        <v>92</v>
      </c>
      <c r="I79" t="s">
        <v>93</v>
      </c>
      <c r="J79" t="s">
        <v>1462</v>
      </c>
      <c r="K79" t="s">
        <v>1463</v>
      </c>
      <c r="L79" t="s">
        <v>4293</v>
      </c>
      <c r="M79" t="s">
        <v>4294</v>
      </c>
      <c r="N79" t="s">
        <v>164</v>
      </c>
      <c r="O79" t="s">
        <v>92</v>
      </c>
      <c r="P79" t="s">
        <v>92</v>
      </c>
      <c r="Q79" t="s">
        <v>93</v>
      </c>
      <c r="R79" t="s">
        <v>1462</v>
      </c>
      <c r="S79" t="s">
        <v>1463</v>
      </c>
      <c r="T79" t="s">
        <v>4138</v>
      </c>
      <c r="U79" t="s">
        <v>4139</v>
      </c>
      <c r="V79" t="s">
        <v>624</v>
      </c>
      <c r="W79" t="s">
        <v>4140</v>
      </c>
      <c r="X79" t="s">
        <v>4141</v>
      </c>
      <c r="Y79" t="s">
        <v>4142</v>
      </c>
      <c r="Z79" t="s">
        <v>4295</v>
      </c>
      <c r="AA79" t="s">
        <v>4296</v>
      </c>
      <c r="AB79" t="s">
        <v>624</v>
      </c>
      <c r="AC79" t="s">
        <v>50</v>
      </c>
      <c r="AD79" t="s">
        <v>50</v>
      </c>
      <c r="AE79" t="s">
        <v>50</v>
      </c>
      <c r="AF79" t="s">
        <v>4297</v>
      </c>
      <c r="AG79" t="s">
        <v>4298</v>
      </c>
      <c r="AH79" t="s">
        <v>4297</v>
      </c>
      <c r="AI79" t="s">
        <v>4298</v>
      </c>
      <c r="AJ79" t="s">
        <v>4297</v>
      </c>
      <c r="AK79" t="s">
        <v>4298</v>
      </c>
      <c r="AL79" t="s">
        <v>4146</v>
      </c>
    </row>
    <row r="80" spans="1:38" ht="11.25" customHeight="1">
      <c r="A80" t="s">
        <v>9</v>
      </c>
      <c r="B80" t="s">
        <v>36</v>
      </c>
      <c r="C80" t="s">
        <v>38</v>
      </c>
      <c r="D80" t="s">
        <v>9</v>
      </c>
      <c r="E80" t="s">
        <v>4300</v>
      </c>
      <c r="F80" t="s">
        <v>1438</v>
      </c>
      <c r="G80" t="s">
        <v>92</v>
      </c>
      <c r="H80" t="s">
        <v>92</v>
      </c>
      <c r="I80" t="s">
        <v>93</v>
      </c>
      <c r="J80" t="s">
        <v>1462</v>
      </c>
      <c r="K80" t="s">
        <v>1463</v>
      </c>
      <c r="L80" t="s">
        <v>1441</v>
      </c>
      <c r="M80" t="s">
        <v>4301</v>
      </c>
      <c r="N80" t="s">
        <v>164</v>
      </c>
      <c r="O80" t="s">
        <v>92</v>
      </c>
      <c r="P80" t="s">
        <v>92</v>
      </c>
      <c r="Q80" t="s">
        <v>93</v>
      </c>
      <c r="R80" t="s">
        <v>1462</v>
      </c>
      <c r="S80" t="s">
        <v>1463</v>
      </c>
      <c r="T80" t="s">
        <v>4138</v>
      </c>
      <c r="U80" t="s">
        <v>4139</v>
      </c>
      <c r="V80" t="s">
        <v>624</v>
      </c>
      <c r="W80" t="s">
        <v>4140</v>
      </c>
      <c r="X80" t="s">
        <v>4141</v>
      </c>
      <c r="Y80" t="s">
        <v>4142</v>
      </c>
      <c r="Z80" t="s">
        <v>4302</v>
      </c>
      <c r="AA80" t="s">
        <v>4303</v>
      </c>
      <c r="AB80" t="s">
        <v>624</v>
      </c>
      <c r="AC80" t="s">
        <v>50</v>
      </c>
      <c r="AD80" t="s">
        <v>50</v>
      </c>
      <c r="AE80" t="s">
        <v>50</v>
      </c>
      <c r="AF80" t="s">
        <v>1222</v>
      </c>
      <c r="AG80" t="s">
        <v>4304</v>
      </c>
      <c r="AH80" t="s">
        <v>1222</v>
      </c>
      <c r="AI80" t="s">
        <v>4304</v>
      </c>
      <c r="AJ80" t="s">
        <v>1222</v>
      </c>
      <c r="AK80" t="s">
        <v>4304</v>
      </c>
      <c r="AL80" t="s">
        <v>4146</v>
      </c>
    </row>
    <row r="81" spans="1:38" ht="11.25" customHeight="1">
      <c r="A81" t="s">
        <v>9</v>
      </c>
      <c r="B81" t="s">
        <v>36</v>
      </c>
      <c r="C81" t="s">
        <v>38</v>
      </c>
      <c r="D81" t="s">
        <v>9</v>
      </c>
      <c r="E81" t="s">
        <v>4305</v>
      </c>
      <c r="F81" t="s">
        <v>4148</v>
      </c>
      <c r="G81" t="s">
        <v>92</v>
      </c>
      <c r="H81" t="s">
        <v>92</v>
      </c>
      <c r="I81" t="s">
        <v>93</v>
      </c>
      <c r="J81" t="s">
        <v>1462</v>
      </c>
      <c r="K81" t="s">
        <v>1463</v>
      </c>
      <c r="L81" t="s">
        <v>1441</v>
      </c>
      <c r="M81" t="s">
        <v>4301</v>
      </c>
      <c r="N81" t="s">
        <v>164</v>
      </c>
      <c r="O81" t="s">
        <v>92</v>
      </c>
      <c r="P81" t="s">
        <v>92</v>
      </c>
      <c r="Q81" t="s">
        <v>93</v>
      </c>
      <c r="R81" t="s">
        <v>1462</v>
      </c>
      <c r="S81" t="s">
        <v>1463</v>
      </c>
      <c r="T81" t="s">
        <v>4138</v>
      </c>
      <c r="U81" t="s">
        <v>4139</v>
      </c>
      <c r="V81" t="s">
        <v>624</v>
      </c>
      <c r="W81" t="s">
        <v>4140</v>
      </c>
      <c r="X81" t="s">
        <v>4141</v>
      </c>
      <c r="Y81" t="s">
        <v>4142</v>
      </c>
      <c r="Z81" t="s">
        <v>4302</v>
      </c>
      <c r="AA81" t="s">
        <v>4303</v>
      </c>
      <c r="AB81" t="s">
        <v>624</v>
      </c>
      <c r="AC81" t="s">
        <v>6</v>
      </c>
      <c r="AD81" t="s">
        <v>50</v>
      </c>
      <c r="AE81" t="s">
        <v>6</v>
      </c>
      <c r="AF81" t="s">
        <v>9</v>
      </c>
      <c r="AG81" t="s">
        <v>9</v>
      </c>
      <c r="AH81" t="s">
        <v>1222</v>
      </c>
      <c r="AI81" t="s">
        <v>4304</v>
      </c>
      <c r="AJ81" t="s">
        <v>1222</v>
      </c>
      <c r="AK81" t="s">
        <v>4304</v>
      </c>
      <c r="AL81" t="s">
        <v>9</v>
      </c>
    </row>
    <row r="82" spans="1:38" ht="11.25" customHeight="1">
      <c r="A82" t="s">
        <v>9</v>
      </c>
      <c r="B82" t="s">
        <v>36</v>
      </c>
      <c r="C82" t="s">
        <v>38</v>
      </c>
      <c r="D82" t="s">
        <v>9</v>
      </c>
      <c r="E82" t="s">
        <v>4306</v>
      </c>
      <c r="F82" t="s">
        <v>4148</v>
      </c>
      <c r="G82" t="s">
        <v>92</v>
      </c>
      <c r="H82" t="s">
        <v>92</v>
      </c>
      <c r="I82" t="s">
        <v>93</v>
      </c>
      <c r="J82" t="s">
        <v>1462</v>
      </c>
      <c r="K82" t="s">
        <v>1463</v>
      </c>
      <c r="L82" t="s">
        <v>4307</v>
      </c>
      <c r="M82" t="s">
        <v>4308</v>
      </c>
      <c r="N82" t="s">
        <v>164</v>
      </c>
      <c r="O82" t="s">
        <v>92</v>
      </c>
      <c r="P82" t="s">
        <v>92</v>
      </c>
      <c r="Q82" t="s">
        <v>93</v>
      </c>
      <c r="R82" t="s">
        <v>1462</v>
      </c>
      <c r="S82" t="s">
        <v>1463</v>
      </c>
      <c r="T82" t="s">
        <v>4138</v>
      </c>
      <c r="U82" t="s">
        <v>4139</v>
      </c>
      <c r="V82" t="s">
        <v>624</v>
      </c>
      <c r="W82" t="s">
        <v>4140</v>
      </c>
      <c r="X82" t="s">
        <v>4141</v>
      </c>
      <c r="Y82" t="s">
        <v>4142</v>
      </c>
      <c r="Z82" t="s">
        <v>4309</v>
      </c>
      <c r="AA82" t="s">
        <v>4296</v>
      </c>
      <c r="AB82" t="s">
        <v>624</v>
      </c>
      <c r="AC82" t="s">
        <v>6</v>
      </c>
      <c r="AD82" t="s">
        <v>50</v>
      </c>
      <c r="AE82" t="s">
        <v>6</v>
      </c>
      <c r="AF82" t="s">
        <v>9</v>
      </c>
      <c r="AG82" t="s">
        <v>9</v>
      </c>
      <c r="AH82" t="s">
        <v>1029</v>
      </c>
      <c r="AI82" t="s">
        <v>4310</v>
      </c>
      <c r="AJ82" t="s">
        <v>1029</v>
      </c>
      <c r="AK82" t="s">
        <v>4310</v>
      </c>
      <c r="AL82" t="s">
        <v>9</v>
      </c>
    </row>
    <row r="83" spans="1:38" ht="11.25" customHeight="1">
      <c r="A83" t="s">
        <v>9</v>
      </c>
      <c r="B83" t="s">
        <v>36</v>
      </c>
      <c r="C83" t="s">
        <v>38</v>
      </c>
      <c r="D83" t="s">
        <v>9</v>
      </c>
      <c r="E83" t="s">
        <v>4311</v>
      </c>
      <c r="F83" t="s">
        <v>1438</v>
      </c>
      <c r="G83" t="s">
        <v>92</v>
      </c>
      <c r="H83" t="s">
        <v>92</v>
      </c>
      <c r="I83" t="s">
        <v>93</v>
      </c>
      <c r="J83" t="s">
        <v>1462</v>
      </c>
      <c r="K83" t="s">
        <v>1463</v>
      </c>
      <c r="L83" t="s">
        <v>4307</v>
      </c>
      <c r="M83" t="s">
        <v>4308</v>
      </c>
      <c r="N83" t="s">
        <v>164</v>
      </c>
      <c r="O83" t="s">
        <v>92</v>
      </c>
      <c r="P83" t="s">
        <v>92</v>
      </c>
      <c r="Q83" t="s">
        <v>93</v>
      </c>
      <c r="R83" t="s">
        <v>1462</v>
      </c>
      <c r="S83" t="s">
        <v>1463</v>
      </c>
      <c r="T83" t="s">
        <v>4138</v>
      </c>
      <c r="U83" t="s">
        <v>4139</v>
      </c>
      <c r="V83" t="s">
        <v>624</v>
      </c>
      <c r="W83" t="s">
        <v>4140</v>
      </c>
      <c r="X83" t="s">
        <v>4141</v>
      </c>
      <c r="Y83" t="s">
        <v>4142</v>
      </c>
      <c r="Z83" t="s">
        <v>4309</v>
      </c>
      <c r="AA83" t="s">
        <v>4296</v>
      </c>
      <c r="AB83" t="s">
        <v>624</v>
      </c>
      <c r="AC83" t="s">
        <v>50</v>
      </c>
      <c r="AD83" t="s">
        <v>50</v>
      </c>
      <c r="AE83" t="s">
        <v>50</v>
      </c>
      <c r="AF83" t="s">
        <v>1029</v>
      </c>
      <c r="AG83" t="s">
        <v>4310</v>
      </c>
      <c r="AH83" t="s">
        <v>1029</v>
      </c>
      <c r="AI83" t="s">
        <v>4310</v>
      </c>
      <c r="AJ83" t="s">
        <v>1029</v>
      </c>
      <c r="AK83" t="s">
        <v>4310</v>
      </c>
      <c r="AL83" t="s">
        <v>4146</v>
      </c>
    </row>
    <row r="84" spans="1:38" ht="11.25" customHeight="1">
      <c r="A84" t="s">
        <v>9</v>
      </c>
      <c r="B84" t="s">
        <v>36</v>
      </c>
      <c r="C84" t="s">
        <v>38</v>
      </c>
      <c r="D84" t="s">
        <v>9</v>
      </c>
      <c r="E84" t="s">
        <v>4202</v>
      </c>
      <c r="F84" t="s">
        <v>1438</v>
      </c>
      <c r="G84" t="s">
        <v>92</v>
      </c>
      <c r="H84" t="s">
        <v>92</v>
      </c>
      <c r="I84" t="s">
        <v>93</v>
      </c>
      <c r="J84" t="s">
        <v>1462</v>
      </c>
      <c r="K84" t="s">
        <v>1463</v>
      </c>
      <c r="L84" t="s">
        <v>4312</v>
      </c>
      <c r="M84" t="s">
        <v>4308</v>
      </c>
      <c r="N84" t="s">
        <v>164</v>
      </c>
      <c r="O84" t="s">
        <v>92</v>
      </c>
      <c r="P84" t="s">
        <v>92</v>
      </c>
      <c r="Q84" t="s">
        <v>93</v>
      </c>
      <c r="R84" t="s">
        <v>1462</v>
      </c>
      <c r="S84" t="s">
        <v>1463</v>
      </c>
      <c r="T84" t="s">
        <v>4165</v>
      </c>
      <c r="U84" t="s">
        <v>4168</v>
      </c>
      <c r="V84" t="s">
        <v>624</v>
      </c>
      <c r="W84" t="s">
        <v>4140</v>
      </c>
      <c r="X84" t="s">
        <v>4167</v>
      </c>
      <c r="Y84" t="s">
        <v>4168</v>
      </c>
      <c r="Z84" t="s">
        <v>4313</v>
      </c>
      <c r="AA84" t="s">
        <v>4314</v>
      </c>
      <c r="AB84" t="s">
        <v>624</v>
      </c>
      <c r="AC84" t="s">
        <v>50</v>
      </c>
      <c r="AD84" t="s">
        <v>50</v>
      </c>
      <c r="AE84" t="s">
        <v>50</v>
      </c>
      <c r="AF84" t="s">
        <v>4315</v>
      </c>
      <c r="AG84" t="s">
        <v>4316</v>
      </c>
      <c r="AH84" t="s">
        <v>4315</v>
      </c>
      <c r="AI84" t="s">
        <v>4316</v>
      </c>
      <c r="AJ84" t="s">
        <v>4315</v>
      </c>
      <c r="AK84" t="s">
        <v>4316</v>
      </c>
      <c r="AL84" t="s">
        <v>4146</v>
      </c>
    </row>
    <row r="85" spans="1:38" ht="11.25" customHeight="1">
      <c r="A85" t="s">
        <v>9</v>
      </c>
      <c r="B85" t="s">
        <v>36</v>
      </c>
      <c r="C85" t="s">
        <v>38</v>
      </c>
      <c r="D85" t="s">
        <v>9</v>
      </c>
      <c r="E85" t="s">
        <v>1467</v>
      </c>
      <c r="F85" t="s">
        <v>1438</v>
      </c>
      <c r="G85" t="s">
        <v>92</v>
      </c>
      <c r="H85" t="s">
        <v>92</v>
      </c>
      <c r="I85" t="s">
        <v>93</v>
      </c>
      <c r="J85" t="s">
        <v>1462</v>
      </c>
      <c r="K85" t="s">
        <v>1463</v>
      </c>
      <c r="L85" t="s">
        <v>1468</v>
      </c>
      <c r="M85" t="s">
        <v>1469</v>
      </c>
      <c r="N85" t="s">
        <v>164</v>
      </c>
      <c r="O85" t="s">
        <v>92</v>
      </c>
      <c r="P85" t="s">
        <v>92</v>
      </c>
      <c r="Q85" t="s">
        <v>93</v>
      </c>
      <c r="R85" t="s">
        <v>1462</v>
      </c>
      <c r="S85" t="s">
        <v>1463</v>
      </c>
      <c r="T85" t="s">
        <v>4138</v>
      </c>
      <c r="U85" t="s">
        <v>4139</v>
      </c>
      <c r="V85" t="s">
        <v>624</v>
      </c>
      <c r="W85" t="s">
        <v>4140</v>
      </c>
      <c r="X85" t="s">
        <v>4317</v>
      </c>
      <c r="Y85" t="s">
        <v>4142</v>
      </c>
      <c r="Z85" t="s">
        <v>1442</v>
      </c>
      <c r="AA85" t="s">
        <v>1332</v>
      </c>
      <c r="AB85" t="s">
        <v>624</v>
      </c>
      <c r="AC85" t="s">
        <v>50</v>
      </c>
      <c r="AD85" t="s">
        <v>50</v>
      </c>
      <c r="AE85" t="s">
        <v>50</v>
      </c>
      <c r="AF85" t="s">
        <v>110</v>
      </c>
      <c r="AG85" t="s">
        <v>4318</v>
      </c>
      <c r="AH85" t="s">
        <v>110</v>
      </c>
      <c r="AI85" t="s">
        <v>4318</v>
      </c>
      <c r="AJ85" t="s">
        <v>110</v>
      </c>
      <c r="AK85" t="s">
        <v>4318</v>
      </c>
      <c r="AL85" t="s">
        <v>4146</v>
      </c>
    </row>
    <row r="86" spans="1:38" ht="11.25" customHeight="1">
      <c r="A86" t="s">
        <v>9</v>
      </c>
      <c r="B86" t="s">
        <v>36</v>
      </c>
      <c r="C86" t="s">
        <v>38</v>
      </c>
      <c r="D86" t="s">
        <v>9</v>
      </c>
      <c r="E86" t="s">
        <v>1467</v>
      </c>
      <c r="F86" t="s">
        <v>4148</v>
      </c>
      <c r="G86" t="s">
        <v>92</v>
      </c>
      <c r="H86" t="s">
        <v>92</v>
      </c>
      <c r="I86" t="s">
        <v>93</v>
      </c>
      <c r="J86" t="s">
        <v>1462</v>
      </c>
      <c r="K86" t="s">
        <v>1463</v>
      </c>
      <c r="L86" t="s">
        <v>1468</v>
      </c>
      <c r="M86" t="s">
        <v>1469</v>
      </c>
      <c r="N86" t="s">
        <v>164</v>
      </c>
      <c r="O86" t="s">
        <v>92</v>
      </c>
      <c r="P86" t="s">
        <v>92</v>
      </c>
      <c r="Q86" t="s">
        <v>93</v>
      </c>
      <c r="R86" t="s">
        <v>1462</v>
      </c>
      <c r="S86" t="s">
        <v>1463</v>
      </c>
      <c r="T86" t="s">
        <v>4138</v>
      </c>
      <c r="U86" t="s">
        <v>4139</v>
      </c>
      <c r="V86" t="s">
        <v>624</v>
      </c>
      <c r="W86" t="s">
        <v>4140</v>
      </c>
      <c r="X86" t="s">
        <v>4317</v>
      </c>
      <c r="Y86" t="s">
        <v>4142</v>
      </c>
      <c r="Z86" t="s">
        <v>1442</v>
      </c>
      <c r="AA86" t="s">
        <v>1332</v>
      </c>
      <c r="AB86" t="s">
        <v>624</v>
      </c>
      <c r="AC86" t="s">
        <v>6</v>
      </c>
      <c r="AD86" t="s">
        <v>50</v>
      </c>
      <c r="AE86" t="s">
        <v>6</v>
      </c>
      <c r="AF86" t="s">
        <v>9</v>
      </c>
      <c r="AG86" t="s">
        <v>9</v>
      </c>
      <c r="AH86" t="s">
        <v>110</v>
      </c>
      <c r="AI86" t="s">
        <v>4318</v>
      </c>
      <c r="AJ86" t="s">
        <v>110</v>
      </c>
      <c r="AK86" t="s">
        <v>4318</v>
      </c>
      <c r="AL86" t="s">
        <v>9</v>
      </c>
    </row>
    <row r="87" spans="1:38" ht="11.25" customHeight="1">
      <c r="A87" t="s">
        <v>9</v>
      </c>
      <c r="B87" t="s">
        <v>36</v>
      </c>
      <c r="C87" t="s">
        <v>38</v>
      </c>
      <c r="D87" t="s">
        <v>9</v>
      </c>
      <c r="E87" t="s">
        <v>1471</v>
      </c>
      <c r="F87" t="s">
        <v>1438</v>
      </c>
      <c r="G87" t="s">
        <v>92</v>
      </c>
      <c r="H87" t="s">
        <v>92</v>
      </c>
      <c r="I87" t="s">
        <v>93</v>
      </c>
      <c r="J87" t="s">
        <v>1462</v>
      </c>
      <c r="K87" t="s">
        <v>1463</v>
      </c>
      <c r="L87" t="s">
        <v>1472</v>
      </c>
      <c r="M87" t="s">
        <v>1442</v>
      </c>
      <c r="N87" t="s">
        <v>164</v>
      </c>
      <c r="O87" t="s">
        <v>92</v>
      </c>
      <c r="P87" t="s">
        <v>92</v>
      </c>
      <c r="Q87" t="s">
        <v>93</v>
      </c>
      <c r="R87" t="s">
        <v>1462</v>
      </c>
      <c r="S87" t="s">
        <v>1463</v>
      </c>
      <c r="T87" t="s">
        <v>4138</v>
      </c>
      <c r="U87" t="s">
        <v>4139</v>
      </c>
      <c r="V87" t="s">
        <v>624</v>
      </c>
      <c r="W87" t="s">
        <v>4140</v>
      </c>
      <c r="X87" t="s">
        <v>4317</v>
      </c>
      <c r="Y87" t="s">
        <v>4142</v>
      </c>
      <c r="Z87" t="s">
        <v>1442</v>
      </c>
      <c r="AA87" t="s">
        <v>4319</v>
      </c>
      <c r="AB87" t="s">
        <v>624</v>
      </c>
      <c r="AC87" t="s">
        <v>50</v>
      </c>
      <c r="AD87" t="s">
        <v>50</v>
      </c>
      <c r="AE87" t="s">
        <v>50</v>
      </c>
      <c r="AF87" t="s">
        <v>1062</v>
      </c>
      <c r="AG87" t="s">
        <v>4320</v>
      </c>
      <c r="AH87" t="s">
        <v>1062</v>
      </c>
      <c r="AI87" t="s">
        <v>4320</v>
      </c>
      <c r="AJ87" t="s">
        <v>1062</v>
      </c>
      <c r="AK87" t="s">
        <v>4320</v>
      </c>
      <c r="AL87" t="s">
        <v>4146</v>
      </c>
    </row>
    <row r="88" spans="1:38" ht="11.25" customHeight="1">
      <c r="A88" t="s">
        <v>9</v>
      </c>
      <c r="B88" t="s">
        <v>36</v>
      </c>
      <c r="C88" t="s">
        <v>38</v>
      </c>
      <c r="D88" t="s">
        <v>9</v>
      </c>
      <c r="E88" t="s">
        <v>1471</v>
      </c>
      <c r="F88" t="s">
        <v>4148</v>
      </c>
      <c r="G88" t="s">
        <v>92</v>
      </c>
      <c r="H88" t="s">
        <v>92</v>
      </c>
      <c r="I88" t="s">
        <v>93</v>
      </c>
      <c r="J88" t="s">
        <v>1462</v>
      </c>
      <c r="K88" t="s">
        <v>1463</v>
      </c>
      <c r="L88" t="s">
        <v>1472</v>
      </c>
      <c r="M88" t="s">
        <v>1442</v>
      </c>
      <c r="N88" t="s">
        <v>164</v>
      </c>
      <c r="O88" t="s">
        <v>92</v>
      </c>
      <c r="P88" t="s">
        <v>92</v>
      </c>
      <c r="Q88" t="s">
        <v>93</v>
      </c>
      <c r="R88" t="s">
        <v>1462</v>
      </c>
      <c r="S88" t="s">
        <v>1463</v>
      </c>
      <c r="T88" t="s">
        <v>4138</v>
      </c>
      <c r="U88" t="s">
        <v>4139</v>
      </c>
      <c r="V88" t="s">
        <v>624</v>
      </c>
      <c r="W88" t="s">
        <v>4140</v>
      </c>
      <c r="X88" t="s">
        <v>4317</v>
      </c>
      <c r="Y88" t="s">
        <v>4142</v>
      </c>
      <c r="Z88" t="s">
        <v>1442</v>
      </c>
      <c r="AA88" t="s">
        <v>4319</v>
      </c>
      <c r="AB88" t="s">
        <v>624</v>
      </c>
      <c r="AC88" t="s">
        <v>6</v>
      </c>
      <c r="AD88" t="s">
        <v>50</v>
      </c>
      <c r="AE88" t="s">
        <v>6</v>
      </c>
      <c r="AF88" t="s">
        <v>9</v>
      </c>
      <c r="AG88" t="s">
        <v>9</v>
      </c>
      <c r="AH88" t="s">
        <v>1062</v>
      </c>
      <c r="AI88" t="s">
        <v>4321</v>
      </c>
      <c r="AJ88" t="s">
        <v>1062</v>
      </c>
      <c r="AK88" t="s">
        <v>4321</v>
      </c>
      <c r="AL88" t="s">
        <v>9</v>
      </c>
    </row>
    <row r="89" spans="1:38" ht="11.25" customHeight="1">
      <c r="A89" t="s">
        <v>9</v>
      </c>
      <c r="B89" t="s">
        <v>36</v>
      </c>
      <c r="C89" t="s">
        <v>38</v>
      </c>
      <c r="D89" t="s">
        <v>9</v>
      </c>
      <c r="E89" t="s">
        <v>1461</v>
      </c>
      <c r="F89" t="s">
        <v>1438</v>
      </c>
      <c r="G89" t="s">
        <v>92</v>
      </c>
      <c r="H89" t="s">
        <v>92</v>
      </c>
      <c r="I89" t="s">
        <v>93</v>
      </c>
      <c r="J89" t="s">
        <v>1462</v>
      </c>
      <c r="K89" t="s">
        <v>1463</v>
      </c>
      <c r="L89" t="s">
        <v>1464</v>
      </c>
      <c r="M89" t="s">
        <v>1465</v>
      </c>
      <c r="N89" t="s">
        <v>164</v>
      </c>
      <c r="O89" t="s">
        <v>92</v>
      </c>
      <c r="P89" t="s">
        <v>92</v>
      </c>
      <c r="Q89" t="s">
        <v>93</v>
      </c>
      <c r="R89" t="s">
        <v>1462</v>
      </c>
      <c r="S89" t="s">
        <v>1463</v>
      </c>
      <c r="T89" t="s">
        <v>4138</v>
      </c>
      <c r="U89" t="s">
        <v>4139</v>
      </c>
      <c r="V89" t="s">
        <v>624</v>
      </c>
      <c r="W89" t="s">
        <v>4140</v>
      </c>
      <c r="X89" t="s">
        <v>4317</v>
      </c>
      <c r="Y89" t="s">
        <v>4142</v>
      </c>
      <c r="Z89" t="s">
        <v>1442</v>
      </c>
      <c r="AA89" t="s">
        <v>4322</v>
      </c>
      <c r="AB89" t="s">
        <v>624</v>
      </c>
      <c r="AC89" t="s">
        <v>50</v>
      </c>
      <c r="AD89" t="s">
        <v>50</v>
      </c>
      <c r="AE89" t="s">
        <v>50</v>
      </c>
      <c r="AF89" t="s">
        <v>110</v>
      </c>
      <c r="AG89" t="s">
        <v>4323</v>
      </c>
      <c r="AH89" t="s">
        <v>110</v>
      </c>
      <c r="AI89" t="s">
        <v>4323</v>
      </c>
      <c r="AJ89" t="s">
        <v>110</v>
      </c>
      <c r="AK89" t="s">
        <v>4323</v>
      </c>
      <c r="AL89" t="s">
        <v>4146</v>
      </c>
    </row>
    <row r="90" spans="1:38" ht="11.25" customHeight="1">
      <c r="A90" t="s">
        <v>9</v>
      </c>
      <c r="B90" t="s">
        <v>36</v>
      </c>
      <c r="C90" t="s">
        <v>38</v>
      </c>
      <c r="D90" t="s">
        <v>9</v>
      </c>
      <c r="E90" t="s">
        <v>4324</v>
      </c>
      <c r="F90" t="s">
        <v>1438</v>
      </c>
      <c r="G90" t="s">
        <v>92</v>
      </c>
      <c r="H90" t="s">
        <v>92</v>
      </c>
      <c r="I90" t="s">
        <v>93</v>
      </c>
      <c r="J90" t="s">
        <v>4325</v>
      </c>
      <c r="K90" t="s">
        <v>4326</v>
      </c>
      <c r="L90" t="s">
        <v>4327</v>
      </c>
      <c r="M90" t="s">
        <v>4328</v>
      </c>
      <c r="N90" t="s">
        <v>164</v>
      </c>
      <c r="O90" t="s">
        <v>92</v>
      </c>
      <c r="P90" t="s">
        <v>92</v>
      </c>
      <c r="Q90" t="s">
        <v>93</v>
      </c>
      <c r="R90" t="s">
        <v>4325</v>
      </c>
      <c r="S90" t="s">
        <v>4326</v>
      </c>
      <c r="T90" t="s">
        <v>4165</v>
      </c>
      <c r="U90" t="s">
        <v>4168</v>
      </c>
      <c r="V90" t="s">
        <v>624</v>
      </c>
      <c r="W90" t="s">
        <v>4140</v>
      </c>
      <c r="X90" t="s">
        <v>4167</v>
      </c>
      <c r="Y90" t="s">
        <v>4168</v>
      </c>
      <c r="Z90" t="s">
        <v>4329</v>
      </c>
      <c r="AA90" t="s">
        <v>4330</v>
      </c>
      <c r="AB90" t="s">
        <v>624</v>
      </c>
      <c r="AC90" t="s">
        <v>50</v>
      </c>
      <c r="AD90" t="s">
        <v>50</v>
      </c>
      <c r="AE90" t="s">
        <v>50</v>
      </c>
      <c r="AF90" t="s">
        <v>4331</v>
      </c>
      <c r="AG90" t="s">
        <v>4332</v>
      </c>
      <c r="AH90" t="s">
        <v>4331</v>
      </c>
      <c r="AI90" t="s">
        <v>4332</v>
      </c>
      <c r="AJ90" t="s">
        <v>4331</v>
      </c>
      <c r="AK90" t="s">
        <v>4332</v>
      </c>
      <c r="AL90" t="s">
        <v>4146</v>
      </c>
    </row>
    <row r="91" spans="1:38" ht="11.25" customHeight="1">
      <c r="A91" t="s">
        <v>9</v>
      </c>
      <c r="B91" t="s">
        <v>36</v>
      </c>
      <c r="C91" t="s">
        <v>38</v>
      </c>
      <c r="D91" t="s">
        <v>9</v>
      </c>
      <c r="E91" t="s">
        <v>1500</v>
      </c>
      <c r="F91" t="s">
        <v>1438</v>
      </c>
      <c r="G91" t="s">
        <v>92</v>
      </c>
      <c r="H91" t="s">
        <v>92</v>
      </c>
      <c r="I91" t="s">
        <v>93</v>
      </c>
      <c r="J91" t="s">
        <v>4325</v>
      </c>
      <c r="K91" t="s">
        <v>4326</v>
      </c>
      <c r="L91" t="s">
        <v>4333</v>
      </c>
      <c r="M91" t="s">
        <v>4334</v>
      </c>
      <c r="N91" t="s">
        <v>164</v>
      </c>
      <c r="O91" t="s">
        <v>92</v>
      </c>
      <c r="P91" t="s">
        <v>92</v>
      </c>
      <c r="Q91" t="s">
        <v>93</v>
      </c>
      <c r="R91" t="s">
        <v>4325</v>
      </c>
      <c r="S91" t="s">
        <v>4326</v>
      </c>
      <c r="T91" t="s">
        <v>4165</v>
      </c>
      <c r="U91" t="s">
        <v>4166</v>
      </c>
      <c r="V91" t="s">
        <v>624</v>
      </c>
      <c r="W91" t="s">
        <v>4140</v>
      </c>
      <c r="X91" t="s">
        <v>4167</v>
      </c>
      <c r="Y91" t="s">
        <v>4168</v>
      </c>
      <c r="Z91" t="s">
        <v>4335</v>
      </c>
      <c r="AA91" t="s">
        <v>4336</v>
      </c>
      <c r="AB91" t="s">
        <v>624</v>
      </c>
      <c r="AC91" t="s">
        <v>50</v>
      </c>
      <c r="AD91" t="s">
        <v>50</v>
      </c>
      <c r="AE91" t="s">
        <v>50</v>
      </c>
      <c r="AF91" t="s">
        <v>4337</v>
      </c>
      <c r="AG91" t="s">
        <v>4338</v>
      </c>
      <c r="AH91" t="s">
        <v>4337</v>
      </c>
      <c r="AI91" t="s">
        <v>4338</v>
      </c>
      <c r="AJ91" t="s">
        <v>4337</v>
      </c>
      <c r="AK91" t="s">
        <v>4338</v>
      </c>
      <c r="AL91" t="s">
        <v>4146</v>
      </c>
    </row>
    <row r="92" spans="1:38" ht="11.25" customHeight="1">
      <c r="A92" t="s">
        <v>9</v>
      </c>
      <c r="B92" t="s">
        <v>36</v>
      </c>
      <c r="C92" t="s">
        <v>38</v>
      </c>
      <c r="D92" t="s">
        <v>9</v>
      </c>
      <c r="E92" t="s">
        <v>4339</v>
      </c>
      <c r="F92" t="s">
        <v>4148</v>
      </c>
      <c r="G92" t="s">
        <v>92</v>
      </c>
      <c r="H92" t="s">
        <v>92</v>
      </c>
      <c r="I92" t="s">
        <v>93</v>
      </c>
      <c r="J92" t="s">
        <v>4325</v>
      </c>
      <c r="K92" t="s">
        <v>4326</v>
      </c>
      <c r="L92" t="s">
        <v>4340</v>
      </c>
      <c r="M92" t="s">
        <v>1442</v>
      </c>
      <c r="N92" t="s">
        <v>164</v>
      </c>
      <c r="O92" t="s">
        <v>92</v>
      </c>
      <c r="P92" t="s">
        <v>92</v>
      </c>
      <c r="Q92" t="s">
        <v>93</v>
      </c>
      <c r="R92" t="s">
        <v>4325</v>
      </c>
      <c r="S92" t="s">
        <v>4326</v>
      </c>
      <c r="T92" t="s">
        <v>4165</v>
      </c>
      <c r="U92" t="s">
        <v>4166</v>
      </c>
      <c r="V92" t="s">
        <v>624</v>
      </c>
      <c r="W92" t="s">
        <v>4140</v>
      </c>
      <c r="X92" t="s">
        <v>4167</v>
      </c>
      <c r="Y92" t="s">
        <v>4168</v>
      </c>
      <c r="Z92" t="s">
        <v>4335</v>
      </c>
      <c r="AA92" t="s">
        <v>4336</v>
      </c>
      <c r="AB92" t="s">
        <v>624</v>
      </c>
      <c r="AC92" t="s">
        <v>6</v>
      </c>
      <c r="AD92" t="s">
        <v>50</v>
      </c>
      <c r="AE92" t="s">
        <v>6</v>
      </c>
      <c r="AF92" t="s">
        <v>9</v>
      </c>
      <c r="AG92" t="s">
        <v>9</v>
      </c>
      <c r="AH92" t="s">
        <v>4337</v>
      </c>
      <c r="AI92" t="s">
        <v>4338</v>
      </c>
      <c r="AJ92" t="s">
        <v>4337</v>
      </c>
      <c r="AK92" t="s">
        <v>4338</v>
      </c>
      <c r="AL92" t="s">
        <v>9</v>
      </c>
    </row>
    <row r="93" spans="1:38" ht="11.25" customHeight="1">
      <c r="A93" t="s">
        <v>9</v>
      </c>
      <c r="B93" t="s">
        <v>36</v>
      </c>
      <c r="C93" t="s">
        <v>38</v>
      </c>
      <c r="D93" t="s">
        <v>9</v>
      </c>
      <c r="E93" t="s">
        <v>4341</v>
      </c>
      <c r="F93" t="s">
        <v>4148</v>
      </c>
      <c r="G93" t="s">
        <v>92</v>
      </c>
      <c r="H93" t="s">
        <v>92</v>
      </c>
      <c r="I93" t="s">
        <v>93</v>
      </c>
      <c r="J93" t="s">
        <v>4325</v>
      </c>
      <c r="K93" t="s">
        <v>4326</v>
      </c>
      <c r="L93" t="s">
        <v>4340</v>
      </c>
      <c r="M93" t="s">
        <v>1442</v>
      </c>
      <c r="N93" t="s">
        <v>164</v>
      </c>
      <c r="O93" t="s">
        <v>92</v>
      </c>
      <c r="P93" t="s">
        <v>92</v>
      </c>
      <c r="Q93" t="s">
        <v>93</v>
      </c>
      <c r="R93" t="s">
        <v>4325</v>
      </c>
      <c r="S93" t="s">
        <v>4326</v>
      </c>
      <c r="T93" t="s">
        <v>4165</v>
      </c>
      <c r="U93" t="s">
        <v>4166</v>
      </c>
      <c r="V93" t="s">
        <v>624</v>
      </c>
      <c r="W93" t="s">
        <v>4140</v>
      </c>
      <c r="X93" t="s">
        <v>4167</v>
      </c>
      <c r="Y93" t="s">
        <v>4168</v>
      </c>
      <c r="Z93" t="s">
        <v>4335</v>
      </c>
      <c r="AA93" t="s">
        <v>4336</v>
      </c>
      <c r="AB93" t="s">
        <v>624</v>
      </c>
      <c r="AC93" t="s">
        <v>6</v>
      </c>
      <c r="AD93" t="s">
        <v>50</v>
      </c>
      <c r="AE93" t="s">
        <v>6</v>
      </c>
      <c r="AF93" t="s">
        <v>9</v>
      </c>
      <c r="AG93" t="s">
        <v>9</v>
      </c>
      <c r="AH93" t="s">
        <v>4337</v>
      </c>
      <c r="AI93" t="s">
        <v>4338</v>
      </c>
      <c r="AJ93" t="s">
        <v>4337</v>
      </c>
      <c r="AK93" t="s">
        <v>4338</v>
      </c>
      <c r="AL93" t="s">
        <v>9</v>
      </c>
    </row>
    <row r="94" spans="1:38" ht="11.25" customHeight="1">
      <c r="A94" t="s">
        <v>9</v>
      </c>
      <c r="B94" t="s">
        <v>36</v>
      </c>
      <c r="C94" t="s">
        <v>38</v>
      </c>
      <c r="D94" t="s">
        <v>9</v>
      </c>
      <c r="E94" t="s">
        <v>1476</v>
      </c>
      <c r="F94" t="s">
        <v>1438</v>
      </c>
      <c r="G94" t="s">
        <v>3585</v>
      </c>
      <c r="H94" t="s">
        <v>3587</v>
      </c>
      <c r="I94" t="s">
        <v>3588</v>
      </c>
      <c r="J94" t="s">
        <v>1462</v>
      </c>
      <c r="K94" t="s">
        <v>4342</v>
      </c>
      <c r="L94" t="s">
        <v>1477</v>
      </c>
      <c r="M94" t="s">
        <v>1478</v>
      </c>
      <c r="N94" t="s">
        <v>164</v>
      </c>
      <c r="O94" t="s">
        <v>3585</v>
      </c>
      <c r="P94" t="s">
        <v>3587</v>
      </c>
      <c r="Q94" t="s">
        <v>3588</v>
      </c>
      <c r="R94" t="s">
        <v>1462</v>
      </c>
      <c r="S94" t="s">
        <v>4342</v>
      </c>
      <c r="T94" t="s">
        <v>4138</v>
      </c>
      <c r="U94" t="s">
        <v>4139</v>
      </c>
      <c r="V94" t="s">
        <v>624</v>
      </c>
      <c r="W94" t="s">
        <v>4140</v>
      </c>
      <c r="X94" t="s">
        <v>4141</v>
      </c>
      <c r="Y94" t="s">
        <v>4142</v>
      </c>
      <c r="Z94" t="s">
        <v>4284</v>
      </c>
      <c r="AA94" t="s">
        <v>4285</v>
      </c>
      <c r="AB94" t="s">
        <v>624</v>
      </c>
      <c r="AC94" t="s">
        <v>50</v>
      </c>
      <c r="AD94" t="s">
        <v>50</v>
      </c>
      <c r="AE94" t="s">
        <v>50</v>
      </c>
      <c r="AF94" t="s">
        <v>4286</v>
      </c>
      <c r="AG94" t="s">
        <v>4287</v>
      </c>
      <c r="AH94" t="s">
        <v>4286</v>
      </c>
      <c r="AI94" t="s">
        <v>4287</v>
      </c>
      <c r="AJ94" t="s">
        <v>4286</v>
      </c>
      <c r="AK94" t="s">
        <v>4287</v>
      </c>
      <c r="AL94" t="s">
        <v>4288</v>
      </c>
    </row>
    <row r="95" spans="1:38" ht="11.25" customHeight="1">
      <c r="A95" t="s">
        <v>9</v>
      </c>
      <c r="B95" t="s">
        <v>36</v>
      </c>
      <c r="C95" t="s">
        <v>38</v>
      </c>
      <c r="D95" t="s">
        <v>9</v>
      </c>
      <c r="E95" t="s">
        <v>4289</v>
      </c>
      <c r="F95" t="s">
        <v>4148</v>
      </c>
      <c r="G95" t="s">
        <v>3585</v>
      </c>
      <c r="H95" t="s">
        <v>3587</v>
      </c>
      <c r="I95" t="s">
        <v>3588</v>
      </c>
      <c r="J95" t="s">
        <v>1462</v>
      </c>
      <c r="K95" t="s">
        <v>4342</v>
      </c>
      <c r="L95" t="s">
        <v>1477</v>
      </c>
      <c r="M95" t="s">
        <v>1478</v>
      </c>
      <c r="N95" t="s">
        <v>164</v>
      </c>
      <c r="O95" t="s">
        <v>3585</v>
      </c>
      <c r="P95" t="s">
        <v>3587</v>
      </c>
      <c r="Q95" t="s">
        <v>3588</v>
      </c>
      <c r="R95" t="s">
        <v>1462</v>
      </c>
      <c r="S95" t="s">
        <v>4342</v>
      </c>
      <c r="T95" t="s">
        <v>4138</v>
      </c>
      <c r="U95" t="s">
        <v>4139</v>
      </c>
      <c r="V95" t="s">
        <v>624</v>
      </c>
      <c r="W95" t="s">
        <v>4140</v>
      </c>
      <c r="X95" t="s">
        <v>4141</v>
      </c>
      <c r="Y95" t="s">
        <v>4142</v>
      </c>
      <c r="Z95" t="s">
        <v>4284</v>
      </c>
      <c r="AA95" t="s">
        <v>4285</v>
      </c>
      <c r="AB95" t="s">
        <v>624</v>
      </c>
      <c r="AC95" t="s">
        <v>6</v>
      </c>
      <c r="AD95" t="s">
        <v>50</v>
      </c>
      <c r="AE95" t="s">
        <v>6</v>
      </c>
      <c r="AF95" t="s">
        <v>9</v>
      </c>
      <c r="AG95" t="s">
        <v>9</v>
      </c>
      <c r="AH95" t="s">
        <v>4286</v>
      </c>
      <c r="AI95" t="s">
        <v>4290</v>
      </c>
      <c r="AJ95" t="s">
        <v>4286</v>
      </c>
      <c r="AK95" t="s">
        <v>4290</v>
      </c>
      <c r="AL95" t="s">
        <v>9</v>
      </c>
    </row>
    <row r="96" spans="1:38" ht="11.25" customHeight="1">
      <c r="A96" t="s">
        <v>9</v>
      </c>
      <c r="B96" t="s">
        <v>36</v>
      </c>
      <c r="C96" t="s">
        <v>38</v>
      </c>
      <c r="D96" t="s">
        <v>9</v>
      </c>
      <c r="E96" t="s">
        <v>4291</v>
      </c>
      <c r="F96" t="s">
        <v>4148</v>
      </c>
      <c r="G96" t="s">
        <v>3585</v>
      </c>
      <c r="H96" t="s">
        <v>3587</v>
      </c>
      <c r="I96" t="s">
        <v>3588</v>
      </c>
      <c r="J96" t="s">
        <v>1462</v>
      </c>
      <c r="K96" t="s">
        <v>4342</v>
      </c>
      <c r="L96" t="s">
        <v>1477</v>
      </c>
      <c r="M96" t="s">
        <v>1478</v>
      </c>
      <c r="N96" t="s">
        <v>164</v>
      </c>
      <c r="O96" t="s">
        <v>3585</v>
      </c>
      <c r="P96" t="s">
        <v>3587</v>
      </c>
      <c r="Q96" t="s">
        <v>3588</v>
      </c>
      <c r="R96" t="s">
        <v>1462</v>
      </c>
      <c r="S96" t="s">
        <v>4342</v>
      </c>
      <c r="T96" t="s">
        <v>4138</v>
      </c>
      <c r="U96" t="s">
        <v>4139</v>
      </c>
      <c r="V96" t="s">
        <v>624</v>
      </c>
      <c r="W96" t="s">
        <v>4140</v>
      </c>
      <c r="X96" t="s">
        <v>4141</v>
      </c>
      <c r="Y96" t="s">
        <v>4142</v>
      </c>
      <c r="Z96" t="s">
        <v>4284</v>
      </c>
      <c r="AA96" t="s">
        <v>4285</v>
      </c>
      <c r="AB96" t="s">
        <v>624</v>
      </c>
      <c r="AC96" t="s">
        <v>6</v>
      </c>
      <c r="AD96" t="s">
        <v>50</v>
      </c>
      <c r="AE96" t="s">
        <v>6</v>
      </c>
      <c r="AF96" t="s">
        <v>9</v>
      </c>
      <c r="AG96" t="s">
        <v>9</v>
      </c>
      <c r="AH96" t="s">
        <v>4286</v>
      </c>
      <c r="AI96" t="s">
        <v>4290</v>
      </c>
      <c r="AJ96" t="s">
        <v>4286</v>
      </c>
      <c r="AK96" t="s">
        <v>4290</v>
      </c>
      <c r="AL96" t="s">
        <v>9</v>
      </c>
    </row>
    <row r="97" spans="1:38" ht="11.25" customHeight="1">
      <c r="A97" t="s">
        <v>9</v>
      </c>
      <c r="B97" t="s">
        <v>36</v>
      </c>
      <c r="C97" t="s">
        <v>38</v>
      </c>
      <c r="D97" t="s">
        <v>9</v>
      </c>
      <c r="E97" t="s">
        <v>4292</v>
      </c>
      <c r="F97" t="s">
        <v>4148</v>
      </c>
      <c r="G97" t="s">
        <v>3585</v>
      </c>
      <c r="H97" t="s">
        <v>3587</v>
      </c>
      <c r="I97" t="s">
        <v>3588</v>
      </c>
      <c r="J97" t="s">
        <v>1462</v>
      </c>
      <c r="K97" t="s">
        <v>4342</v>
      </c>
      <c r="L97" t="s">
        <v>4293</v>
      </c>
      <c r="M97" t="s">
        <v>4294</v>
      </c>
      <c r="N97" t="s">
        <v>164</v>
      </c>
      <c r="O97" t="s">
        <v>3585</v>
      </c>
      <c r="P97" t="s">
        <v>3587</v>
      </c>
      <c r="Q97" t="s">
        <v>3588</v>
      </c>
      <c r="R97" t="s">
        <v>1462</v>
      </c>
      <c r="S97" t="s">
        <v>4342</v>
      </c>
      <c r="T97" t="s">
        <v>4138</v>
      </c>
      <c r="U97" t="s">
        <v>4139</v>
      </c>
      <c r="V97" t="s">
        <v>624</v>
      </c>
      <c r="W97" t="s">
        <v>4140</v>
      </c>
      <c r="X97" t="s">
        <v>4141</v>
      </c>
      <c r="Y97" t="s">
        <v>4142</v>
      </c>
      <c r="Z97" t="s">
        <v>4295</v>
      </c>
      <c r="AA97" t="s">
        <v>4296</v>
      </c>
      <c r="AB97" t="s">
        <v>624</v>
      </c>
      <c r="AC97" t="s">
        <v>6</v>
      </c>
      <c r="AD97" t="s">
        <v>50</v>
      </c>
      <c r="AE97" t="s">
        <v>6</v>
      </c>
      <c r="AF97" t="s">
        <v>9</v>
      </c>
      <c r="AG97" t="s">
        <v>9</v>
      </c>
      <c r="AH97" t="s">
        <v>4297</v>
      </c>
      <c r="AI97" t="s">
        <v>4298</v>
      </c>
      <c r="AJ97" t="s">
        <v>4297</v>
      </c>
      <c r="AK97" t="s">
        <v>4298</v>
      </c>
      <c r="AL97" t="s">
        <v>9</v>
      </c>
    </row>
    <row r="98" spans="1:38" ht="11.25" customHeight="1">
      <c r="A98" t="s">
        <v>9</v>
      </c>
      <c r="B98" t="s">
        <v>36</v>
      </c>
      <c r="C98" t="s">
        <v>38</v>
      </c>
      <c r="D98" t="s">
        <v>9</v>
      </c>
      <c r="E98" t="s">
        <v>4299</v>
      </c>
      <c r="F98" t="s">
        <v>1438</v>
      </c>
      <c r="G98" t="s">
        <v>3585</v>
      </c>
      <c r="H98" t="s">
        <v>3587</v>
      </c>
      <c r="I98" t="s">
        <v>3588</v>
      </c>
      <c r="J98" t="s">
        <v>1462</v>
      </c>
      <c r="K98" t="s">
        <v>4342</v>
      </c>
      <c r="L98" t="s">
        <v>4293</v>
      </c>
      <c r="M98" t="s">
        <v>4294</v>
      </c>
      <c r="N98" t="s">
        <v>164</v>
      </c>
      <c r="O98" t="s">
        <v>3585</v>
      </c>
      <c r="P98" t="s">
        <v>3587</v>
      </c>
      <c r="Q98" t="s">
        <v>3588</v>
      </c>
      <c r="R98" t="s">
        <v>1462</v>
      </c>
      <c r="S98" t="s">
        <v>4342</v>
      </c>
      <c r="T98" t="s">
        <v>4138</v>
      </c>
      <c r="U98" t="s">
        <v>4139</v>
      </c>
      <c r="V98" t="s">
        <v>624</v>
      </c>
      <c r="W98" t="s">
        <v>4140</v>
      </c>
      <c r="X98" t="s">
        <v>4141</v>
      </c>
      <c r="Y98" t="s">
        <v>4142</v>
      </c>
      <c r="Z98" t="s">
        <v>4295</v>
      </c>
      <c r="AA98" t="s">
        <v>4296</v>
      </c>
      <c r="AB98" t="s">
        <v>624</v>
      </c>
      <c r="AC98" t="s">
        <v>50</v>
      </c>
      <c r="AD98" t="s">
        <v>50</v>
      </c>
      <c r="AE98" t="s">
        <v>50</v>
      </c>
      <c r="AF98" t="s">
        <v>4297</v>
      </c>
      <c r="AG98" t="s">
        <v>4298</v>
      </c>
      <c r="AH98" t="s">
        <v>4297</v>
      </c>
      <c r="AI98" t="s">
        <v>4298</v>
      </c>
      <c r="AJ98" t="s">
        <v>4297</v>
      </c>
      <c r="AK98" t="s">
        <v>4298</v>
      </c>
      <c r="AL98" t="s">
        <v>4146</v>
      </c>
    </row>
    <row r="99" spans="1:38" ht="11.25" customHeight="1">
      <c r="A99" t="s">
        <v>9</v>
      </c>
      <c r="B99" t="s">
        <v>36</v>
      </c>
      <c r="C99" t="s">
        <v>38</v>
      </c>
      <c r="D99" t="s">
        <v>9</v>
      </c>
      <c r="E99" t="s">
        <v>4300</v>
      </c>
      <c r="F99" t="s">
        <v>1438</v>
      </c>
      <c r="G99" t="s">
        <v>3585</v>
      </c>
      <c r="H99" t="s">
        <v>3587</v>
      </c>
      <c r="I99" t="s">
        <v>3588</v>
      </c>
      <c r="J99" t="s">
        <v>1462</v>
      </c>
      <c r="K99" t="s">
        <v>4342</v>
      </c>
      <c r="L99" t="s">
        <v>1441</v>
      </c>
      <c r="M99" t="s">
        <v>4301</v>
      </c>
      <c r="N99" t="s">
        <v>164</v>
      </c>
      <c r="O99" t="s">
        <v>3585</v>
      </c>
      <c r="P99" t="s">
        <v>3587</v>
      </c>
      <c r="Q99" t="s">
        <v>3588</v>
      </c>
      <c r="R99" t="s">
        <v>1462</v>
      </c>
      <c r="S99" t="s">
        <v>4342</v>
      </c>
      <c r="T99" t="s">
        <v>4138</v>
      </c>
      <c r="U99" t="s">
        <v>4139</v>
      </c>
      <c r="V99" t="s">
        <v>624</v>
      </c>
      <c r="W99" t="s">
        <v>4140</v>
      </c>
      <c r="X99" t="s">
        <v>4141</v>
      </c>
      <c r="Y99" t="s">
        <v>4142</v>
      </c>
      <c r="Z99" t="s">
        <v>4302</v>
      </c>
      <c r="AA99" t="s">
        <v>4303</v>
      </c>
      <c r="AB99" t="s">
        <v>624</v>
      </c>
      <c r="AC99" t="s">
        <v>50</v>
      </c>
      <c r="AD99" t="s">
        <v>50</v>
      </c>
      <c r="AE99" t="s">
        <v>50</v>
      </c>
      <c r="AF99" t="s">
        <v>1222</v>
      </c>
      <c r="AG99" t="s">
        <v>4304</v>
      </c>
      <c r="AH99" t="s">
        <v>1222</v>
      </c>
      <c r="AI99" t="s">
        <v>4304</v>
      </c>
      <c r="AJ99" t="s">
        <v>1222</v>
      </c>
      <c r="AK99" t="s">
        <v>4304</v>
      </c>
      <c r="AL99" t="s">
        <v>4146</v>
      </c>
    </row>
    <row r="100" spans="1:38" ht="11.25" customHeight="1">
      <c r="A100" t="s">
        <v>9</v>
      </c>
      <c r="B100" t="s">
        <v>36</v>
      </c>
      <c r="C100" t="s">
        <v>38</v>
      </c>
      <c r="D100" t="s">
        <v>9</v>
      </c>
      <c r="E100" t="s">
        <v>4305</v>
      </c>
      <c r="F100" t="s">
        <v>4148</v>
      </c>
      <c r="G100" t="s">
        <v>3585</v>
      </c>
      <c r="H100" t="s">
        <v>3587</v>
      </c>
      <c r="I100" t="s">
        <v>3588</v>
      </c>
      <c r="J100" t="s">
        <v>1462</v>
      </c>
      <c r="K100" t="s">
        <v>4342</v>
      </c>
      <c r="L100" t="s">
        <v>1441</v>
      </c>
      <c r="M100" t="s">
        <v>4301</v>
      </c>
      <c r="N100" t="s">
        <v>164</v>
      </c>
      <c r="O100" t="s">
        <v>3585</v>
      </c>
      <c r="P100" t="s">
        <v>3587</v>
      </c>
      <c r="Q100" t="s">
        <v>3588</v>
      </c>
      <c r="R100" t="s">
        <v>1462</v>
      </c>
      <c r="S100" t="s">
        <v>4342</v>
      </c>
      <c r="T100" t="s">
        <v>4138</v>
      </c>
      <c r="U100" t="s">
        <v>4139</v>
      </c>
      <c r="V100" t="s">
        <v>624</v>
      </c>
      <c r="W100" t="s">
        <v>4140</v>
      </c>
      <c r="X100" t="s">
        <v>4141</v>
      </c>
      <c r="Y100" t="s">
        <v>4142</v>
      </c>
      <c r="Z100" t="s">
        <v>4302</v>
      </c>
      <c r="AA100" t="s">
        <v>4303</v>
      </c>
      <c r="AB100" t="s">
        <v>624</v>
      </c>
      <c r="AC100" t="s">
        <v>6</v>
      </c>
      <c r="AD100" t="s">
        <v>50</v>
      </c>
      <c r="AE100" t="s">
        <v>6</v>
      </c>
      <c r="AF100" t="s">
        <v>9</v>
      </c>
      <c r="AG100" t="s">
        <v>9</v>
      </c>
      <c r="AH100" t="s">
        <v>1222</v>
      </c>
      <c r="AI100" t="s">
        <v>4304</v>
      </c>
      <c r="AJ100" t="s">
        <v>1222</v>
      </c>
      <c r="AK100" t="s">
        <v>4304</v>
      </c>
      <c r="AL100" t="s">
        <v>9</v>
      </c>
    </row>
    <row r="101" spans="1:38" ht="11.25" customHeight="1">
      <c r="A101" t="s">
        <v>9</v>
      </c>
      <c r="B101" t="s">
        <v>36</v>
      </c>
      <c r="C101" t="s">
        <v>38</v>
      </c>
      <c r="D101" t="s">
        <v>9</v>
      </c>
      <c r="E101" t="s">
        <v>4306</v>
      </c>
      <c r="F101" t="s">
        <v>4148</v>
      </c>
      <c r="G101" t="s">
        <v>3585</v>
      </c>
      <c r="H101" t="s">
        <v>3587</v>
      </c>
      <c r="I101" t="s">
        <v>3588</v>
      </c>
      <c r="J101" t="s">
        <v>1462</v>
      </c>
      <c r="K101" t="s">
        <v>4342</v>
      </c>
      <c r="L101" t="s">
        <v>4307</v>
      </c>
      <c r="M101" t="s">
        <v>4308</v>
      </c>
      <c r="N101" t="s">
        <v>164</v>
      </c>
      <c r="O101" t="s">
        <v>3585</v>
      </c>
      <c r="P101" t="s">
        <v>3587</v>
      </c>
      <c r="Q101" t="s">
        <v>3588</v>
      </c>
      <c r="R101" t="s">
        <v>1462</v>
      </c>
      <c r="S101" t="s">
        <v>4342</v>
      </c>
      <c r="T101" t="s">
        <v>4138</v>
      </c>
      <c r="U101" t="s">
        <v>4139</v>
      </c>
      <c r="V101" t="s">
        <v>624</v>
      </c>
      <c r="W101" t="s">
        <v>4140</v>
      </c>
      <c r="X101" t="s">
        <v>4141</v>
      </c>
      <c r="Y101" t="s">
        <v>4142</v>
      </c>
      <c r="Z101" t="s">
        <v>4309</v>
      </c>
      <c r="AA101" t="s">
        <v>4296</v>
      </c>
      <c r="AB101" t="s">
        <v>624</v>
      </c>
      <c r="AC101" t="s">
        <v>6</v>
      </c>
      <c r="AD101" t="s">
        <v>50</v>
      </c>
      <c r="AE101" t="s">
        <v>6</v>
      </c>
      <c r="AF101" t="s">
        <v>9</v>
      </c>
      <c r="AG101" t="s">
        <v>9</v>
      </c>
      <c r="AH101" t="s">
        <v>1029</v>
      </c>
      <c r="AI101" t="s">
        <v>4310</v>
      </c>
      <c r="AJ101" t="s">
        <v>1029</v>
      </c>
      <c r="AK101" t="s">
        <v>4310</v>
      </c>
      <c r="AL101" t="s">
        <v>9</v>
      </c>
    </row>
    <row r="102" spans="1:38" ht="11.25" customHeight="1">
      <c r="A102" t="s">
        <v>9</v>
      </c>
      <c r="B102" t="s">
        <v>36</v>
      </c>
      <c r="C102" t="s">
        <v>38</v>
      </c>
      <c r="D102" t="s">
        <v>9</v>
      </c>
      <c r="E102" t="s">
        <v>4311</v>
      </c>
      <c r="F102" t="s">
        <v>1438</v>
      </c>
      <c r="G102" t="s">
        <v>3585</v>
      </c>
      <c r="H102" t="s">
        <v>3587</v>
      </c>
      <c r="I102" t="s">
        <v>3588</v>
      </c>
      <c r="J102" t="s">
        <v>1462</v>
      </c>
      <c r="K102" t="s">
        <v>4342</v>
      </c>
      <c r="L102" t="s">
        <v>4307</v>
      </c>
      <c r="M102" t="s">
        <v>4308</v>
      </c>
      <c r="N102" t="s">
        <v>164</v>
      </c>
      <c r="O102" t="s">
        <v>3585</v>
      </c>
      <c r="P102" t="s">
        <v>3587</v>
      </c>
      <c r="Q102" t="s">
        <v>3588</v>
      </c>
      <c r="R102" t="s">
        <v>1462</v>
      </c>
      <c r="S102" t="s">
        <v>4342</v>
      </c>
      <c r="T102" t="s">
        <v>4138</v>
      </c>
      <c r="U102" t="s">
        <v>4139</v>
      </c>
      <c r="V102" t="s">
        <v>624</v>
      </c>
      <c r="W102" t="s">
        <v>4140</v>
      </c>
      <c r="X102" t="s">
        <v>4141</v>
      </c>
      <c r="Y102" t="s">
        <v>4142</v>
      </c>
      <c r="Z102" t="s">
        <v>4309</v>
      </c>
      <c r="AA102" t="s">
        <v>4296</v>
      </c>
      <c r="AB102" t="s">
        <v>624</v>
      </c>
      <c r="AC102" t="s">
        <v>50</v>
      </c>
      <c r="AD102" t="s">
        <v>50</v>
      </c>
      <c r="AE102" t="s">
        <v>50</v>
      </c>
      <c r="AF102" t="s">
        <v>1029</v>
      </c>
      <c r="AG102" t="s">
        <v>4310</v>
      </c>
      <c r="AH102" t="s">
        <v>1029</v>
      </c>
      <c r="AI102" t="s">
        <v>4310</v>
      </c>
      <c r="AJ102" t="s">
        <v>1029</v>
      </c>
      <c r="AK102" t="s">
        <v>4310</v>
      </c>
      <c r="AL102" t="s">
        <v>4146</v>
      </c>
    </row>
    <row r="103" spans="1:38" ht="11.25" customHeight="1">
      <c r="A103" t="s">
        <v>9</v>
      </c>
      <c r="B103" t="s">
        <v>36</v>
      </c>
      <c r="C103" t="s">
        <v>38</v>
      </c>
      <c r="D103" t="s">
        <v>9</v>
      </c>
      <c r="E103" t="s">
        <v>4202</v>
      </c>
      <c r="F103" t="s">
        <v>1438</v>
      </c>
      <c r="G103" t="s">
        <v>3585</v>
      </c>
      <c r="H103" t="s">
        <v>3587</v>
      </c>
      <c r="I103" t="s">
        <v>3588</v>
      </c>
      <c r="J103" t="s">
        <v>1462</v>
      </c>
      <c r="K103" t="s">
        <v>4342</v>
      </c>
      <c r="L103" t="s">
        <v>4312</v>
      </c>
      <c r="M103" t="s">
        <v>4308</v>
      </c>
      <c r="N103" t="s">
        <v>164</v>
      </c>
      <c r="O103" t="s">
        <v>3585</v>
      </c>
      <c r="P103" t="s">
        <v>3587</v>
      </c>
      <c r="Q103" t="s">
        <v>3588</v>
      </c>
      <c r="R103" t="s">
        <v>1462</v>
      </c>
      <c r="S103" t="s">
        <v>4342</v>
      </c>
      <c r="T103" t="s">
        <v>4165</v>
      </c>
      <c r="U103" t="s">
        <v>4168</v>
      </c>
      <c r="V103" t="s">
        <v>624</v>
      </c>
      <c r="W103" t="s">
        <v>4140</v>
      </c>
      <c r="X103" t="s">
        <v>4167</v>
      </c>
      <c r="Y103" t="s">
        <v>4168</v>
      </c>
      <c r="Z103" t="s">
        <v>4313</v>
      </c>
      <c r="AA103" t="s">
        <v>4314</v>
      </c>
      <c r="AB103" t="s">
        <v>624</v>
      </c>
      <c r="AC103" t="s">
        <v>50</v>
      </c>
      <c r="AD103" t="s">
        <v>50</v>
      </c>
      <c r="AE103" t="s">
        <v>50</v>
      </c>
      <c r="AF103" t="s">
        <v>4315</v>
      </c>
      <c r="AG103" t="s">
        <v>4316</v>
      </c>
      <c r="AH103" t="s">
        <v>4315</v>
      </c>
      <c r="AI103" t="s">
        <v>4316</v>
      </c>
      <c r="AJ103" t="s">
        <v>4315</v>
      </c>
      <c r="AK103" t="s">
        <v>4316</v>
      </c>
      <c r="AL103" t="s">
        <v>4146</v>
      </c>
    </row>
    <row r="104" spans="1:38" ht="11.25" customHeight="1">
      <c r="A104" t="s">
        <v>9</v>
      </c>
      <c r="B104" t="s">
        <v>36</v>
      </c>
      <c r="C104" t="s">
        <v>38</v>
      </c>
      <c r="D104" t="s">
        <v>9</v>
      </c>
      <c r="E104" t="s">
        <v>1467</v>
      </c>
      <c r="F104" t="s">
        <v>1438</v>
      </c>
      <c r="G104" t="s">
        <v>3585</v>
      </c>
      <c r="H104" t="s">
        <v>3587</v>
      </c>
      <c r="I104" t="s">
        <v>3588</v>
      </c>
      <c r="J104" t="s">
        <v>1462</v>
      </c>
      <c r="K104" t="s">
        <v>4342</v>
      </c>
      <c r="L104" t="s">
        <v>1468</v>
      </c>
      <c r="M104" t="s">
        <v>1469</v>
      </c>
      <c r="N104" t="s">
        <v>164</v>
      </c>
      <c r="O104" t="s">
        <v>3585</v>
      </c>
      <c r="P104" t="s">
        <v>3587</v>
      </c>
      <c r="Q104" t="s">
        <v>3588</v>
      </c>
      <c r="R104" t="s">
        <v>1462</v>
      </c>
      <c r="S104" t="s">
        <v>4342</v>
      </c>
      <c r="T104" t="s">
        <v>4138</v>
      </c>
      <c r="U104" t="s">
        <v>4139</v>
      </c>
      <c r="V104" t="s">
        <v>624</v>
      </c>
      <c r="W104" t="s">
        <v>4140</v>
      </c>
      <c r="X104" t="s">
        <v>4317</v>
      </c>
      <c r="Y104" t="s">
        <v>4142</v>
      </c>
      <c r="Z104" t="s">
        <v>1442</v>
      </c>
      <c r="AA104" t="s">
        <v>1332</v>
      </c>
      <c r="AB104" t="s">
        <v>624</v>
      </c>
      <c r="AC104" t="s">
        <v>50</v>
      </c>
      <c r="AD104" t="s">
        <v>50</v>
      </c>
      <c r="AE104" t="s">
        <v>50</v>
      </c>
      <c r="AF104" t="s">
        <v>110</v>
      </c>
      <c r="AG104" t="s">
        <v>4318</v>
      </c>
      <c r="AH104" t="s">
        <v>110</v>
      </c>
      <c r="AI104" t="s">
        <v>4318</v>
      </c>
      <c r="AJ104" t="s">
        <v>110</v>
      </c>
      <c r="AK104" t="s">
        <v>4318</v>
      </c>
      <c r="AL104" t="s">
        <v>4146</v>
      </c>
    </row>
    <row r="105" spans="1:38" ht="11.25" customHeight="1">
      <c r="A105" t="s">
        <v>9</v>
      </c>
      <c r="B105" t="s">
        <v>36</v>
      </c>
      <c r="C105" t="s">
        <v>38</v>
      </c>
      <c r="D105" t="s">
        <v>9</v>
      </c>
      <c r="E105" t="s">
        <v>1467</v>
      </c>
      <c r="F105" t="s">
        <v>4148</v>
      </c>
      <c r="G105" t="s">
        <v>3585</v>
      </c>
      <c r="H105" t="s">
        <v>3587</v>
      </c>
      <c r="I105" t="s">
        <v>3588</v>
      </c>
      <c r="J105" t="s">
        <v>1462</v>
      </c>
      <c r="K105" t="s">
        <v>4342</v>
      </c>
      <c r="L105" t="s">
        <v>1468</v>
      </c>
      <c r="M105" t="s">
        <v>1469</v>
      </c>
      <c r="N105" t="s">
        <v>164</v>
      </c>
      <c r="O105" t="s">
        <v>3585</v>
      </c>
      <c r="P105" t="s">
        <v>3587</v>
      </c>
      <c r="Q105" t="s">
        <v>3588</v>
      </c>
      <c r="R105" t="s">
        <v>1462</v>
      </c>
      <c r="S105" t="s">
        <v>4342</v>
      </c>
      <c r="T105" t="s">
        <v>4138</v>
      </c>
      <c r="U105" t="s">
        <v>4139</v>
      </c>
      <c r="V105" t="s">
        <v>624</v>
      </c>
      <c r="W105" t="s">
        <v>4140</v>
      </c>
      <c r="X105" t="s">
        <v>4317</v>
      </c>
      <c r="Y105" t="s">
        <v>4142</v>
      </c>
      <c r="Z105" t="s">
        <v>1442</v>
      </c>
      <c r="AA105" t="s">
        <v>1332</v>
      </c>
      <c r="AB105" t="s">
        <v>624</v>
      </c>
      <c r="AC105" t="s">
        <v>6</v>
      </c>
      <c r="AD105" t="s">
        <v>50</v>
      </c>
      <c r="AE105" t="s">
        <v>6</v>
      </c>
      <c r="AF105" t="s">
        <v>9</v>
      </c>
      <c r="AG105" t="s">
        <v>9</v>
      </c>
      <c r="AH105" t="s">
        <v>110</v>
      </c>
      <c r="AI105" t="s">
        <v>4318</v>
      </c>
      <c r="AJ105" t="s">
        <v>110</v>
      </c>
      <c r="AK105" t="s">
        <v>4318</v>
      </c>
      <c r="AL105" t="s">
        <v>9</v>
      </c>
    </row>
    <row r="106" spans="1:38" ht="11.25" customHeight="1">
      <c r="A106" t="s">
        <v>9</v>
      </c>
      <c r="B106" t="s">
        <v>36</v>
      </c>
      <c r="C106" t="s">
        <v>38</v>
      </c>
      <c r="D106" t="s">
        <v>9</v>
      </c>
      <c r="E106" t="s">
        <v>1471</v>
      </c>
      <c r="F106" t="s">
        <v>1438</v>
      </c>
      <c r="G106" t="s">
        <v>3585</v>
      </c>
      <c r="H106" t="s">
        <v>3587</v>
      </c>
      <c r="I106" t="s">
        <v>3588</v>
      </c>
      <c r="J106" t="s">
        <v>1462</v>
      </c>
      <c r="K106" t="s">
        <v>4342</v>
      </c>
      <c r="L106" t="s">
        <v>1472</v>
      </c>
      <c r="M106" t="s">
        <v>1442</v>
      </c>
      <c r="N106" t="s">
        <v>164</v>
      </c>
      <c r="O106" t="s">
        <v>3585</v>
      </c>
      <c r="P106" t="s">
        <v>3587</v>
      </c>
      <c r="Q106" t="s">
        <v>3588</v>
      </c>
      <c r="R106" t="s">
        <v>1462</v>
      </c>
      <c r="S106" t="s">
        <v>4342</v>
      </c>
      <c r="T106" t="s">
        <v>4138</v>
      </c>
      <c r="U106" t="s">
        <v>4139</v>
      </c>
      <c r="V106" t="s">
        <v>624</v>
      </c>
      <c r="W106" t="s">
        <v>4140</v>
      </c>
      <c r="X106" t="s">
        <v>4317</v>
      </c>
      <c r="Y106" t="s">
        <v>4142</v>
      </c>
      <c r="Z106" t="s">
        <v>1442</v>
      </c>
      <c r="AA106" t="s">
        <v>4319</v>
      </c>
      <c r="AB106" t="s">
        <v>624</v>
      </c>
      <c r="AC106" t="s">
        <v>50</v>
      </c>
      <c r="AD106" t="s">
        <v>50</v>
      </c>
      <c r="AE106" t="s">
        <v>50</v>
      </c>
      <c r="AF106" t="s">
        <v>1062</v>
      </c>
      <c r="AG106" t="s">
        <v>4320</v>
      </c>
      <c r="AH106" t="s">
        <v>1062</v>
      </c>
      <c r="AI106" t="s">
        <v>4320</v>
      </c>
      <c r="AJ106" t="s">
        <v>1062</v>
      </c>
      <c r="AK106" t="s">
        <v>4320</v>
      </c>
      <c r="AL106" t="s">
        <v>4146</v>
      </c>
    </row>
    <row r="107" spans="1:38" ht="11.25" customHeight="1">
      <c r="A107" t="s">
        <v>9</v>
      </c>
      <c r="B107" t="s">
        <v>36</v>
      </c>
      <c r="C107" t="s">
        <v>38</v>
      </c>
      <c r="D107" t="s">
        <v>9</v>
      </c>
      <c r="E107" t="s">
        <v>1471</v>
      </c>
      <c r="F107" t="s">
        <v>4148</v>
      </c>
      <c r="G107" t="s">
        <v>3585</v>
      </c>
      <c r="H107" t="s">
        <v>3587</v>
      </c>
      <c r="I107" t="s">
        <v>3588</v>
      </c>
      <c r="J107" t="s">
        <v>1462</v>
      </c>
      <c r="K107" t="s">
        <v>4342</v>
      </c>
      <c r="L107" t="s">
        <v>1472</v>
      </c>
      <c r="M107" t="s">
        <v>1442</v>
      </c>
      <c r="N107" t="s">
        <v>164</v>
      </c>
      <c r="O107" t="s">
        <v>3585</v>
      </c>
      <c r="P107" t="s">
        <v>3587</v>
      </c>
      <c r="Q107" t="s">
        <v>3588</v>
      </c>
      <c r="R107" t="s">
        <v>1462</v>
      </c>
      <c r="S107" t="s">
        <v>4342</v>
      </c>
      <c r="T107" t="s">
        <v>4138</v>
      </c>
      <c r="U107" t="s">
        <v>4139</v>
      </c>
      <c r="V107" t="s">
        <v>624</v>
      </c>
      <c r="W107" t="s">
        <v>4140</v>
      </c>
      <c r="X107" t="s">
        <v>4317</v>
      </c>
      <c r="Y107" t="s">
        <v>4142</v>
      </c>
      <c r="Z107" t="s">
        <v>1442</v>
      </c>
      <c r="AA107" t="s">
        <v>4319</v>
      </c>
      <c r="AB107" t="s">
        <v>624</v>
      </c>
      <c r="AC107" t="s">
        <v>6</v>
      </c>
      <c r="AD107" t="s">
        <v>50</v>
      </c>
      <c r="AE107" t="s">
        <v>6</v>
      </c>
      <c r="AF107" t="s">
        <v>9</v>
      </c>
      <c r="AG107" t="s">
        <v>9</v>
      </c>
      <c r="AH107" t="s">
        <v>1062</v>
      </c>
      <c r="AI107" t="s">
        <v>4321</v>
      </c>
      <c r="AJ107" t="s">
        <v>1062</v>
      </c>
      <c r="AK107" t="s">
        <v>4321</v>
      </c>
      <c r="AL107" t="s">
        <v>9</v>
      </c>
    </row>
    <row r="108" spans="1:38" ht="11.25" customHeight="1">
      <c r="A108" t="s">
        <v>9</v>
      </c>
      <c r="B108" t="s">
        <v>36</v>
      </c>
      <c r="C108" t="s">
        <v>38</v>
      </c>
      <c r="D108" t="s">
        <v>9</v>
      </c>
      <c r="E108" t="s">
        <v>1461</v>
      </c>
      <c r="F108" t="s">
        <v>1438</v>
      </c>
      <c r="G108" t="s">
        <v>3585</v>
      </c>
      <c r="H108" t="s">
        <v>3587</v>
      </c>
      <c r="I108" t="s">
        <v>3588</v>
      </c>
      <c r="J108" t="s">
        <v>1462</v>
      </c>
      <c r="K108" t="s">
        <v>4342</v>
      </c>
      <c r="L108" t="s">
        <v>1464</v>
      </c>
      <c r="M108" t="s">
        <v>1465</v>
      </c>
      <c r="N108" t="s">
        <v>164</v>
      </c>
      <c r="O108" t="s">
        <v>3585</v>
      </c>
      <c r="P108" t="s">
        <v>3587</v>
      </c>
      <c r="Q108" t="s">
        <v>3588</v>
      </c>
      <c r="R108" t="s">
        <v>1462</v>
      </c>
      <c r="S108" t="s">
        <v>4342</v>
      </c>
      <c r="T108" t="s">
        <v>4138</v>
      </c>
      <c r="U108" t="s">
        <v>4139</v>
      </c>
      <c r="V108" t="s">
        <v>624</v>
      </c>
      <c r="W108" t="s">
        <v>4140</v>
      </c>
      <c r="X108" t="s">
        <v>4317</v>
      </c>
      <c r="Y108" t="s">
        <v>4142</v>
      </c>
      <c r="Z108" t="s">
        <v>1442</v>
      </c>
      <c r="AA108" t="s">
        <v>4322</v>
      </c>
      <c r="AB108" t="s">
        <v>624</v>
      </c>
      <c r="AC108" t="s">
        <v>50</v>
      </c>
      <c r="AD108" t="s">
        <v>50</v>
      </c>
      <c r="AE108" t="s">
        <v>50</v>
      </c>
      <c r="AF108" t="s">
        <v>110</v>
      </c>
      <c r="AG108" t="s">
        <v>4323</v>
      </c>
      <c r="AH108" t="s">
        <v>110</v>
      </c>
      <c r="AI108" t="s">
        <v>4323</v>
      </c>
      <c r="AJ108" t="s">
        <v>110</v>
      </c>
      <c r="AK108" t="s">
        <v>4323</v>
      </c>
      <c r="AL108" t="s">
        <v>4146</v>
      </c>
    </row>
    <row r="109" spans="1:38" ht="11.25" customHeight="1">
      <c r="A109" t="s">
        <v>9</v>
      </c>
      <c r="B109" t="s">
        <v>36</v>
      </c>
      <c r="C109" t="s">
        <v>38</v>
      </c>
      <c r="D109" t="s">
        <v>9</v>
      </c>
      <c r="E109" t="s">
        <v>4324</v>
      </c>
      <c r="F109" t="s">
        <v>1438</v>
      </c>
      <c r="G109" t="s">
        <v>3585</v>
      </c>
      <c r="H109" t="s">
        <v>3591</v>
      </c>
      <c r="I109" t="s">
        <v>3592</v>
      </c>
      <c r="J109" t="s">
        <v>4325</v>
      </c>
      <c r="K109" t="s">
        <v>4343</v>
      </c>
      <c r="L109" t="s">
        <v>4327</v>
      </c>
      <c r="M109" t="s">
        <v>4328</v>
      </c>
      <c r="N109" t="s">
        <v>164</v>
      </c>
      <c r="O109" t="s">
        <v>3585</v>
      </c>
      <c r="P109" t="s">
        <v>3591</v>
      </c>
      <c r="Q109" t="s">
        <v>3592</v>
      </c>
      <c r="R109" t="s">
        <v>4325</v>
      </c>
      <c r="S109" t="s">
        <v>4343</v>
      </c>
      <c r="T109" t="s">
        <v>4165</v>
      </c>
      <c r="U109" t="s">
        <v>4168</v>
      </c>
      <c r="V109" t="s">
        <v>624</v>
      </c>
      <c r="W109" t="s">
        <v>4140</v>
      </c>
      <c r="X109" t="s">
        <v>4167</v>
      </c>
      <c r="Y109" t="s">
        <v>4168</v>
      </c>
      <c r="Z109" t="s">
        <v>4329</v>
      </c>
      <c r="AA109" t="s">
        <v>4330</v>
      </c>
      <c r="AB109" t="s">
        <v>624</v>
      </c>
      <c r="AC109" t="s">
        <v>50</v>
      </c>
      <c r="AD109" t="s">
        <v>50</v>
      </c>
      <c r="AE109" t="s">
        <v>50</v>
      </c>
      <c r="AF109" t="s">
        <v>4331</v>
      </c>
      <c r="AG109" t="s">
        <v>4332</v>
      </c>
      <c r="AH109" t="s">
        <v>4331</v>
      </c>
      <c r="AI109" t="s">
        <v>4332</v>
      </c>
      <c r="AJ109" t="s">
        <v>4331</v>
      </c>
      <c r="AK109" t="s">
        <v>4332</v>
      </c>
      <c r="AL109" t="s">
        <v>4146</v>
      </c>
    </row>
    <row r="110" spans="1:38" ht="11.25" customHeight="1">
      <c r="A110" t="s">
        <v>9</v>
      </c>
      <c r="B110" t="s">
        <v>36</v>
      </c>
      <c r="C110" t="s">
        <v>38</v>
      </c>
      <c r="D110" t="s">
        <v>9</v>
      </c>
      <c r="E110" t="s">
        <v>1500</v>
      </c>
      <c r="F110" t="s">
        <v>1438</v>
      </c>
      <c r="G110" t="s">
        <v>3585</v>
      </c>
      <c r="H110" t="s">
        <v>3591</v>
      </c>
      <c r="I110" t="s">
        <v>3592</v>
      </c>
      <c r="J110" t="s">
        <v>4325</v>
      </c>
      <c r="K110" t="s">
        <v>4343</v>
      </c>
      <c r="L110" t="s">
        <v>4333</v>
      </c>
      <c r="M110" t="s">
        <v>4334</v>
      </c>
      <c r="N110" t="s">
        <v>164</v>
      </c>
      <c r="O110" t="s">
        <v>3585</v>
      </c>
      <c r="P110" t="s">
        <v>3591</v>
      </c>
      <c r="Q110" t="s">
        <v>3592</v>
      </c>
      <c r="R110" t="s">
        <v>4325</v>
      </c>
      <c r="S110" t="s">
        <v>4343</v>
      </c>
      <c r="T110" t="s">
        <v>4165</v>
      </c>
      <c r="U110" t="s">
        <v>4166</v>
      </c>
      <c r="V110" t="s">
        <v>624</v>
      </c>
      <c r="W110" t="s">
        <v>4140</v>
      </c>
      <c r="X110" t="s">
        <v>4167</v>
      </c>
      <c r="Y110" t="s">
        <v>4168</v>
      </c>
      <c r="Z110" t="s">
        <v>4335</v>
      </c>
      <c r="AA110" t="s">
        <v>4336</v>
      </c>
      <c r="AB110" t="s">
        <v>624</v>
      </c>
      <c r="AC110" t="s">
        <v>50</v>
      </c>
      <c r="AD110" t="s">
        <v>50</v>
      </c>
      <c r="AE110" t="s">
        <v>50</v>
      </c>
      <c r="AF110" t="s">
        <v>4337</v>
      </c>
      <c r="AG110" t="s">
        <v>4338</v>
      </c>
      <c r="AH110" t="s">
        <v>4337</v>
      </c>
      <c r="AI110" t="s">
        <v>4338</v>
      </c>
      <c r="AJ110" t="s">
        <v>4337</v>
      </c>
      <c r="AK110" t="s">
        <v>4338</v>
      </c>
      <c r="AL110" t="s">
        <v>4146</v>
      </c>
    </row>
    <row r="111" spans="1:38" ht="11.25" customHeight="1">
      <c r="A111" t="s">
        <v>9</v>
      </c>
      <c r="B111" t="s">
        <v>36</v>
      </c>
      <c r="C111" t="s">
        <v>38</v>
      </c>
      <c r="D111" t="s">
        <v>9</v>
      </c>
      <c r="E111" t="s">
        <v>4339</v>
      </c>
      <c r="F111" t="s">
        <v>4148</v>
      </c>
      <c r="G111" t="s">
        <v>3585</v>
      </c>
      <c r="H111" t="s">
        <v>3591</v>
      </c>
      <c r="I111" t="s">
        <v>3592</v>
      </c>
      <c r="J111" t="s">
        <v>4325</v>
      </c>
      <c r="K111" t="s">
        <v>4343</v>
      </c>
      <c r="L111" t="s">
        <v>4340</v>
      </c>
      <c r="M111" t="s">
        <v>1442</v>
      </c>
      <c r="N111" t="s">
        <v>164</v>
      </c>
      <c r="O111" t="s">
        <v>3585</v>
      </c>
      <c r="P111" t="s">
        <v>3591</v>
      </c>
      <c r="Q111" t="s">
        <v>3592</v>
      </c>
      <c r="R111" t="s">
        <v>4325</v>
      </c>
      <c r="S111" t="s">
        <v>4343</v>
      </c>
      <c r="T111" t="s">
        <v>4165</v>
      </c>
      <c r="U111" t="s">
        <v>4166</v>
      </c>
      <c r="V111" t="s">
        <v>624</v>
      </c>
      <c r="W111" t="s">
        <v>4140</v>
      </c>
      <c r="X111" t="s">
        <v>4167</v>
      </c>
      <c r="Y111" t="s">
        <v>4168</v>
      </c>
      <c r="Z111" t="s">
        <v>4335</v>
      </c>
      <c r="AA111" t="s">
        <v>4336</v>
      </c>
      <c r="AB111" t="s">
        <v>624</v>
      </c>
      <c r="AC111" t="s">
        <v>6</v>
      </c>
      <c r="AD111" t="s">
        <v>50</v>
      </c>
      <c r="AE111" t="s">
        <v>6</v>
      </c>
      <c r="AF111" t="s">
        <v>9</v>
      </c>
      <c r="AG111" t="s">
        <v>9</v>
      </c>
      <c r="AH111" t="s">
        <v>4337</v>
      </c>
      <c r="AI111" t="s">
        <v>4338</v>
      </c>
      <c r="AJ111" t="s">
        <v>4337</v>
      </c>
      <c r="AK111" t="s">
        <v>4338</v>
      </c>
      <c r="AL111" t="s">
        <v>9</v>
      </c>
    </row>
    <row r="112" spans="1:38" ht="11.25" customHeight="1">
      <c r="A112" t="s">
        <v>9</v>
      </c>
      <c r="B112" t="s">
        <v>36</v>
      </c>
      <c r="C112" t="s">
        <v>38</v>
      </c>
      <c r="D112" t="s">
        <v>9</v>
      </c>
      <c r="E112" t="s">
        <v>4341</v>
      </c>
      <c r="F112" t="s">
        <v>4148</v>
      </c>
      <c r="G112" t="s">
        <v>3585</v>
      </c>
      <c r="H112" t="s">
        <v>3591</v>
      </c>
      <c r="I112" t="s">
        <v>3592</v>
      </c>
      <c r="J112" t="s">
        <v>4325</v>
      </c>
      <c r="K112" t="s">
        <v>4343</v>
      </c>
      <c r="L112" t="s">
        <v>4340</v>
      </c>
      <c r="M112" t="s">
        <v>1442</v>
      </c>
      <c r="N112" t="s">
        <v>164</v>
      </c>
      <c r="O112" t="s">
        <v>3585</v>
      </c>
      <c r="P112" t="s">
        <v>3591</v>
      </c>
      <c r="Q112" t="s">
        <v>3592</v>
      </c>
      <c r="R112" t="s">
        <v>4325</v>
      </c>
      <c r="S112" t="s">
        <v>4343</v>
      </c>
      <c r="T112" t="s">
        <v>4165</v>
      </c>
      <c r="U112" t="s">
        <v>4166</v>
      </c>
      <c r="V112" t="s">
        <v>624</v>
      </c>
      <c r="W112" t="s">
        <v>4140</v>
      </c>
      <c r="X112" t="s">
        <v>4167</v>
      </c>
      <c r="Y112" t="s">
        <v>4168</v>
      </c>
      <c r="Z112" t="s">
        <v>4335</v>
      </c>
      <c r="AA112" t="s">
        <v>4336</v>
      </c>
      <c r="AB112" t="s">
        <v>624</v>
      </c>
      <c r="AC112" t="s">
        <v>6</v>
      </c>
      <c r="AD112" t="s">
        <v>50</v>
      </c>
      <c r="AE112" t="s">
        <v>6</v>
      </c>
      <c r="AF112" t="s">
        <v>9</v>
      </c>
      <c r="AG112" t="s">
        <v>9</v>
      </c>
      <c r="AH112" t="s">
        <v>4337</v>
      </c>
      <c r="AI112" t="s">
        <v>4338</v>
      </c>
      <c r="AJ112" t="s">
        <v>4337</v>
      </c>
      <c r="AK112" t="s">
        <v>4338</v>
      </c>
      <c r="AL112" t="s">
        <v>9</v>
      </c>
    </row>
    <row r="113" spans="1:38" ht="11.25" customHeight="1">
      <c r="A113" t="s">
        <v>9</v>
      </c>
      <c r="B113" t="s">
        <v>36</v>
      </c>
      <c r="C113" t="s">
        <v>38</v>
      </c>
      <c r="D113" t="s">
        <v>9</v>
      </c>
      <c r="E113" t="s">
        <v>4261</v>
      </c>
      <c r="F113" t="s">
        <v>1438</v>
      </c>
      <c r="G113" t="s">
        <v>3608</v>
      </c>
      <c r="H113" t="s">
        <v>3608</v>
      </c>
      <c r="I113" t="s">
        <v>3609</v>
      </c>
      <c r="J113" t="s">
        <v>4344</v>
      </c>
      <c r="K113" t="s">
        <v>4345</v>
      </c>
      <c r="L113" t="s">
        <v>4346</v>
      </c>
      <c r="M113" t="s">
        <v>1442</v>
      </c>
      <c r="N113" t="s">
        <v>164</v>
      </c>
      <c r="O113" t="s">
        <v>3608</v>
      </c>
      <c r="P113" t="s">
        <v>4347</v>
      </c>
      <c r="Q113" t="s">
        <v>3609</v>
      </c>
      <c r="R113" t="s">
        <v>4344</v>
      </c>
      <c r="S113" t="s">
        <v>4345</v>
      </c>
      <c r="T113" t="s">
        <v>4138</v>
      </c>
      <c r="U113" t="s">
        <v>4139</v>
      </c>
      <c r="V113" t="s">
        <v>624</v>
      </c>
      <c r="W113" t="s">
        <v>4140</v>
      </c>
      <c r="X113" t="s">
        <v>4348</v>
      </c>
      <c r="Y113" t="s">
        <v>4142</v>
      </c>
      <c r="Z113" t="s">
        <v>4349</v>
      </c>
      <c r="AA113" t="s">
        <v>4350</v>
      </c>
      <c r="AB113" t="s">
        <v>624</v>
      </c>
      <c r="AC113" t="s">
        <v>50</v>
      </c>
      <c r="AD113" t="s">
        <v>50</v>
      </c>
      <c r="AE113" t="s">
        <v>50</v>
      </c>
      <c r="AF113" t="s">
        <v>4226</v>
      </c>
      <c r="AG113" t="s">
        <v>4351</v>
      </c>
      <c r="AH113" t="s">
        <v>4226</v>
      </c>
      <c r="AI113" t="s">
        <v>4351</v>
      </c>
      <c r="AJ113" t="s">
        <v>4226</v>
      </c>
      <c r="AK113" t="s">
        <v>4351</v>
      </c>
      <c r="AL113" t="s">
        <v>4146</v>
      </c>
    </row>
    <row r="114" spans="1:38" ht="11.25" customHeight="1">
      <c r="A114" t="s">
        <v>9</v>
      </c>
      <c r="B114" t="s">
        <v>36</v>
      </c>
      <c r="C114" t="s">
        <v>38</v>
      </c>
      <c r="D114" t="s">
        <v>9</v>
      </c>
      <c r="E114" t="s">
        <v>4324</v>
      </c>
      <c r="F114" t="s">
        <v>1438</v>
      </c>
      <c r="G114" t="s">
        <v>95</v>
      </c>
      <c r="H114" t="s">
        <v>95</v>
      </c>
      <c r="I114" t="s">
        <v>96</v>
      </c>
      <c r="J114" t="s">
        <v>4352</v>
      </c>
      <c r="K114" t="s">
        <v>4353</v>
      </c>
      <c r="L114" t="s">
        <v>4354</v>
      </c>
      <c r="M114" t="s">
        <v>2087</v>
      </c>
      <c r="N114" t="s">
        <v>164</v>
      </c>
      <c r="O114" t="s">
        <v>95</v>
      </c>
      <c r="P114" t="s">
        <v>95</v>
      </c>
      <c r="Q114" t="s">
        <v>96</v>
      </c>
      <c r="R114" t="s">
        <v>4352</v>
      </c>
      <c r="S114" t="s">
        <v>4353</v>
      </c>
      <c r="T114" t="s">
        <v>4165</v>
      </c>
      <c r="U114" t="s">
        <v>4168</v>
      </c>
      <c r="V114" t="s">
        <v>624</v>
      </c>
      <c r="W114" t="s">
        <v>4140</v>
      </c>
      <c r="X114" t="s">
        <v>4167</v>
      </c>
      <c r="Y114" t="s">
        <v>4168</v>
      </c>
      <c r="Z114" t="s">
        <v>164</v>
      </c>
      <c r="AA114" t="s">
        <v>4355</v>
      </c>
      <c r="AB114" t="s">
        <v>624</v>
      </c>
      <c r="AC114" t="s">
        <v>50</v>
      </c>
      <c r="AD114" t="s">
        <v>50</v>
      </c>
      <c r="AE114" t="s">
        <v>50</v>
      </c>
      <c r="AF114" t="s">
        <v>4356</v>
      </c>
      <c r="AG114" t="s">
        <v>4357</v>
      </c>
      <c r="AH114" t="s">
        <v>4356</v>
      </c>
      <c r="AI114" t="s">
        <v>4357</v>
      </c>
      <c r="AJ114" t="s">
        <v>4356</v>
      </c>
      <c r="AK114" t="s">
        <v>4357</v>
      </c>
      <c r="AL114" t="s">
        <v>4358</v>
      </c>
    </row>
    <row r="115" spans="1:38" ht="11.25" customHeight="1">
      <c r="A115" t="s">
        <v>9</v>
      </c>
      <c r="B115" t="s">
        <v>36</v>
      </c>
      <c r="C115" t="s">
        <v>38</v>
      </c>
      <c r="D115" t="s">
        <v>9</v>
      </c>
      <c r="E115" t="s">
        <v>1507</v>
      </c>
      <c r="F115" t="s">
        <v>1438</v>
      </c>
      <c r="G115" t="s">
        <v>95</v>
      </c>
      <c r="H115" t="s">
        <v>95</v>
      </c>
      <c r="I115" t="s">
        <v>96</v>
      </c>
      <c r="J115" t="s">
        <v>4352</v>
      </c>
      <c r="K115" t="s">
        <v>4353</v>
      </c>
      <c r="L115" t="s">
        <v>4359</v>
      </c>
      <c r="M115" t="s">
        <v>1442</v>
      </c>
      <c r="N115" t="s">
        <v>164</v>
      </c>
      <c r="O115" t="s">
        <v>95</v>
      </c>
      <c r="P115" t="s">
        <v>95</v>
      </c>
      <c r="Q115" t="s">
        <v>96</v>
      </c>
      <c r="R115" t="s">
        <v>4352</v>
      </c>
      <c r="S115" t="s">
        <v>4353</v>
      </c>
      <c r="T115" t="s">
        <v>4138</v>
      </c>
      <c r="U115" t="s">
        <v>4139</v>
      </c>
      <c r="V115" t="s">
        <v>624</v>
      </c>
      <c r="W115" t="s">
        <v>4140</v>
      </c>
      <c r="X115" t="s">
        <v>4167</v>
      </c>
      <c r="Y115" t="s">
        <v>4142</v>
      </c>
      <c r="Z115" t="s">
        <v>1442</v>
      </c>
      <c r="AA115" t="s">
        <v>4355</v>
      </c>
      <c r="AB115" t="s">
        <v>624</v>
      </c>
      <c r="AC115" t="s">
        <v>50</v>
      </c>
      <c r="AD115" t="s">
        <v>50</v>
      </c>
      <c r="AE115" t="s">
        <v>50</v>
      </c>
      <c r="AF115" t="s">
        <v>1554</v>
      </c>
      <c r="AG115" t="s">
        <v>4360</v>
      </c>
      <c r="AH115" t="s">
        <v>1554</v>
      </c>
      <c r="AI115" t="s">
        <v>4360</v>
      </c>
      <c r="AJ115" t="s">
        <v>1554</v>
      </c>
      <c r="AK115" t="s">
        <v>4360</v>
      </c>
      <c r="AL115" t="s">
        <v>4146</v>
      </c>
    </row>
    <row r="116" spans="1:38" ht="11.25" customHeight="1">
      <c r="A116" t="s">
        <v>9</v>
      </c>
      <c r="B116" t="s">
        <v>36</v>
      </c>
      <c r="C116" t="s">
        <v>38</v>
      </c>
      <c r="D116" t="s">
        <v>9</v>
      </c>
      <c r="E116" t="s">
        <v>1456</v>
      </c>
      <c r="F116" t="s">
        <v>1438</v>
      </c>
      <c r="G116" t="s">
        <v>95</v>
      </c>
      <c r="H116" t="s">
        <v>95</v>
      </c>
      <c r="I116" t="s">
        <v>96</v>
      </c>
      <c r="J116" t="s">
        <v>4352</v>
      </c>
      <c r="K116" t="s">
        <v>4353</v>
      </c>
      <c r="L116" t="s">
        <v>4361</v>
      </c>
      <c r="M116" t="s">
        <v>1442</v>
      </c>
      <c r="N116" t="s">
        <v>164</v>
      </c>
      <c r="O116" t="s">
        <v>95</v>
      </c>
      <c r="P116" t="s">
        <v>95</v>
      </c>
      <c r="Q116" t="s">
        <v>96</v>
      </c>
      <c r="R116" t="s">
        <v>4352</v>
      </c>
      <c r="S116" t="s">
        <v>4353</v>
      </c>
      <c r="T116" t="s">
        <v>4165</v>
      </c>
      <c r="U116" t="s">
        <v>4168</v>
      </c>
      <c r="V116" t="s">
        <v>624</v>
      </c>
      <c r="W116" t="s">
        <v>4140</v>
      </c>
      <c r="X116" t="s">
        <v>4167</v>
      </c>
      <c r="Y116" t="s">
        <v>4168</v>
      </c>
      <c r="Z116" t="s">
        <v>89</v>
      </c>
      <c r="AA116" t="s">
        <v>4355</v>
      </c>
      <c r="AB116" t="s">
        <v>624</v>
      </c>
      <c r="AC116" t="s">
        <v>50</v>
      </c>
      <c r="AD116" t="s">
        <v>50</v>
      </c>
      <c r="AE116" t="s">
        <v>50</v>
      </c>
      <c r="AF116" t="s">
        <v>89</v>
      </c>
      <c r="AG116" t="s">
        <v>4362</v>
      </c>
      <c r="AH116" t="s">
        <v>89</v>
      </c>
      <c r="AI116" t="s">
        <v>4362</v>
      </c>
      <c r="AJ116" t="s">
        <v>89</v>
      </c>
      <c r="AK116" t="s">
        <v>4362</v>
      </c>
      <c r="AL116" t="s">
        <v>4146</v>
      </c>
    </row>
    <row r="117" spans="1:38" ht="11.25" customHeight="1">
      <c r="A117" t="s">
        <v>9</v>
      </c>
      <c r="B117" t="s">
        <v>36</v>
      </c>
      <c r="C117" t="s">
        <v>38</v>
      </c>
      <c r="D117" t="s">
        <v>9</v>
      </c>
      <c r="E117" t="s">
        <v>1500</v>
      </c>
      <c r="F117" t="s">
        <v>1438</v>
      </c>
      <c r="G117" t="s">
        <v>95</v>
      </c>
      <c r="H117" t="s">
        <v>95</v>
      </c>
      <c r="I117" t="s">
        <v>96</v>
      </c>
      <c r="J117" t="s">
        <v>4352</v>
      </c>
      <c r="K117" t="s">
        <v>4353</v>
      </c>
      <c r="L117" t="s">
        <v>4363</v>
      </c>
      <c r="M117" t="s">
        <v>1442</v>
      </c>
      <c r="N117" t="s">
        <v>164</v>
      </c>
      <c r="O117" t="s">
        <v>95</v>
      </c>
      <c r="P117" t="s">
        <v>95</v>
      </c>
      <c r="Q117" t="s">
        <v>96</v>
      </c>
      <c r="R117" t="s">
        <v>4352</v>
      </c>
      <c r="S117" t="s">
        <v>4353</v>
      </c>
      <c r="T117" t="s">
        <v>4165</v>
      </c>
      <c r="U117" t="s">
        <v>4168</v>
      </c>
      <c r="V117" t="s">
        <v>624</v>
      </c>
      <c r="W117" t="s">
        <v>4140</v>
      </c>
      <c r="X117" t="s">
        <v>4167</v>
      </c>
      <c r="Y117" t="s">
        <v>4168</v>
      </c>
      <c r="Z117" t="s">
        <v>89</v>
      </c>
      <c r="AA117" t="s">
        <v>4355</v>
      </c>
      <c r="AB117" t="s">
        <v>624</v>
      </c>
      <c r="AC117" t="s">
        <v>50</v>
      </c>
      <c r="AD117" t="s">
        <v>50</v>
      </c>
      <c r="AE117" t="s">
        <v>50</v>
      </c>
      <c r="AF117" t="s">
        <v>78</v>
      </c>
      <c r="AG117" t="s">
        <v>4364</v>
      </c>
      <c r="AH117" t="s">
        <v>78</v>
      </c>
      <c r="AI117" t="s">
        <v>4364</v>
      </c>
      <c r="AJ117" t="s">
        <v>78</v>
      </c>
      <c r="AK117" t="s">
        <v>4364</v>
      </c>
      <c r="AL117" t="s">
        <v>4146</v>
      </c>
    </row>
    <row r="118" spans="1:38" ht="11.25" customHeight="1">
      <c r="A118" t="s">
        <v>9</v>
      </c>
      <c r="B118" t="s">
        <v>36</v>
      </c>
      <c r="C118" t="s">
        <v>38</v>
      </c>
      <c r="D118" t="s">
        <v>9</v>
      </c>
      <c r="E118" t="s">
        <v>1471</v>
      </c>
      <c r="F118" t="s">
        <v>1457</v>
      </c>
      <c r="G118" t="s">
        <v>95</v>
      </c>
      <c r="H118" t="s">
        <v>95</v>
      </c>
      <c r="I118" t="s">
        <v>96</v>
      </c>
      <c r="J118" t="s">
        <v>4352</v>
      </c>
      <c r="K118" t="s">
        <v>4353</v>
      </c>
      <c r="L118" t="s">
        <v>4365</v>
      </c>
      <c r="M118" t="s">
        <v>126</v>
      </c>
      <c r="N118" t="s">
        <v>164</v>
      </c>
      <c r="O118" t="s">
        <v>95</v>
      </c>
      <c r="P118" t="s">
        <v>95</v>
      </c>
      <c r="Q118" t="s">
        <v>96</v>
      </c>
      <c r="R118" t="s">
        <v>4352</v>
      </c>
      <c r="S118" t="s">
        <v>4353</v>
      </c>
      <c r="T118" t="s">
        <v>4165</v>
      </c>
      <c r="U118" t="s">
        <v>4168</v>
      </c>
      <c r="V118" t="s">
        <v>624</v>
      </c>
      <c r="W118" t="s">
        <v>4140</v>
      </c>
      <c r="X118" t="s">
        <v>4167</v>
      </c>
      <c r="Y118" t="s">
        <v>4168</v>
      </c>
      <c r="Z118" t="s">
        <v>164</v>
      </c>
      <c r="AA118" t="s">
        <v>4355</v>
      </c>
      <c r="AB118" t="s">
        <v>624</v>
      </c>
      <c r="AC118" t="s">
        <v>50</v>
      </c>
      <c r="AD118" t="s">
        <v>6</v>
      </c>
      <c r="AE118" t="s">
        <v>6</v>
      </c>
      <c r="AF118" t="s">
        <v>4362</v>
      </c>
      <c r="AG118" t="s">
        <v>4226</v>
      </c>
      <c r="AH118" t="s">
        <v>9</v>
      </c>
      <c r="AI118" t="s">
        <v>9</v>
      </c>
      <c r="AJ118" t="s">
        <v>9</v>
      </c>
      <c r="AK118" t="s">
        <v>9</v>
      </c>
      <c r="AL118" t="s">
        <v>4358</v>
      </c>
    </row>
    <row r="119" spans="1:38" ht="11.25" customHeight="1">
      <c r="A119" t="s">
        <v>9</v>
      </c>
      <c r="B119" t="s">
        <v>36</v>
      </c>
      <c r="C119" t="s">
        <v>38</v>
      </c>
      <c r="D119" t="s">
        <v>9</v>
      </c>
      <c r="E119" t="s">
        <v>1461</v>
      </c>
      <c r="F119" t="s">
        <v>1438</v>
      </c>
      <c r="G119" t="s">
        <v>95</v>
      </c>
      <c r="H119" t="s">
        <v>95</v>
      </c>
      <c r="I119" t="s">
        <v>96</v>
      </c>
      <c r="J119" t="s">
        <v>4352</v>
      </c>
      <c r="K119" t="s">
        <v>4353</v>
      </c>
      <c r="L119" t="s">
        <v>4354</v>
      </c>
      <c r="M119" t="s">
        <v>91</v>
      </c>
      <c r="N119" t="s">
        <v>164</v>
      </c>
      <c r="O119" t="s">
        <v>95</v>
      </c>
      <c r="P119" t="s">
        <v>95</v>
      </c>
      <c r="Q119" t="s">
        <v>96</v>
      </c>
      <c r="R119" t="s">
        <v>4352</v>
      </c>
      <c r="S119" t="s">
        <v>4353</v>
      </c>
      <c r="T119" t="s">
        <v>4165</v>
      </c>
      <c r="U119" t="s">
        <v>4168</v>
      </c>
      <c r="V119" t="s">
        <v>624</v>
      </c>
      <c r="W119" t="s">
        <v>4140</v>
      </c>
      <c r="X119" t="s">
        <v>4167</v>
      </c>
      <c r="Y119" t="s">
        <v>4168</v>
      </c>
      <c r="Z119" t="s">
        <v>164</v>
      </c>
      <c r="AA119" t="s">
        <v>4355</v>
      </c>
      <c r="AB119" t="s">
        <v>624</v>
      </c>
      <c r="AC119" t="s">
        <v>50</v>
      </c>
      <c r="AD119" t="s">
        <v>50</v>
      </c>
      <c r="AE119" t="s">
        <v>50</v>
      </c>
      <c r="AF119" t="s">
        <v>4366</v>
      </c>
      <c r="AG119" t="s">
        <v>4367</v>
      </c>
      <c r="AH119" t="s">
        <v>4366</v>
      </c>
      <c r="AI119" t="s">
        <v>4367</v>
      </c>
      <c r="AJ119" t="s">
        <v>4366</v>
      </c>
      <c r="AK119" t="s">
        <v>4367</v>
      </c>
      <c r="AL119" t="s">
        <v>4146</v>
      </c>
    </row>
    <row r="120" spans="1:38" ht="11.25" customHeight="1">
      <c r="A120" t="s">
        <v>9</v>
      </c>
      <c r="B120" t="s">
        <v>36</v>
      </c>
      <c r="C120" t="s">
        <v>38</v>
      </c>
      <c r="D120" t="s">
        <v>9</v>
      </c>
      <c r="E120" t="s">
        <v>4261</v>
      </c>
      <c r="F120" t="s">
        <v>1438</v>
      </c>
      <c r="G120" t="s">
        <v>95</v>
      </c>
      <c r="H120" t="s">
        <v>95</v>
      </c>
      <c r="I120" t="s">
        <v>96</v>
      </c>
      <c r="J120" t="s">
        <v>4352</v>
      </c>
      <c r="K120" t="s">
        <v>4353</v>
      </c>
      <c r="L120" t="s">
        <v>4368</v>
      </c>
      <c r="M120" t="s">
        <v>1442</v>
      </c>
      <c r="N120" t="s">
        <v>164</v>
      </c>
      <c r="O120" t="s">
        <v>95</v>
      </c>
      <c r="P120" t="s">
        <v>95</v>
      </c>
      <c r="Q120" t="s">
        <v>96</v>
      </c>
      <c r="R120" t="s">
        <v>4352</v>
      </c>
      <c r="S120" t="s">
        <v>4353</v>
      </c>
      <c r="T120" t="s">
        <v>4165</v>
      </c>
      <c r="U120" t="s">
        <v>4168</v>
      </c>
      <c r="V120" t="s">
        <v>624</v>
      </c>
      <c r="W120" t="s">
        <v>4140</v>
      </c>
      <c r="X120" t="s">
        <v>4167</v>
      </c>
      <c r="Y120" t="s">
        <v>4168</v>
      </c>
      <c r="Z120" t="s">
        <v>89</v>
      </c>
      <c r="AA120" t="s">
        <v>4355</v>
      </c>
      <c r="AB120" t="s">
        <v>624</v>
      </c>
      <c r="AC120" t="s">
        <v>50</v>
      </c>
      <c r="AD120" t="s">
        <v>50</v>
      </c>
      <c r="AE120" t="s">
        <v>50</v>
      </c>
      <c r="AF120" t="s">
        <v>4369</v>
      </c>
      <c r="AG120" t="s">
        <v>4370</v>
      </c>
      <c r="AH120" t="s">
        <v>4369</v>
      </c>
      <c r="AI120" t="s">
        <v>4370</v>
      </c>
      <c r="AJ120" t="s">
        <v>4369</v>
      </c>
      <c r="AK120" t="s">
        <v>4370</v>
      </c>
      <c r="AL120" t="s">
        <v>4146</v>
      </c>
    </row>
    <row r="121" spans="1:38" ht="11.25" customHeight="1">
      <c r="A121" t="s">
        <v>9</v>
      </c>
      <c r="B121" t="s">
        <v>36</v>
      </c>
      <c r="C121" t="s">
        <v>38</v>
      </c>
      <c r="D121" t="s">
        <v>9</v>
      </c>
      <c r="E121" t="s">
        <v>1437</v>
      </c>
      <c r="F121" t="s">
        <v>1438</v>
      </c>
      <c r="G121" t="s">
        <v>95</v>
      </c>
      <c r="H121" t="s">
        <v>95</v>
      </c>
      <c r="I121" t="s">
        <v>96</v>
      </c>
      <c r="J121" t="s">
        <v>4371</v>
      </c>
      <c r="K121" t="s">
        <v>4372</v>
      </c>
      <c r="L121" t="s">
        <v>3635</v>
      </c>
      <c r="M121" t="s">
        <v>1442</v>
      </c>
      <c r="N121" t="s">
        <v>164</v>
      </c>
      <c r="O121" t="s">
        <v>95</v>
      </c>
      <c r="P121" t="s">
        <v>95</v>
      </c>
      <c r="Q121" t="s">
        <v>96</v>
      </c>
      <c r="R121" t="s">
        <v>4371</v>
      </c>
      <c r="S121" t="s">
        <v>4372</v>
      </c>
      <c r="T121" t="s">
        <v>4138</v>
      </c>
      <c r="U121" t="s">
        <v>4139</v>
      </c>
      <c r="V121" t="s">
        <v>624</v>
      </c>
      <c r="W121" t="s">
        <v>4140</v>
      </c>
      <c r="X121" t="s">
        <v>4317</v>
      </c>
      <c r="Y121" t="s">
        <v>4142</v>
      </c>
      <c r="Z121" t="s">
        <v>4373</v>
      </c>
      <c r="AA121" t="s">
        <v>4374</v>
      </c>
      <c r="AB121" t="s">
        <v>624</v>
      </c>
      <c r="AC121" t="s">
        <v>50</v>
      </c>
      <c r="AD121" t="s">
        <v>50</v>
      </c>
      <c r="AE121" t="s">
        <v>50</v>
      </c>
      <c r="AF121" t="s">
        <v>4375</v>
      </c>
      <c r="AG121" t="s">
        <v>4376</v>
      </c>
      <c r="AH121" t="s">
        <v>4375</v>
      </c>
      <c r="AI121" t="s">
        <v>4376</v>
      </c>
      <c r="AJ121" t="s">
        <v>4375</v>
      </c>
      <c r="AK121" t="s">
        <v>4376</v>
      </c>
      <c r="AL121" t="s">
        <v>4146</v>
      </c>
    </row>
    <row r="122" spans="1:38" ht="11.25" customHeight="1">
      <c r="A122" t="s">
        <v>9</v>
      </c>
      <c r="B122" t="s">
        <v>36</v>
      </c>
      <c r="C122" t="s">
        <v>38</v>
      </c>
      <c r="D122" t="s">
        <v>9</v>
      </c>
      <c r="E122" t="s">
        <v>1437</v>
      </c>
      <c r="F122" t="s">
        <v>4148</v>
      </c>
      <c r="G122" t="s">
        <v>95</v>
      </c>
      <c r="H122" t="s">
        <v>95</v>
      </c>
      <c r="I122" t="s">
        <v>96</v>
      </c>
      <c r="J122" t="s">
        <v>4371</v>
      </c>
      <c r="K122" t="s">
        <v>4372</v>
      </c>
      <c r="L122" t="s">
        <v>3635</v>
      </c>
      <c r="M122" t="s">
        <v>1442</v>
      </c>
      <c r="N122" t="s">
        <v>164</v>
      </c>
      <c r="O122" t="s">
        <v>95</v>
      </c>
      <c r="P122" t="s">
        <v>95</v>
      </c>
      <c r="Q122" t="s">
        <v>96</v>
      </c>
      <c r="R122" t="s">
        <v>4371</v>
      </c>
      <c r="S122" t="s">
        <v>4372</v>
      </c>
      <c r="T122" t="s">
        <v>4138</v>
      </c>
      <c r="U122" t="s">
        <v>4139</v>
      </c>
      <c r="V122" t="s">
        <v>624</v>
      </c>
      <c r="W122" t="s">
        <v>4140</v>
      </c>
      <c r="X122" t="s">
        <v>4317</v>
      </c>
      <c r="Y122" t="s">
        <v>4142</v>
      </c>
      <c r="Z122" t="s">
        <v>4373</v>
      </c>
      <c r="AA122" t="s">
        <v>4374</v>
      </c>
      <c r="AB122" t="s">
        <v>624</v>
      </c>
      <c r="AC122" t="s">
        <v>6</v>
      </c>
      <c r="AD122" t="s">
        <v>50</v>
      </c>
      <c r="AE122" t="s">
        <v>6</v>
      </c>
      <c r="AF122" t="s">
        <v>9</v>
      </c>
      <c r="AG122" t="s">
        <v>9</v>
      </c>
      <c r="AH122" t="s">
        <v>4375</v>
      </c>
      <c r="AI122" t="s">
        <v>4376</v>
      </c>
      <c r="AJ122" t="s">
        <v>4375</v>
      </c>
      <c r="AK122" t="s">
        <v>4376</v>
      </c>
      <c r="AL122" t="s">
        <v>9</v>
      </c>
    </row>
    <row r="123" spans="1:38" ht="11.25" customHeight="1">
      <c r="A123" t="s">
        <v>9</v>
      </c>
      <c r="B123" t="s">
        <v>36</v>
      </c>
      <c r="C123" t="s">
        <v>38</v>
      </c>
      <c r="D123" t="s">
        <v>9</v>
      </c>
      <c r="E123" t="s">
        <v>4202</v>
      </c>
      <c r="F123" t="s">
        <v>1438</v>
      </c>
      <c r="G123" t="s">
        <v>95</v>
      </c>
      <c r="H123" t="s">
        <v>95</v>
      </c>
      <c r="I123" t="s">
        <v>96</v>
      </c>
      <c r="J123" t="s">
        <v>4377</v>
      </c>
      <c r="K123" t="s">
        <v>4378</v>
      </c>
      <c r="L123" t="s">
        <v>1442</v>
      </c>
      <c r="M123" t="s">
        <v>1442</v>
      </c>
      <c r="N123" t="s">
        <v>164</v>
      </c>
      <c r="O123" t="s">
        <v>95</v>
      </c>
      <c r="P123" t="s">
        <v>95</v>
      </c>
      <c r="Q123" t="s">
        <v>96</v>
      </c>
      <c r="R123" t="s">
        <v>4377</v>
      </c>
      <c r="S123" t="s">
        <v>4378</v>
      </c>
      <c r="T123" t="s">
        <v>4165</v>
      </c>
      <c r="U123" t="s">
        <v>4168</v>
      </c>
      <c r="V123" t="s">
        <v>624</v>
      </c>
      <c r="W123" t="s">
        <v>4140</v>
      </c>
      <c r="X123" t="s">
        <v>4167</v>
      </c>
      <c r="Y123" t="s">
        <v>4168</v>
      </c>
      <c r="Z123" t="s">
        <v>89</v>
      </c>
      <c r="AA123" t="s">
        <v>4355</v>
      </c>
      <c r="AB123" t="s">
        <v>624</v>
      </c>
      <c r="AC123" t="s">
        <v>50</v>
      </c>
      <c r="AD123" t="s">
        <v>50</v>
      </c>
      <c r="AE123" t="s">
        <v>50</v>
      </c>
      <c r="AF123" t="s">
        <v>89</v>
      </c>
      <c r="AG123" t="s">
        <v>4379</v>
      </c>
      <c r="AH123" t="s">
        <v>89</v>
      </c>
      <c r="AI123" t="s">
        <v>4379</v>
      </c>
      <c r="AJ123" t="s">
        <v>89</v>
      </c>
      <c r="AK123" t="s">
        <v>4379</v>
      </c>
      <c r="AL123" t="s">
        <v>4146</v>
      </c>
    </row>
    <row r="124" spans="1:38" ht="11.25" customHeight="1">
      <c r="A124" t="s">
        <v>9</v>
      </c>
      <c r="B124" t="s">
        <v>36</v>
      </c>
      <c r="C124" t="s">
        <v>38</v>
      </c>
      <c r="D124" t="s">
        <v>9</v>
      </c>
      <c r="E124" t="s">
        <v>4240</v>
      </c>
      <c r="F124" t="s">
        <v>1438</v>
      </c>
      <c r="G124" t="s">
        <v>95</v>
      </c>
      <c r="H124" t="s">
        <v>95</v>
      </c>
      <c r="I124" t="s">
        <v>96</v>
      </c>
      <c r="J124" t="s">
        <v>4380</v>
      </c>
      <c r="K124" t="s">
        <v>4381</v>
      </c>
      <c r="L124" t="s">
        <v>1442</v>
      </c>
      <c r="M124" t="s">
        <v>1442</v>
      </c>
      <c r="N124" t="s">
        <v>164</v>
      </c>
      <c r="O124" t="s">
        <v>95</v>
      </c>
      <c r="P124" t="s">
        <v>95</v>
      </c>
      <c r="Q124" t="s">
        <v>96</v>
      </c>
      <c r="R124" t="s">
        <v>4380</v>
      </c>
      <c r="S124" t="s">
        <v>4381</v>
      </c>
      <c r="T124" t="s">
        <v>4165</v>
      </c>
      <c r="U124" t="s">
        <v>4168</v>
      </c>
      <c r="V124" t="s">
        <v>624</v>
      </c>
      <c r="W124" t="s">
        <v>4140</v>
      </c>
      <c r="X124" t="s">
        <v>4167</v>
      </c>
      <c r="Y124" t="s">
        <v>4168</v>
      </c>
      <c r="Z124" t="s">
        <v>89</v>
      </c>
      <c r="AA124" t="s">
        <v>4355</v>
      </c>
      <c r="AB124" t="s">
        <v>624</v>
      </c>
      <c r="AC124" t="s">
        <v>50</v>
      </c>
      <c r="AD124" t="s">
        <v>50</v>
      </c>
      <c r="AE124" t="s">
        <v>50</v>
      </c>
      <c r="AF124" t="s">
        <v>4226</v>
      </c>
      <c r="AG124" t="s">
        <v>4382</v>
      </c>
      <c r="AH124" t="s">
        <v>4226</v>
      </c>
      <c r="AI124" t="s">
        <v>4382</v>
      </c>
      <c r="AJ124" t="s">
        <v>4226</v>
      </c>
      <c r="AK124" t="s">
        <v>4382</v>
      </c>
      <c r="AL124" t="s">
        <v>4146</v>
      </c>
    </row>
    <row r="125" spans="1:38" ht="11.25" customHeight="1">
      <c r="A125" t="s">
        <v>9</v>
      </c>
      <c r="B125" t="s">
        <v>36</v>
      </c>
      <c r="C125" t="s">
        <v>38</v>
      </c>
      <c r="D125" t="s">
        <v>9</v>
      </c>
      <c r="E125" t="s">
        <v>1449</v>
      </c>
      <c r="F125" t="s">
        <v>1438</v>
      </c>
      <c r="G125" t="s">
        <v>95</v>
      </c>
      <c r="H125" t="s">
        <v>95</v>
      </c>
      <c r="I125" t="s">
        <v>96</v>
      </c>
      <c r="J125" t="s">
        <v>4383</v>
      </c>
      <c r="K125" t="s">
        <v>4384</v>
      </c>
      <c r="L125" t="s">
        <v>1442</v>
      </c>
      <c r="M125" t="s">
        <v>1442</v>
      </c>
      <c r="N125" t="s">
        <v>164</v>
      </c>
      <c r="O125" t="s">
        <v>95</v>
      </c>
      <c r="P125" t="s">
        <v>95</v>
      </c>
      <c r="Q125" t="s">
        <v>96</v>
      </c>
      <c r="R125" t="s">
        <v>4383</v>
      </c>
      <c r="S125" t="s">
        <v>4384</v>
      </c>
      <c r="T125" t="s">
        <v>4138</v>
      </c>
      <c r="U125" t="s">
        <v>4139</v>
      </c>
      <c r="V125" t="s">
        <v>624</v>
      </c>
      <c r="W125" t="s">
        <v>4140</v>
      </c>
      <c r="X125" t="s">
        <v>4317</v>
      </c>
      <c r="Y125" t="s">
        <v>4142</v>
      </c>
      <c r="Z125" t="s">
        <v>4385</v>
      </c>
      <c r="AA125" t="s">
        <v>4386</v>
      </c>
      <c r="AB125" t="s">
        <v>624</v>
      </c>
      <c r="AC125" t="s">
        <v>50</v>
      </c>
      <c r="AD125" t="s">
        <v>50</v>
      </c>
      <c r="AE125" t="s">
        <v>50</v>
      </c>
      <c r="AF125" t="s">
        <v>4387</v>
      </c>
      <c r="AG125" t="s">
        <v>4388</v>
      </c>
      <c r="AH125" t="s">
        <v>4387</v>
      </c>
      <c r="AI125" t="s">
        <v>4388</v>
      </c>
      <c r="AJ125" t="s">
        <v>4387</v>
      </c>
      <c r="AK125" t="s">
        <v>4388</v>
      </c>
      <c r="AL125" t="s">
        <v>4146</v>
      </c>
    </row>
    <row r="126" spans="1:38" ht="11.25" customHeight="1">
      <c r="A126" t="s">
        <v>9</v>
      </c>
      <c r="B126" t="s">
        <v>36</v>
      </c>
      <c r="C126" t="s">
        <v>38</v>
      </c>
      <c r="D126" t="s">
        <v>9</v>
      </c>
      <c r="E126" t="s">
        <v>1467</v>
      </c>
      <c r="F126" t="s">
        <v>1438</v>
      </c>
      <c r="G126" t="s">
        <v>95</v>
      </c>
      <c r="H126" t="s">
        <v>95</v>
      </c>
      <c r="I126" t="s">
        <v>96</v>
      </c>
      <c r="J126" t="s">
        <v>4389</v>
      </c>
      <c r="K126" t="s">
        <v>4390</v>
      </c>
      <c r="L126" t="s">
        <v>1442</v>
      </c>
      <c r="M126" t="s">
        <v>1442</v>
      </c>
      <c r="N126" t="s">
        <v>164</v>
      </c>
      <c r="O126" t="s">
        <v>95</v>
      </c>
      <c r="P126" t="s">
        <v>95</v>
      </c>
      <c r="Q126" t="s">
        <v>96</v>
      </c>
      <c r="R126" t="s">
        <v>4389</v>
      </c>
      <c r="S126" t="s">
        <v>4390</v>
      </c>
      <c r="T126" t="s">
        <v>4165</v>
      </c>
      <c r="U126" t="s">
        <v>4168</v>
      </c>
      <c r="V126" t="s">
        <v>624</v>
      </c>
      <c r="W126" t="s">
        <v>4140</v>
      </c>
      <c r="X126" t="s">
        <v>4167</v>
      </c>
      <c r="Y126" t="s">
        <v>4168</v>
      </c>
      <c r="Z126" t="s">
        <v>89</v>
      </c>
      <c r="AA126" t="s">
        <v>4355</v>
      </c>
      <c r="AB126" t="s">
        <v>624</v>
      </c>
      <c r="AC126" t="s">
        <v>50</v>
      </c>
      <c r="AD126" t="s">
        <v>50</v>
      </c>
      <c r="AE126" t="s">
        <v>50</v>
      </c>
      <c r="AF126" t="s">
        <v>89</v>
      </c>
      <c r="AG126" t="s">
        <v>4391</v>
      </c>
      <c r="AH126" t="s">
        <v>89</v>
      </c>
      <c r="AI126" t="s">
        <v>4391</v>
      </c>
      <c r="AJ126" t="s">
        <v>89</v>
      </c>
      <c r="AK126" t="s">
        <v>4391</v>
      </c>
      <c r="AL126" t="s">
        <v>4146</v>
      </c>
    </row>
    <row r="127" spans="1:38" ht="11.25" customHeight="1">
      <c r="A127" t="s">
        <v>9</v>
      </c>
      <c r="B127" t="s">
        <v>36</v>
      </c>
      <c r="C127" t="s">
        <v>38</v>
      </c>
      <c r="D127" t="s">
        <v>9</v>
      </c>
      <c r="E127" t="s">
        <v>1437</v>
      </c>
      <c r="F127" t="s">
        <v>1438</v>
      </c>
      <c r="G127" t="s">
        <v>3627</v>
      </c>
      <c r="H127" t="s">
        <v>3635</v>
      </c>
      <c r="I127" t="s">
        <v>3636</v>
      </c>
      <c r="J127" t="s">
        <v>4371</v>
      </c>
      <c r="K127" t="s">
        <v>4392</v>
      </c>
      <c r="L127" t="s">
        <v>3635</v>
      </c>
      <c r="M127" t="s">
        <v>1442</v>
      </c>
      <c r="N127" t="s">
        <v>164</v>
      </c>
      <c r="O127" t="s">
        <v>3627</v>
      </c>
      <c r="P127" t="s">
        <v>3635</v>
      </c>
      <c r="Q127" t="s">
        <v>3636</v>
      </c>
      <c r="R127" t="s">
        <v>4371</v>
      </c>
      <c r="S127" t="s">
        <v>4392</v>
      </c>
      <c r="T127" t="s">
        <v>4138</v>
      </c>
      <c r="U127" t="s">
        <v>4139</v>
      </c>
      <c r="V127" t="s">
        <v>624</v>
      </c>
      <c r="W127" t="s">
        <v>4140</v>
      </c>
      <c r="X127" t="s">
        <v>4317</v>
      </c>
      <c r="Y127" t="s">
        <v>4142</v>
      </c>
      <c r="Z127" t="s">
        <v>4373</v>
      </c>
      <c r="AA127" t="s">
        <v>4374</v>
      </c>
      <c r="AB127" t="s">
        <v>624</v>
      </c>
      <c r="AC127" t="s">
        <v>50</v>
      </c>
      <c r="AD127" t="s">
        <v>50</v>
      </c>
      <c r="AE127" t="s">
        <v>50</v>
      </c>
      <c r="AF127" t="s">
        <v>4375</v>
      </c>
      <c r="AG127" t="s">
        <v>4376</v>
      </c>
      <c r="AH127" t="s">
        <v>4375</v>
      </c>
      <c r="AI127" t="s">
        <v>4376</v>
      </c>
      <c r="AJ127" t="s">
        <v>4375</v>
      </c>
      <c r="AK127" t="s">
        <v>4376</v>
      </c>
      <c r="AL127" t="s">
        <v>4146</v>
      </c>
    </row>
    <row r="128" spans="1:38" ht="11.25" customHeight="1">
      <c r="A128" t="s">
        <v>9</v>
      </c>
      <c r="B128" t="s">
        <v>36</v>
      </c>
      <c r="C128" t="s">
        <v>38</v>
      </c>
      <c r="D128" t="s">
        <v>9</v>
      </c>
      <c r="E128" t="s">
        <v>1437</v>
      </c>
      <c r="F128" t="s">
        <v>4148</v>
      </c>
      <c r="G128" t="s">
        <v>3627</v>
      </c>
      <c r="H128" t="s">
        <v>3635</v>
      </c>
      <c r="I128" t="s">
        <v>3636</v>
      </c>
      <c r="J128" t="s">
        <v>4371</v>
      </c>
      <c r="K128" t="s">
        <v>4392</v>
      </c>
      <c r="L128" t="s">
        <v>3635</v>
      </c>
      <c r="M128" t="s">
        <v>1442</v>
      </c>
      <c r="N128" t="s">
        <v>164</v>
      </c>
      <c r="O128" t="s">
        <v>3627</v>
      </c>
      <c r="P128" t="s">
        <v>3635</v>
      </c>
      <c r="Q128" t="s">
        <v>3636</v>
      </c>
      <c r="R128" t="s">
        <v>4371</v>
      </c>
      <c r="S128" t="s">
        <v>4392</v>
      </c>
      <c r="T128" t="s">
        <v>4138</v>
      </c>
      <c r="U128" t="s">
        <v>4139</v>
      </c>
      <c r="V128" t="s">
        <v>624</v>
      </c>
      <c r="W128" t="s">
        <v>4140</v>
      </c>
      <c r="X128" t="s">
        <v>4317</v>
      </c>
      <c r="Y128" t="s">
        <v>4142</v>
      </c>
      <c r="Z128" t="s">
        <v>4373</v>
      </c>
      <c r="AA128" t="s">
        <v>4374</v>
      </c>
      <c r="AB128" t="s">
        <v>624</v>
      </c>
      <c r="AC128" t="s">
        <v>6</v>
      </c>
      <c r="AD128" t="s">
        <v>50</v>
      </c>
      <c r="AE128" t="s">
        <v>6</v>
      </c>
      <c r="AF128" t="s">
        <v>9</v>
      </c>
      <c r="AG128" t="s">
        <v>9</v>
      </c>
      <c r="AH128" t="s">
        <v>4375</v>
      </c>
      <c r="AI128" t="s">
        <v>4376</v>
      </c>
      <c r="AJ128" t="s">
        <v>4375</v>
      </c>
      <c r="AK128" t="s">
        <v>4376</v>
      </c>
      <c r="AL128" t="s">
        <v>9</v>
      </c>
    </row>
    <row r="129" spans="1:38" ht="11.25" customHeight="1">
      <c r="A129" t="s">
        <v>9</v>
      </c>
      <c r="B129" t="s">
        <v>36</v>
      </c>
      <c r="C129" t="s">
        <v>38</v>
      </c>
      <c r="D129" t="s">
        <v>9</v>
      </c>
      <c r="E129" t="s">
        <v>1437</v>
      </c>
      <c r="F129" t="s">
        <v>1438</v>
      </c>
      <c r="G129" t="s">
        <v>98</v>
      </c>
      <c r="H129" t="s">
        <v>98</v>
      </c>
      <c r="I129" t="s">
        <v>99</v>
      </c>
      <c r="J129" t="s">
        <v>4393</v>
      </c>
      <c r="K129" t="s">
        <v>4394</v>
      </c>
      <c r="L129" t="s">
        <v>4395</v>
      </c>
      <c r="M129" t="s">
        <v>4396</v>
      </c>
      <c r="N129" t="s">
        <v>164</v>
      </c>
      <c r="O129" t="s">
        <v>98</v>
      </c>
      <c r="P129" t="s">
        <v>98</v>
      </c>
      <c r="Q129" t="s">
        <v>99</v>
      </c>
      <c r="R129" t="s">
        <v>4393</v>
      </c>
      <c r="S129" t="s">
        <v>4394</v>
      </c>
      <c r="T129" t="s">
        <v>4138</v>
      </c>
      <c r="U129" t="s">
        <v>4139</v>
      </c>
      <c r="V129" t="s">
        <v>624</v>
      </c>
      <c r="W129" t="s">
        <v>4140</v>
      </c>
      <c r="X129" t="s">
        <v>4141</v>
      </c>
      <c r="Y129" t="s">
        <v>4142</v>
      </c>
      <c r="Z129" t="s">
        <v>4397</v>
      </c>
      <c r="AA129" t="s">
        <v>4398</v>
      </c>
      <c r="AB129" t="s">
        <v>624</v>
      </c>
      <c r="AC129" t="s">
        <v>50</v>
      </c>
      <c r="AD129" t="s">
        <v>50</v>
      </c>
      <c r="AE129" t="s">
        <v>50</v>
      </c>
      <c r="AF129" t="s">
        <v>4399</v>
      </c>
      <c r="AG129" t="s">
        <v>4400</v>
      </c>
      <c r="AH129" t="s">
        <v>4399</v>
      </c>
      <c r="AI129" t="s">
        <v>4400</v>
      </c>
      <c r="AJ129" t="s">
        <v>4399</v>
      </c>
      <c r="AK129" t="s">
        <v>4400</v>
      </c>
      <c r="AL129" t="s">
        <v>4146</v>
      </c>
    </row>
    <row r="130" spans="1:38" ht="11.25" customHeight="1">
      <c r="A130" t="s">
        <v>9</v>
      </c>
      <c r="B130" t="s">
        <v>36</v>
      </c>
      <c r="C130" t="s">
        <v>38</v>
      </c>
      <c r="D130" t="s">
        <v>9</v>
      </c>
      <c r="E130" t="s">
        <v>1449</v>
      </c>
      <c r="F130" t="s">
        <v>1438</v>
      </c>
      <c r="G130" t="s">
        <v>98</v>
      </c>
      <c r="H130" t="s">
        <v>98</v>
      </c>
      <c r="I130" t="s">
        <v>99</v>
      </c>
      <c r="J130" t="s">
        <v>4393</v>
      </c>
      <c r="K130" t="s">
        <v>4394</v>
      </c>
      <c r="L130" t="s">
        <v>4401</v>
      </c>
      <c r="M130" t="s">
        <v>1442</v>
      </c>
      <c r="N130" t="s">
        <v>164</v>
      </c>
      <c r="O130" t="s">
        <v>98</v>
      </c>
      <c r="P130" t="s">
        <v>98</v>
      </c>
      <c r="Q130" t="s">
        <v>99</v>
      </c>
      <c r="R130" t="s">
        <v>4393</v>
      </c>
      <c r="S130" t="s">
        <v>4394</v>
      </c>
      <c r="T130" t="s">
        <v>4138</v>
      </c>
      <c r="U130" t="s">
        <v>4139</v>
      </c>
      <c r="V130" t="s">
        <v>624</v>
      </c>
      <c r="W130" t="s">
        <v>4140</v>
      </c>
      <c r="X130" t="s">
        <v>4141</v>
      </c>
      <c r="Y130" t="s">
        <v>4142</v>
      </c>
      <c r="Z130" t="s">
        <v>4402</v>
      </c>
      <c r="AA130" t="s">
        <v>4398</v>
      </c>
      <c r="AB130" t="s">
        <v>624</v>
      </c>
      <c r="AC130" t="s">
        <v>50</v>
      </c>
      <c r="AD130" t="s">
        <v>50</v>
      </c>
      <c r="AE130" t="s">
        <v>50</v>
      </c>
      <c r="AF130" t="s">
        <v>4403</v>
      </c>
      <c r="AG130" t="s">
        <v>4404</v>
      </c>
      <c r="AH130" t="s">
        <v>4403</v>
      </c>
      <c r="AI130" t="s">
        <v>4404</v>
      </c>
      <c r="AJ130" t="s">
        <v>4403</v>
      </c>
      <c r="AK130" t="s">
        <v>4404</v>
      </c>
      <c r="AL130" t="s">
        <v>4146</v>
      </c>
    </row>
    <row r="131" spans="1:38" ht="11.25" customHeight="1">
      <c r="A131" t="s">
        <v>9</v>
      </c>
      <c r="B131" t="s">
        <v>36</v>
      </c>
      <c r="C131" t="s">
        <v>38</v>
      </c>
      <c r="D131" t="s">
        <v>9</v>
      </c>
      <c r="E131" t="s">
        <v>4292</v>
      </c>
      <c r="F131" t="s">
        <v>4148</v>
      </c>
      <c r="G131" t="s">
        <v>98</v>
      </c>
      <c r="H131" t="s">
        <v>98</v>
      </c>
      <c r="I131" t="s">
        <v>99</v>
      </c>
      <c r="J131" t="s">
        <v>4393</v>
      </c>
      <c r="K131" t="s">
        <v>4394</v>
      </c>
      <c r="L131" t="s">
        <v>4401</v>
      </c>
      <c r="M131" t="s">
        <v>1442</v>
      </c>
      <c r="N131" t="s">
        <v>164</v>
      </c>
      <c r="O131" t="s">
        <v>98</v>
      </c>
      <c r="P131" t="s">
        <v>98</v>
      </c>
      <c r="Q131" t="s">
        <v>99</v>
      </c>
      <c r="R131" t="s">
        <v>4393</v>
      </c>
      <c r="S131" t="s">
        <v>4394</v>
      </c>
      <c r="T131" t="s">
        <v>4138</v>
      </c>
      <c r="U131" t="s">
        <v>4139</v>
      </c>
      <c r="V131" t="s">
        <v>624</v>
      </c>
      <c r="W131" t="s">
        <v>4140</v>
      </c>
      <c r="X131" t="s">
        <v>4141</v>
      </c>
      <c r="Y131" t="s">
        <v>4142</v>
      </c>
      <c r="Z131" t="s">
        <v>4402</v>
      </c>
      <c r="AA131" t="s">
        <v>4398</v>
      </c>
      <c r="AB131" t="s">
        <v>624</v>
      </c>
      <c r="AC131" t="s">
        <v>6</v>
      </c>
      <c r="AD131" t="s">
        <v>50</v>
      </c>
      <c r="AE131" t="s">
        <v>6</v>
      </c>
      <c r="AF131" t="s">
        <v>9</v>
      </c>
      <c r="AG131" t="s">
        <v>9</v>
      </c>
      <c r="AH131" t="s">
        <v>4403</v>
      </c>
      <c r="AI131" t="s">
        <v>4404</v>
      </c>
      <c r="AJ131" t="s">
        <v>4403</v>
      </c>
      <c r="AK131" t="s">
        <v>4404</v>
      </c>
      <c r="AL131" t="s">
        <v>9</v>
      </c>
    </row>
    <row r="132" spans="1:38" ht="11.25" customHeight="1">
      <c r="A132" t="s">
        <v>9</v>
      </c>
      <c r="B132" t="s">
        <v>36</v>
      </c>
      <c r="C132" t="s">
        <v>38</v>
      </c>
      <c r="D132" t="s">
        <v>9</v>
      </c>
      <c r="E132" t="s">
        <v>1456</v>
      </c>
      <c r="F132" t="s">
        <v>1438</v>
      </c>
      <c r="G132" t="s">
        <v>98</v>
      </c>
      <c r="H132" t="s">
        <v>98</v>
      </c>
      <c r="I132" t="s">
        <v>99</v>
      </c>
      <c r="J132" t="s">
        <v>4393</v>
      </c>
      <c r="K132" t="s">
        <v>4394</v>
      </c>
      <c r="L132" t="s">
        <v>1464</v>
      </c>
      <c r="M132" t="s">
        <v>4405</v>
      </c>
      <c r="N132" t="s">
        <v>164</v>
      </c>
      <c r="O132" t="s">
        <v>98</v>
      </c>
      <c r="P132" t="s">
        <v>98</v>
      </c>
      <c r="Q132" t="s">
        <v>99</v>
      </c>
      <c r="R132" t="s">
        <v>4393</v>
      </c>
      <c r="S132" t="s">
        <v>4394</v>
      </c>
      <c r="T132" t="s">
        <v>4138</v>
      </c>
      <c r="U132" t="s">
        <v>4139</v>
      </c>
      <c r="V132" t="s">
        <v>624</v>
      </c>
      <c r="W132" t="s">
        <v>4140</v>
      </c>
      <c r="X132" t="s">
        <v>4141</v>
      </c>
      <c r="Y132" t="s">
        <v>4142</v>
      </c>
      <c r="Z132" t="s">
        <v>4406</v>
      </c>
      <c r="AA132" t="s">
        <v>4398</v>
      </c>
      <c r="AB132" t="s">
        <v>624</v>
      </c>
      <c r="AC132" t="s">
        <v>50</v>
      </c>
      <c r="AD132" t="s">
        <v>50</v>
      </c>
      <c r="AE132" t="s">
        <v>50</v>
      </c>
      <c r="AF132" t="s">
        <v>377</v>
      </c>
      <c r="AG132" t="s">
        <v>4407</v>
      </c>
      <c r="AH132" t="s">
        <v>377</v>
      </c>
      <c r="AI132" t="s">
        <v>4407</v>
      </c>
      <c r="AJ132" t="s">
        <v>377</v>
      </c>
      <c r="AK132" t="s">
        <v>4407</v>
      </c>
      <c r="AL132" t="s">
        <v>4146</v>
      </c>
    </row>
    <row r="133" spans="1:38" ht="11.25" customHeight="1">
      <c r="A133" t="s">
        <v>9</v>
      </c>
      <c r="B133" t="s">
        <v>36</v>
      </c>
      <c r="C133" t="s">
        <v>38</v>
      </c>
      <c r="D133" t="s">
        <v>9</v>
      </c>
      <c r="E133" t="s">
        <v>4408</v>
      </c>
      <c r="F133" t="s">
        <v>4148</v>
      </c>
      <c r="G133" t="s">
        <v>98</v>
      </c>
      <c r="H133" t="s">
        <v>98</v>
      </c>
      <c r="I133" t="s">
        <v>99</v>
      </c>
      <c r="J133" t="s">
        <v>4393</v>
      </c>
      <c r="K133" t="s">
        <v>4394</v>
      </c>
      <c r="L133" t="s">
        <v>1464</v>
      </c>
      <c r="M133" t="s">
        <v>4405</v>
      </c>
      <c r="N133" t="s">
        <v>164</v>
      </c>
      <c r="O133" t="s">
        <v>98</v>
      </c>
      <c r="P133" t="s">
        <v>98</v>
      </c>
      <c r="Q133" t="s">
        <v>99</v>
      </c>
      <c r="R133" t="s">
        <v>4393</v>
      </c>
      <c r="S133" t="s">
        <v>4394</v>
      </c>
      <c r="T133" t="s">
        <v>4138</v>
      </c>
      <c r="U133" t="s">
        <v>4139</v>
      </c>
      <c r="V133" t="s">
        <v>624</v>
      </c>
      <c r="W133" t="s">
        <v>4140</v>
      </c>
      <c r="X133" t="s">
        <v>4141</v>
      </c>
      <c r="Y133" t="s">
        <v>4142</v>
      </c>
      <c r="Z133" t="s">
        <v>4406</v>
      </c>
      <c r="AA133" t="s">
        <v>4398</v>
      </c>
      <c r="AB133" t="s">
        <v>624</v>
      </c>
      <c r="AC133" t="s">
        <v>6</v>
      </c>
      <c r="AD133" t="s">
        <v>50</v>
      </c>
      <c r="AE133" t="s">
        <v>6</v>
      </c>
      <c r="AF133" t="s">
        <v>9</v>
      </c>
      <c r="AG133" t="s">
        <v>9</v>
      </c>
      <c r="AH133" t="s">
        <v>377</v>
      </c>
      <c r="AI133" t="s">
        <v>4407</v>
      </c>
      <c r="AJ133" t="s">
        <v>377</v>
      </c>
      <c r="AK133" t="s">
        <v>4407</v>
      </c>
      <c r="AL133" t="s">
        <v>9</v>
      </c>
    </row>
    <row r="134" spans="1:38" ht="11.25" customHeight="1">
      <c r="A134" t="s">
        <v>9</v>
      </c>
      <c r="B134" t="s">
        <v>36</v>
      </c>
      <c r="C134" t="s">
        <v>38</v>
      </c>
      <c r="D134" t="s">
        <v>9</v>
      </c>
      <c r="E134" t="s">
        <v>1437</v>
      </c>
      <c r="F134" t="s">
        <v>1438</v>
      </c>
      <c r="G134" t="s">
        <v>3639</v>
      </c>
      <c r="H134" t="s">
        <v>3643</v>
      </c>
      <c r="I134" t="s">
        <v>3644</v>
      </c>
      <c r="J134" t="s">
        <v>4393</v>
      </c>
      <c r="K134" t="s">
        <v>4409</v>
      </c>
      <c r="L134" t="s">
        <v>4395</v>
      </c>
      <c r="M134" t="s">
        <v>4396</v>
      </c>
      <c r="N134" t="s">
        <v>164</v>
      </c>
      <c r="O134" t="s">
        <v>3639</v>
      </c>
      <c r="P134" t="s">
        <v>3643</v>
      </c>
      <c r="Q134" t="s">
        <v>3644</v>
      </c>
      <c r="R134" t="s">
        <v>4393</v>
      </c>
      <c r="S134" t="s">
        <v>4409</v>
      </c>
      <c r="T134" t="s">
        <v>4138</v>
      </c>
      <c r="U134" t="s">
        <v>4139</v>
      </c>
      <c r="V134" t="s">
        <v>624</v>
      </c>
      <c r="W134" t="s">
        <v>4140</v>
      </c>
      <c r="X134" t="s">
        <v>4141</v>
      </c>
      <c r="Y134" t="s">
        <v>4142</v>
      </c>
      <c r="Z134" t="s">
        <v>4397</v>
      </c>
      <c r="AA134" t="s">
        <v>4398</v>
      </c>
      <c r="AB134" t="s">
        <v>624</v>
      </c>
      <c r="AC134" t="s">
        <v>50</v>
      </c>
      <c r="AD134" t="s">
        <v>50</v>
      </c>
      <c r="AE134" t="s">
        <v>50</v>
      </c>
      <c r="AF134" t="s">
        <v>4399</v>
      </c>
      <c r="AG134" t="s">
        <v>4400</v>
      </c>
      <c r="AH134" t="s">
        <v>4399</v>
      </c>
      <c r="AI134" t="s">
        <v>4400</v>
      </c>
      <c r="AJ134" t="s">
        <v>4399</v>
      </c>
      <c r="AK134" t="s">
        <v>4400</v>
      </c>
      <c r="AL134" t="s">
        <v>4146</v>
      </c>
    </row>
    <row r="135" spans="1:38" ht="11.25" customHeight="1">
      <c r="A135" t="s">
        <v>9</v>
      </c>
      <c r="B135" t="s">
        <v>36</v>
      </c>
      <c r="C135" t="s">
        <v>38</v>
      </c>
      <c r="D135" t="s">
        <v>9</v>
      </c>
      <c r="E135" t="s">
        <v>1449</v>
      </c>
      <c r="F135" t="s">
        <v>1438</v>
      </c>
      <c r="G135" t="s">
        <v>3639</v>
      </c>
      <c r="H135" t="s">
        <v>3643</v>
      </c>
      <c r="I135" t="s">
        <v>3644</v>
      </c>
      <c r="J135" t="s">
        <v>4393</v>
      </c>
      <c r="K135" t="s">
        <v>4409</v>
      </c>
      <c r="L135" t="s">
        <v>4401</v>
      </c>
      <c r="M135" t="s">
        <v>1442</v>
      </c>
      <c r="N135" t="s">
        <v>164</v>
      </c>
      <c r="O135" t="s">
        <v>3639</v>
      </c>
      <c r="P135" t="s">
        <v>3643</v>
      </c>
      <c r="Q135" t="s">
        <v>3644</v>
      </c>
      <c r="R135" t="s">
        <v>4393</v>
      </c>
      <c r="S135" t="s">
        <v>4409</v>
      </c>
      <c r="T135" t="s">
        <v>4138</v>
      </c>
      <c r="U135" t="s">
        <v>4139</v>
      </c>
      <c r="V135" t="s">
        <v>624</v>
      </c>
      <c r="W135" t="s">
        <v>4140</v>
      </c>
      <c r="X135" t="s">
        <v>4141</v>
      </c>
      <c r="Y135" t="s">
        <v>4142</v>
      </c>
      <c r="Z135" t="s">
        <v>4402</v>
      </c>
      <c r="AA135" t="s">
        <v>4398</v>
      </c>
      <c r="AB135" t="s">
        <v>624</v>
      </c>
      <c r="AC135" t="s">
        <v>50</v>
      </c>
      <c r="AD135" t="s">
        <v>50</v>
      </c>
      <c r="AE135" t="s">
        <v>50</v>
      </c>
      <c r="AF135" t="s">
        <v>4403</v>
      </c>
      <c r="AG135" t="s">
        <v>4404</v>
      </c>
      <c r="AH135" t="s">
        <v>4403</v>
      </c>
      <c r="AI135" t="s">
        <v>4404</v>
      </c>
      <c r="AJ135" t="s">
        <v>4403</v>
      </c>
      <c r="AK135" t="s">
        <v>4404</v>
      </c>
      <c r="AL135" t="s">
        <v>4146</v>
      </c>
    </row>
    <row r="136" spans="1:38" ht="11.25" customHeight="1">
      <c r="A136" t="s">
        <v>9</v>
      </c>
      <c r="B136" t="s">
        <v>36</v>
      </c>
      <c r="C136" t="s">
        <v>38</v>
      </c>
      <c r="D136" t="s">
        <v>9</v>
      </c>
      <c r="E136" t="s">
        <v>4292</v>
      </c>
      <c r="F136" t="s">
        <v>4148</v>
      </c>
      <c r="G136" t="s">
        <v>3639</v>
      </c>
      <c r="H136" t="s">
        <v>3643</v>
      </c>
      <c r="I136" t="s">
        <v>3644</v>
      </c>
      <c r="J136" t="s">
        <v>4393</v>
      </c>
      <c r="K136" t="s">
        <v>4409</v>
      </c>
      <c r="L136" t="s">
        <v>4401</v>
      </c>
      <c r="M136" t="s">
        <v>1442</v>
      </c>
      <c r="N136" t="s">
        <v>164</v>
      </c>
      <c r="O136" t="s">
        <v>3639</v>
      </c>
      <c r="P136" t="s">
        <v>3643</v>
      </c>
      <c r="Q136" t="s">
        <v>3644</v>
      </c>
      <c r="R136" t="s">
        <v>4393</v>
      </c>
      <c r="S136" t="s">
        <v>4409</v>
      </c>
      <c r="T136" t="s">
        <v>4138</v>
      </c>
      <c r="U136" t="s">
        <v>4139</v>
      </c>
      <c r="V136" t="s">
        <v>624</v>
      </c>
      <c r="W136" t="s">
        <v>4140</v>
      </c>
      <c r="X136" t="s">
        <v>4141</v>
      </c>
      <c r="Y136" t="s">
        <v>4142</v>
      </c>
      <c r="Z136" t="s">
        <v>4402</v>
      </c>
      <c r="AA136" t="s">
        <v>4398</v>
      </c>
      <c r="AB136" t="s">
        <v>624</v>
      </c>
      <c r="AC136" t="s">
        <v>6</v>
      </c>
      <c r="AD136" t="s">
        <v>50</v>
      </c>
      <c r="AE136" t="s">
        <v>6</v>
      </c>
      <c r="AF136" t="s">
        <v>9</v>
      </c>
      <c r="AG136" t="s">
        <v>9</v>
      </c>
      <c r="AH136" t="s">
        <v>4403</v>
      </c>
      <c r="AI136" t="s">
        <v>4404</v>
      </c>
      <c r="AJ136" t="s">
        <v>4403</v>
      </c>
      <c r="AK136" t="s">
        <v>4404</v>
      </c>
      <c r="AL136" t="s">
        <v>9</v>
      </c>
    </row>
    <row r="137" spans="1:38" ht="11.25" customHeight="1">
      <c r="A137" t="s">
        <v>9</v>
      </c>
      <c r="B137" t="s">
        <v>36</v>
      </c>
      <c r="C137" t="s">
        <v>38</v>
      </c>
      <c r="D137" t="s">
        <v>9</v>
      </c>
      <c r="E137" t="s">
        <v>1456</v>
      </c>
      <c r="F137" t="s">
        <v>1438</v>
      </c>
      <c r="G137" t="s">
        <v>3639</v>
      </c>
      <c r="H137" t="s">
        <v>3643</v>
      </c>
      <c r="I137" t="s">
        <v>3644</v>
      </c>
      <c r="J137" t="s">
        <v>4393</v>
      </c>
      <c r="K137" t="s">
        <v>4409</v>
      </c>
      <c r="L137" t="s">
        <v>1464</v>
      </c>
      <c r="M137" t="s">
        <v>4405</v>
      </c>
      <c r="N137" t="s">
        <v>164</v>
      </c>
      <c r="O137" t="s">
        <v>3639</v>
      </c>
      <c r="P137" t="s">
        <v>3643</v>
      </c>
      <c r="Q137" t="s">
        <v>3644</v>
      </c>
      <c r="R137" t="s">
        <v>4393</v>
      </c>
      <c r="S137" t="s">
        <v>4409</v>
      </c>
      <c r="T137" t="s">
        <v>4138</v>
      </c>
      <c r="U137" t="s">
        <v>4139</v>
      </c>
      <c r="V137" t="s">
        <v>624</v>
      </c>
      <c r="W137" t="s">
        <v>4140</v>
      </c>
      <c r="X137" t="s">
        <v>4141</v>
      </c>
      <c r="Y137" t="s">
        <v>4142</v>
      </c>
      <c r="Z137" t="s">
        <v>4406</v>
      </c>
      <c r="AA137" t="s">
        <v>4398</v>
      </c>
      <c r="AB137" t="s">
        <v>624</v>
      </c>
      <c r="AC137" t="s">
        <v>50</v>
      </c>
      <c r="AD137" t="s">
        <v>50</v>
      </c>
      <c r="AE137" t="s">
        <v>50</v>
      </c>
      <c r="AF137" t="s">
        <v>377</v>
      </c>
      <c r="AG137" t="s">
        <v>4407</v>
      </c>
      <c r="AH137" t="s">
        <v>377</v>
      </c>
      <c r="AI137" t="s">
        <v>4407</v>
      </c>
      <c r="AJ137" t="s">
        <v>377</v>
      </c>
      <c r="AK137" t="s">
        <v>4407</v>
      </c>
      <c r="AL137" t="s">
        <v>4146</v>
      </c>
    </row>
    <row r="138" spans="1:38" ht="11.25" customHeight="1">
      <c r="A138" t="s">
        <v>9</v>
      </c>
      <c r="B138" t="s">
        <v>36</v>
      </c>
      <c r="C138" t="s">
        <v>38</v>
      </c>
      <c r="D138" t="s">
        <v>9</v>
      </c>
      <c r="E138" t="s">
        <v>4408</v>
      </c>
      <c r="F138" t="s">
        <v>4148</v>
      </c>
      <c r="G138" t="s">
        <v>3639</v>
      </c>
      <c r="H138" t="s">
        <v>3643</v>
      </c>
      <c r="I138" t="s">
        <v>3644</v>
      </c>
      <c r="J138" t="s">
        <v>4393</v>
      </c>
      <c r="K138" t="s">
        <v>4409</v>
      </c>
      <c r="L138" t="s">
        <v>1464</v>
      </c>
      <c r="M138" t="s">
        <v>4405</v>
      </c>
      <c r="N138" t="s">
        <v>164</v>
      </c>
      <c r="O138" t="s">
        <v>3639</v>
      </c>
      <c r="P138" t="s">
        <v>3643</v>
      </c>
      <c r="Q138" t="s">
        <v>3644</v>
      </c>
      <c r="R138" t="s">
        <v>4393</v>
      </c>
      <c r="S138" t="s">
        <v>4409</v>
      </c>
      <c r="T138" t="s">
        <v>4138</v>
      </c>
      <c r="U138" t="s">
        <v>4139</v>
      </c>
      <c r="V138" t="s">
        <v>624</v>
      </c>
      <c r="W138" t="s">
        <v>4140</v>
      </c>
      <c r="X138" t="s">
        <v>4141</v>
      </c>
      <c r="Y138" t="s">
        <v>4142</v>
      </c>
      <c r="Z138" t="s">
        <v>4406</v>
      </c>
      <c r="AA138" t="s">
        <v>4398</v>
      </c>
      <c r="AB138" t="s">
        <v>624</v>
      </c>
      <c r="AC138" t="s">
        <v>6</v>
      </c>
      <c r="AD138" t="s">
        <v>50</v>
      </c>
      <c r="AE138" t="s">
        <v>6</v>
      </c>
      <c r="AF138" t="s">
        <v>9</v>
      </c>
      <c r="AG138" t="s">
        <v>9</v>
      </c>
      <c r="AH138" t="s">
        <v>377</v>
      </c>
      <c r="AI138" t="s">
        <v>4407</v>
      </c>
      <c r="AJ138" t="s">
        <v>377</v>
      </c>
      <c r="AK138" t="s">
        <v>4407</v>
      </c>
      <c r="AL138" t="s">
        <v>9</v>
      </c>
    </row>
    <row r="139" spans="1:38" ht="11.25" customHeight="1">
      <c r="A139" t="s">
        <v>9</v>
      </c>
      <c r="B139" t="s">
        <v>36</v>
      </c>
      <c r="C139" t="s">
        <v>38</v>
      </c>
      <c r="D139" t="s">
        <v>9</v>
      </c>
      <c r="E139" t="s">
        <v>1437</v>
      </c>
      <c r="F139" t="s">
        <v>1438</v>
      </c>
      <c r="G139" t="s">
        <v>102</v>
      </c>
      <c r="H139" t="s">
        <v>102</v>
      </c>
      <c r="I139" t="s">
        <v>103</v>
      </c>
      <c r="J139" t="s">
        <v>4410</v>
      </c>
      <c r="K139" t="s">
        <v>4411</v>
      </c>
      <c r="L139" t="s">
        <v>4412</v>
      </c>
      <c r="M139" t="s">
        <v>1442</v>
      </c>
      <c r="N139" t="s">
        <v>164</v>
      </c>
      <c r="O139" t="s">
        <v>102</v>
      </c>
      <c r="P139" t="s">
        <v>102</v>
      </c>
      <c r="Q139" t="s">
        <v>103</v>
      </c>
      <c r="R139" t="s">
        <v>4410</v>
      </c>
      <c r="S139" t="s">
        <v>4411</v>
      </c>
      <c r="T139" t="s">
        <v>4138</v>
      </c>
      <c r="U139" t="s">
        <v>4139</v>
      </c>
      <c r="V139" t="s">
        <v>624</v>
      </c>
      <c r="W139" t="s">
        <v>4140</v>
      </c>
      <c r="X139" t="s">
        <v>4141</v>
      </c>
      <c r="Y139" t="s">
        <v>4142</v>
      </c>
      <c r="Z139" t="s">
        <v>4413</v>
      </c>
      <c r="AA139" t="s">
        <v>4398</v>
      </c>
      <c r="AB139" t="s">
        <v>624</v>
      </c>
      <c r="AC139" t="s">
        <v>50</v>
      </c>
      <c r="AD139" t="s">
        <v>50</v>
      </c>
      <c r="AE139" t="s">
        <v>50</v>
      </c>
      <c r="AF139" t="s">
        <v>4414</v>
      </c>
      <c r="AG139" t="s">
        <v>4415</v>
      </c>
      <c r="AH139" t="s">
        <v>4414</v>
      </c>
      <c r="AI139" t="s">
        <v>4415</v>
      </c>
      <c r="AJ139" t="s">
        <v>4414</v>
      </c>
      <c r="AK139" t="s">
        <v>4415</v>
      </c>
      <c r="AL139" t="s">
        <v>4146</v>
      </c>
    </row>
    <row r="140" spans="1:38" ht="11.25" customHeight="1">
      <c r="A140" t="s">
        <v>9</v>
      </c>
      <c r="B140" t="s">
        <v>36</v>
      </c>
      <c r="C140" t="s">
        <v>38</v>
      </c>
      <c r="D140" t="s">
        <v>9</v>
      </c>
      <c r="E140" t="s">
        <v>1449</v>
      </c>
      <c r="F140" t="s">
        <v>1438</v>
      </c>
      <c r="G140" t="s">
        <v>102</v>
      </c>
      <c r="H140" t="s">
        <v>102</v>
      </c>
      <c r="I140" t="s">
        <v>103</v>
      </c>
      <c r="J140" t="s">
        <v>4410</v>
      </c>
      <c r="K140" t="s">
        <v>4411</v>
      </c>
      <c r="L140" t="s">
        <v>4416</v>
      </c>
      <c r="M140" t="s">
        <v>1442</v>
      </c>
      <c r="N140" t="s">
        <v>164</v>
      </c>
      <c r="O140" t="s">
        <v>102</v>
      </c>
      <c r="P140" t="s">
        <v>102</v>
      </c>
      <c r="Q140" t="s">
        <v>103</v>
      </c>
      <c r="R140" t="s">
        <v>4410</v>
      </c>
      <c r="S140" t="s">
        <v>4411</v>
      </c>
      <c r="T140" t="s">
        <v>4138</v>
      </c>
      <c r="U140" t="s">
        <v>4139</v>
      </c>
      <c r="V140" t="s">
        <v>624</v>
      </c>
      <c r="W140" t="s">
        <v>4140</v>
      </c>
      <c r="X140" t="s">
        <v>4141</v>
      </c>
      <c r="Y140" t="s">
        <v>4142</v>
      </c>
      <c r="Z140" t="s">
        <v>4417</v>
      </c>
      <c r="AA140" t="s">
        <v>4398</v>
      </c>
      <c r="AB140" t="s">
        <v>624</v>
      </c>
      <c r="AC140" t="s">
        <v>50</v>
      </c>
      <c r="AD140" t="s">
        <v>50</v>
      </c>
      <c r="AE140" t="s">
        <v>50</v>
      </c>
      <c r="AF140" t="s">
        <v>4418</v>
      </c>
      <c r="AG140" t="s">
        <v>4419</v>
      </c>
      <c r="AH140" t="s">
        <v>4418</v>
      </c>
      <c r="AI140" t="s">
        <v>4419</v>
      </c>
      <c r="AJ140" t="s">
        <v>4418</v>
      </c>
      <c r="AK140" t="s">
        <v>4419</v>
      </c>
      <c r="AL140" t="s">
        <v>4146</v>
      </c>
    </row>
    <row r="141" spans="1:38" ht="11.25" customHeight="1">
      <c r="A141" t="s">
        <v>9</v>
      </c>
      <c r="B141" t="s">
        <v>36</v>
      </c>
      <c r="C141" t="s">
        <v>38</v>
      </c>
      <c r="D141" t="s">
        <v>9</v>
      </c>
      <c r="E141" t="s">
        <v>1500</v>
      </c>
      <c r="F141" t="s">
        <v>1438</v>
      </c>
      <c r="G141" t="s">
        <v>102</v>
      </c>
      <c r="H141" t="s">
        <v>102</v>
      </c>
      <c r="I141" t="s">
        <v>103</v>
      </c>
      <c r="J141" t="s">
        <v>4410</v>
      </c>
      <c r="K141" t="s">
        <v>4411</v>
      </c>
      <c r="L141" t="s">
        <v>4420</v>
      </c>
      <c r="M141" t="s">
        <v>1442</v>
      </c>
      <c r="N141" t="s">
        <v>164</v>
      </c>
      <c r="O141" t="s">
        <v>102</v>
      </c>
      <c r="P141" t="s">
        <v>102</v>
      </c>
      <c r="Q141" t="s">
        <v>103</v>
      </c>
      <c r="R141" t="s">
        <v>4410</v>
      </c>
      <c r="S141" t="s">
        <v>4411</v>
      </c>
      <c r="T141" t="s">
        <v>4138</v>
      </c>
      <c r="U141" t="s">
        <v>4139</v>
      </c>
      <c r="V141" t="s">
        <v>624</v>
      </c>
      <c r="W141" t="s">
        <v>4140</v>
      </c>
      <c r="X141" t="s">
        <v>4141</v>
      </c>
      <c r="Y141" t="s">
        <v>4142</v>
      </c>
      <c r="Z141" t="s">
        <v>4421</v>
      </c>
      <c r="AA141" t="s">
        <v>4398</v>
      </c>
      <c r="AB141" t="s">
        <v>624</v>
      </c>
      <c r="AC141" t="s">
        <v>50</v>
      </c>
      <c r="AD141" t="s">
        <v>50</v>
      </c>
      <c r="AE141" t="s">
        <v>50</v>
      </c>
      <c r="AF141" t="s">
        <v>377</v>
      </c>
      <c r="AG141" t="s">
        <v>4422</v>
      </c>
      <c r="AH141" t="s">
        <v>377</v>
      </c>
      <c r="AI141" t="s">
        <v>4422</v>
      </c>
      <c r="AJ141" t="s">
        <v>377</v>
      </c>
      <c r="AK141" t="s">
        <v>4422</v>
      </c>
      <c r="AL141" t="s">
        <v>4146</v>
      </c>
    </row>
    <row r="142" spans="1:38" ht="11.25" customHeight="1">
      <c r="A142" t="s">
        <v>9</v>
      </c>
      <c r="B142" t="s">
        <v>36</v>
      </c>
      <c r="C142" t="s">
        <v>38</v>
      </c>
      <c r="D142" t="s">
        <v>9</v>
      </c>
      <c r="E142" t="s">
        <v>4202</v>
      </c>
      <c r="F142" t="s">
        <v>1438</v>
      </c>
      <c r="G142" t="s">
        <v>102</v>
      </c>
      <c r="H142" t="s">
        <v>102</v>
      </c>
      <c r="I142" t="s">
        <v>103</v>
      </c>
      <c r="J142" t="s">
        <v>4410</v>
      </c>
      <c r="K142" t="s">
        <v>4411</v>
      </c>
      <c r="L142" t="s">
        <v>4423</v>
      </c>
      <c r="M142" t="s">
        <v>4424</v>
      </c>
      <c r="N142" t="s">
        <v>164</v>
      </c>
      <c r="O142" t="s">
        <v>102</v>
      </c>
      <c r="P142" t="s">
        <v>102</v>
      </c>
      <c r="Q142" t="s">
        <v>103</v>
      </c>
      <c r="R142" t="s">
        <v>4410</v>
      </c>
      <c r="S142" t="s">
        <v>4411</v>
      </c>
      <c r="T142" t="s">
        <v>4165</v>
      </c>
      <c r="U142" t="s">
        <v>4168</v>
      </c>
      <c r="V142" t="s">
        <v>624</v>
      </c>
      <c r="W142" t="s">
        <v>4140</v>
      </c>
      <c r="X142" t="s">
        <v>4167</v>
      </c>
      <c r="Y142" t="s">
        <v>4168</v>
      </c>
      <c r="Z142" t="s">
        <v>1442</v>
      </c>
      <c r="AA142" t="s">
        <v>4425</v>
      </c>
      <c r="AB142" t="s">
        <v>624</v>
      </c>
      <c r="AC142" t="s">
        <v>50</v>
      </c>
      <c r="AD142" t="s">
        <v>50</v>
      </c>
      <c r="AE142" t="s">
        <v>50</v>
      </c>
      <c r="AF142" t="s">
        <v>4226</v>
      </c>
      <c r="AG142" t="s">
        <v>4426</v>
      </c>
      <c r="AH142" t="s">
        <v>4226</v>
      </c>
      <c r="AI142" t="s">
        <v>4367</v>
      </c>
      <c r="AJ142" t="s">
        <v>4226</v>
      </c>
      <c r="AK142" t="s">
        <v>4367</v>
      </c>
      <c r="AL142" t="s">
        <v>4146</v>
      </c>
    </row>
    <row r="143" spans="1:38" ht="11.25" customHeight="1">
      <c r="A143" t="s">
        <v>9</v>
      </c>
      <c r="B143" t="s">
        <v>36</v>
      </c>
      <c r="C143" t="s">
        <v>38</v>
      </c>
      <c r="D143" t="s">
        <v>9</v>
      </c>
      <c r="E143" t="s">
        <v>4427</v>
      </c>
      <c r="F143" t="s">
        <v>1438</v>
      </c>
      <c r="G143" t="s">
        <v>102</v>
      </c>
      <c r="H143" t="s">
        <v>102</v>
      </c>
      <c r="I143" t="s">
        <v>103</v>
      </c>
      <c r="J143" t="s">
        <v>4410</v>
      </c>
      <c r="K143" t="s">
        <v>4411</v>
      </c>
      <c r="L143" t="s">
        <v>4203</v>
      </c>
      <c r="M143" t="s">
        <v>1442</v>
      </c>
      <c r="N143" t="s">
        <v>164</v>
      </c>
      <c r="O143" t="s">
        <v>102</v>
      </c>
      <c r="P143" t="s">
        <v>102</v>
      </c>
      <c r="Q143" t="s">
        <v>103</v>
      </c>
      <c r="R143" t="s">
        <v>4410</v>
      </c>
      <c r="S143" t="s">
        <v>4411</v>
      </c>
      <c r="T143" t="s">
        <v>4138</v>
      </c>
      <c r="U143" t="s">
        <v>4139</v>
      </c>
      <c r="V143" t="s">
        <v>624</v>
      </c>
      <c r="W143" t="s">
        <v>4140</v>
      </c>
      <c r="X143" t="s">
        <v>4348</v>
      </c>
      <c r="Y143" t="s">
        <v>4142</v>
      </c>
      <c r="Z143" t="s">
        <v>4428</v>
      </c>
      <c r="AA143" t="s">
        <v>4429</v>
      </c>
      <c r="AB143" t="s">
        <v>624</v>
      </c>
      <c r="AC143" t="s">
        <v>50</v>
      </c>
      <c r="AD143" t="s">
        <v>50</v>
      </c>
      <c r="AE143" t="s">
        <v>50</v>
      </c>
      <c r="AF143" t="s">
        <v>4226</v>
      </c>
      <c r="AG143" t="s">
        <v>4430</v>
      </c>
      <c r="AH143" t="s">
        <v>4226</v>
      </c>
      <c r="AI143" t="s">
        <v>4430</v>
      </c>
      <c r="AJ143" t="s">
        <v>4226</v>
      </c>
      <c r="AK143" t="s">
        <v>4430</v>
      </c>
      <c r="AL143" t="s">
        <v>4146</v>
      </c>
    </row>
    <row r="144" spans="1:38" ht="11.25" customHeight="1">
      <c r="A144" t="s">
        <v>9</v>
      </c>
      <c r="B144" t="s">
        <v>36</v>
      </c>
      <c r="C144" t="s">
        <v>38</v>
      </c>
      <c r="D144" t="s">
        <v>9</v>
      </c>
      <c r="E144" t="s">
        <v>1437</v>
      </c>
      <c r="F144" t="s">
        <v>1438</v>
      </c>
      <c r="G144" t="s">
        <v>3651</v>
      </c>
      <c r="H144" t="s">
        <v>3655</v>
      </c>
      <c r="I144" t="s">
        <v>3656</v>
      </c>
      <c r="J144" t="s">
        <v>4410</v>
      </c>
      <c r="K144" t="s">
        <v>4431</v>
      </c>
      <c r="L144" t="s">
        <v>4412</v>
      </c>
      <c r="M144" t="s">
        <v>1442</v>
      </c>
      <c r="N144" t="s">
        <v>164</v>
      </c>
      <c r="O144" t="s">
        <v>3651</v>
      </c>
      <c r="P144" t="s">
        <v>3655</v>
      </c>
      <c r="Q144" t="s">
        <v>3656</v>
      </c>
      <c r="R144" t="s">
        <v>4410</v>
      </c>
      <c r="S144" t="s">
        <v>4431</v>
      </c>
      <c r="T144" t="s">
        <v>4138</v>
      </c>
      <c r="U144" t="s">
        <v>4139</v>
      </c>
      <c r="V144" t="s">
        <v>624</v>
      </c>
      <c r="W144" t="s">
        <v>4140</v>
      </c>
      <c r="X144" t="s">
        <v>4141</v>
      </c>
      <c r="Y144" t="s">
        <v>4142</v>
      </c>
      <c r="Z144" t="s">
        <v>4413</v>
      </c>
      <c r="AA144" t="s">
        <v>4398</v>
      </c>
      <c r="AB144" t="s">
        <v>624</v>
      </c>
      <c r="AC144" t="s">
        <v>50</v>
      </c>
      <c r="AD144" t="s">
        <v>50</v>
      </c>
      <c r="AE144" t="s">
        <v>50</v>
      </c>
      <c r="AF144" t="s">
        <v>4414</v>
      </c>
      <c r="AG144" t="s">
        <v>4415</v>
      </c>
      <c r="AH144" t="s">
        <v>4414</v>
      </c>
      <c r="AI144" t="s">
        <v>4415</v>
      </c>
      <c r="AJ144" t="s">
        <v>4414</v>
      </c>
      <c r="AK144" t="s">
        <v>4415</v>
      </c>
      <c r="AL144" t="s">
        <v>4146</v>
      </c>
    </row>
    <row r="145" spans="1:38" ht="11.25" customHeight="1">
      <c r="A145" t="s">
        <v>9</v>
      </c>
      <c r="B145" t="s">
        <v>36</v>
      </c>
      <c r="C145" t="s">
        <v>38</v>
      </c>
      <c r="D145" t="s">
        <v>9</v>
      </c>
      <c r="E145" t="s">
        <v>1449</v>
      </c>
      <c r="F145" t="s">
        <v>1438</v>
      </c>
      <c r="G145" t="s">
        <v>3651</v>
      </c>
      <c r="H145" t="s">
        <v>3655</v>
      </c>
      <c r="I145" t="s">
        <v>3656</v>
      </c>
      <c r="J145" t="s">
        <v>4410</v>
      </c>
      <c r="K145" t="s">
        <v>4431</v>
      </c>
      <c r="L145" t="s">
        <v>4416</v>
      </c>
      <c r="M145" t="s">
        <v>1442</v>
      </c>
      <c r="N145" t="s">
        <v>164</v>
      </c>
      <c r="O145" t="s">
        <v>3651</v>
      </c>
      <c r="P145" t="s">
        <v>3655</v>
      </c>
      <c r="Q145" t="s">
        <v>3656</v>
      </c>
      <c r="R145" t="s">
        <v>4410</v>
      </c>
      <c r="S145" t="s">
        <v>4431</v>
      </c>
      <c r="T145" t="s">
        <v>4138</v>
      </c>
      <c r="U145" t="s">
        <v>4139</v>
      </c>
      <c r="V145" t="s">
        <v>624</v>
      </c>
      <c r="W145" t="s">
        <v>4140</v>
      </c>
      <c r="X145" t="s">
        <v>4141</v>
      </c>
      <c r="Y145" t="s">
        <v>4142</v>
      </c>
      <c r="Z145" t="s">
        <v>4417</v>
      </c>
      <c r="AA145" t="s">
        <v>4398</v>
      </c>
      <c r="AB145" t="s">
        <v>624</v>
      </c>
      <c r="AC145" t="s">
        <v>50</v>
      </c>
      <c r="AD145" t="s">
        <v>50</v>
      </c>
      <c r="AE145" t="s">
        <v>50</v>
      </c>
      <c r="AF145" t="s">
        <v>4418</v>
      </c>
      <c r="AG145" t="s">
        <v>4419</v>
      </c>
      <c r="AH145" t="s">
        <v>4418</v>
      </c>
      <c r="AI145" t="s">
        <v>4419</v>
      </c>
      <c r="AJ145" t="s">
        <v>4418</v>
      </c>
      <c r="AK145" t="s">
        <v>4419</v>
      </c>
      <c r="AL145" t="s">
        <v>4146</v>
      </c>
    </row>
    <row r="146" spans="1:38" ht="11.25" customHeight="1">
      <c r="A146" t="s">
        <v>9</v>
      </c>
      <c r="B146" t="s">
        <v>36</v>
      </c>
      <c r="C146" t="s">
        <v>38</v>
      </c>
      <c r="D146" t="s">
        <v>9</v>
      </c>
      <c r="E146" t="s">
        <v>1500</v>
      </c>
      <c r="F146" t="s">
        <v>1438</v>
      </c>
      <c r="G146" t="s">
        <v>3651</v>
      </c>
      <c r="H146" t="s">
        <v>3655</v>
      </c>
      <c r="I146" t="s">
        <v>3656</v>
      </c>
      <c r="J146" t="s">
        <v>4410</v>
      </c>
      <c r="K146" t="s">
        <v>4431</v>
      </c>
      <c r="L146" t="s">
        <v>4420</v>
      </c>
      <c r="M146" t="s">
        <v>1442</v>
      </c>
      <c r="N146" t="s">
        <v>164</v>
      </c>
      <c r="O146" t="s">
        <v>3651</v>
      </c>
      <c r="P146" t="s">
        <v>3655</v>
      </c>
      <c r="Q146" t="s">
        <v>3656</v>
      </c>
      <c r="R146" t="s">
        <v>4410</v>
      </c>
      <c r="S146" t="s">
        <v>4431</v>
      </c>
      <c r="T146" t="s">
        <v>4138</v>
      </c>
      <c r="U146" t="s">
        <v>4139</v>
      </c>
      <c r="V146" t="s">
        <v>624</v>
      </c>
      <c r="W146" t="s">
        <v>4140</v>
      </c>
      <c r="X146" t="s">
        <v>4141</v>
      </c>
      <c r="Y146" t="s">
        <v>4142</v>
      </c>
      <c r="Z146" t="s">
        <v>4421</v>
      </c>
      <c r="AA146" t="s">
        <v>4398</v>
      </c>
      <c r="AB146" t="s">
        <v>624</v>
      </c>
      <c r="AC146" t="s">
        <v>50</v>
      </c>
      <c r="AD146" t="s">
        <v>50</v>
      </c>
      <c r="AE146" t="s">
        <v>50</v>
      </c>
      <c r="AF146" t="s">
        <v>377</v>
      </c>
      <c r="AG146" t="s">
        <v>4422</v>
      </c>
      <c r="AH146" t="s">
        <v>377</v>
      </c>
      <c r="AI146" t="s">
        <v>4422</v>
      </c>
      <c r="AJ146" t="s">
        <v>377</v>
      </c>
      <c r="AK146" t="s">
        <v>4422</v>
      </c>
      <c r="AL146" t="s">
        <v>4146</v>
      </c>
    </row>
    <row r="147" spans="1:38" ht="11.25" customHeight="1">
      <c r="A147" t="s">
        <v>9</v>
      </c>
      <c r="B147" t="s">
        <v>36</v>
      </c>
      <c r="C147" t="s">
        <v>38</v>
      </c>
      <c r="D147" t="s">
        <v>9</v>
      </c>
      <c r="E147" t="s">
        <v>1456</v>
      </c>
      <c r="F147" t="s">
        <v>1457</v>
      </c>
      <c r="G147" t="s">
        <v>105</v>
      </c>
      <c r="H147" t="s">
        <v>105</v>
      </c>
      <c r="I147" t="s">
        <v>106</v>
      </c>
      <c r="J147" t="s">
        <v>4432</v>
      </c>
      <c r="K147" t="s">
        <v>4433</v>
      </c>
      <c r="L147" t="s">
        <v>4434</v>
      </c>
      <c r="M147" t="s">
        <v>1442</v>
      </c>
      <c r="N147" t="s">
        <v>164</v>
      </c>
      <c r="O147" t="s">
        <v>105</v>
      </c>
      <c r="P147" t="s">
        <v>105</v>
      </c>
      <c r="Q147" t="s">
        <v>106</v>
      </c>
      <c r="R147" t="s">
        <v>4432</v>
      </c>
      <c r="S147" t="s">
        <v>4433</v>
      </c>
      <c r="T147" t="s">
        <v>4138</v>
      </c>
      <c r="U147" t="s">
        <v>4139</v>
      </c>
      <c r="V147" t="s">
        <v>624</v>
      </c>
      <c r="W147" t="s">
        <v>4140</v>
      </c>
      <c r="X147" t="s">
        <v>4141</v>
      </c>
      <c r="Y147" t="s">
        <v>4142</v>
      </c>
      <c r="Z147" t="s">
        <v>4435</v>
      </c>
      <c r="AA147" t="s">
        <v>4436</v>
      </c>
      <c r="AB147" t="s">
        <v>624</v>
      </c>
      <c r="AC147" t="s">
        <v>50</v>
      </c>
      <c r="AD147" t="s">
        <v>6</v>
      </c>
      <c r="AE147" t="s">
        <v>6</v>
      </c>
      <c r="AF147" t="s">
        <v>4437</v>
      </c>
      <c r="AG147" t="s">
        <v>4438</v>
      </c>
      <c r="AH147" t="s">
        <v>9</v>
      </c>
      <c r="AI147" t="s">
        <v>9</v>
      </c>
      <c r="AJ147" t="s">
        <v>9</v>
      </c>
      <c r="AK147" t="s">
        <v>9</v>
      </c>
      <c r="AL147" t="s">
        <v>4146</v>
      </c>
    </row>
    <row r="148" spans="1:38" ht="11.25" customHeight="1">
      <c r="A148" t="s">
        <v>9</v>
      </c>
      <c r="B148" t="s">
        <v>36</v>
      </c>
      <c r="C148" t="s">
        <v>38</v>
      </c>
      <c r="D148" t="s">
        <v>9</v>
      </c>
      <c r="E148" t="s">
        <v>1437</v>
      </c>
      <c r="F148" t="s">
        <v>1438</v>
      </c>
      <c r="G148" t="s">
        <v>105</v>
      </c>
      <c r="H148" t="s">
        <v>105</v>
      </c>
      <c r="I148" t="s">
        <v>106</v>
      </c>
      <c r="J148" t="s">
        <v>1530</v>
      </c>
      <c r="K148" t="s">
        <v>4439</v>
      </c>
      <c r="L148" t="s">
        <v>4440</v>
      </c>
      <c r="M148" t="s">
        <v>1442</v>
      </c>
      <c r="N148" t="s">
        <v>164</v>
      </c>
      <c r="O148" t="s">
        <v>105</v>
      </c>
      <c r="P148" t="s">
        <v>105</v>
      </c>
      <c r="Q148" t="s">
        <v>106</v>
      </c>
      <c r="R148" t="s">
        <v>1530</v>
      </c>
      <c r="S148" t="s">
        <v>4439</v>
      </c>
      <c r="T148" t="s">
        <v>4138</v>
      </c>
      <c r="U148" t="s">
        <v>4139</v>
      </c>
      <c r="V148" t="s">
        <v>624</v>
      </c>
      <c r="W148" t="s">
        <v>4140</v>
      </c>
      <c r="X148" t="s">
        <v>4141</v>
      </c>
      <c r="Y148" t="s">
        <v>4142</v>
      </c>
      <c r="Z148" t="s">
        <v>4441</v>
      </c>
      <c r="AA148" t="s">
        <v>4144</v>
      </c>
      <c r="AB148" t="s">
        <v>624</v>
      </c>
      <c r="AC148" t="s">
        <v>50</v>
      </c>
      <c r="AD148" t="s">
        <v>50</v>
      </c>
      <c r="AE148" t="s">
        <v>50</v>
      </c>
      <c r="AF148" t="s">
        <v>78</v>
      </c>
      <c r="AG148" t="s">
        <v>4442</v>
      </c>
      <c r="AH148" t="s">
        <v>78</v>
      </c>
      <c r="AI148" t="s">
        <v>4442</v>
      </c>
      <c r="AJ148" t="s">
        <v>78</v>
      </c>
      <c r="AK148" t="s">
        <v>4442</v>
      </c>
      <c r="AL148" t="s">
        <v>4146</v>
      </c>
    </row>
    <row r="149" spans="1:38" ht="11.25" customHeight="1">
      <c r="A149" t="s">
        <v>9</v>
      </c>
      <c r="B149" t="s">
        <v>36</v>
      </c>
      <c r="C149" t="s">
        <v>38</v>
      </c>
      <c r="D149" t="s">
        <v>9</v>
      </c>
      <c r="E149" t="s">
        <v>1449</v>
      </c>
      <c r="F149" t="s">
        <v>1438</v>
      </c>
      <c r="G149" t="s">
        <v>105</v>
      </c>
      <c r="H149" t="s">
        <v>105</v>
      </c>
      <c r="I149" t="s">
        <v>106</v>
      </c>
      <c r="J149" t="s">
        <v>1530</v>
      </c>
      <c r="K149" t="s">
        <v>4439</v>
      </c>
      <c r="L149" t="s">
        <v>1532</v>
      </c>
      <c r="M149" t="s">
        <v>1442</v>
      </c>
      <c r="N149" t="s">
        <v>164</v>
      </c>
      <c r="O149" t="s">
        <v>105</v>
      </c>
      <c r="P149" t="s">
        <v>105</v>
      </c>
      <c r="Q149" t="s">
        <v>106</v>
      </c>
      <c r="R149" t="s">
        <v>1530</v>
      </c>
      <c r="S149" t="s">
        <v>4439</v>
      </c>
      <c r="T149" t="s">
        <v>4138</v>
      </c>
      <c r="U149" t="s">
        <v>4139</v>
      </c>
      <c r="V149" t="s">
        <v>624</v>
      </c>
      <c r="W149" t="s">
        <v>4140</v>
      </c>
      <c r="X149" t="s">
        <v>4141</v>
      </c>
      <c r="Y149" t="s">
        <v>4142</v>
      </c>
      <c r="Z149" t="s">
        <v>4435</v>
      </c>
      <c r="AA149" t="s">
        <v>4144</v>
      </c>
      <c r="AB149" t="s">
        <v>624</v>
      </c>
      <c r="AC149" t="s">
        <v>50</v>
      </c>
      <c r="AD149" t="s">
        <v>50</v>
      </c>
      <c r="AE149" t="s">
        <v>50</v>
      </c>
      <c r="AF149" t="s">
        <v>1058</v>
      </c>
      <c r="AG149" t="s">
        <v>4443</v>
      </c>
      <c r="AH149" t="s">
        <v>1058</v>
      </c>
      <c r="AI149" t="s">
        <v>4443</v>
      </c>
      <c r="AJ149" t="s">
        <v>1058</v>
      </c>
      <c r="AK149" t="s">
        <v>4443</v>
      </c>
      <c r="AL149" t="s">
        <v>4146</v>
      </c>
    </row>
    <row r="150" spans="1:38" ht="11.25" customHeight="1">
      <c r="A150" t="s">
        <v>9</v>
      </c>
      <c r="B150" t="s">
        <v>36</v>
      </c>
      <c r="C150" t="s">
        <v>38</v>
      </c>
      <c r="D150" t="s">
        <v>9</v>
      </c>
      <c r="E150" t="s">
        <v>1456</v>
      </c>
      <c r="F150" t="s">
        <v>1457</v>
      </c>
      <c r="G150" t="s">
        <v>1527</v>
      </c>
      <c r="H150" t="s">
        <v>3662</v>
      </c>
      <c r="I150" t="s">
        <v>3663</v>
      </c>
      <c r="J150" t="s">
        <v>4432</v>
      </c>
      <c r="K150" t="s">
        <v>4444</v>
      </c>
      <c r="L150" t="s">
        <v>4434</v>
      </c>
      <c r="M150" t="s">
        <v>1442</v>
      </c>
      <c r="N150" t="s">
        <v>164</v>
      </c>
      <c r="O150" t="s">
        <v>1527</v>
      </c>
      <c r="P150" t="s">
        <v>3662</v>
      </c>
      <c r="Q150" t="s">
        <v>3663</v>
      </c>
      <c r="R150" t="s">
        <v>4432</v>
      </c>
      <c r="S150" t="s">
        <v>4444</v>
      </c>
      <c r="T150" t="s">
        <v>4138</v>
      </c>
      <c r="U150" t="s">
        <v>4139</v>
      </c>
      <c r="V150" t="s">
        <v>624</v>
      </c>
      <c r="W150" t="s">
        <v>4140</v>
      </c>
      <c r="X150" t="s">
        <v>4141</v>
      </c>
      <c r="Y150" t="s">
        <v>4142</v>
      </c>
      <c r="Z150" t="s">
        <v>4435</v>
      </c>
      <c r="AA150" t="s">
        <v>4436</v>
      </c>
      <c r="AB150" t="s">
        <v>624</v>
      </c>
      <c r="AC150" t="s">
        <v>50</v>
      </c>
      <c r="AD150" t="s">
        <v>6</v>
      </c>
      <c r="AE150" t="s">
        <v>6</v>
      </c>
      <c r="AF150" t="s">
        <v>4437</v>
      </c>
      <c r="AG150" t="s">
        <v>4438</v>
      </c>
      <c r="AH150" t="s">
        <v>9</v>
      </c>
      <c r="AI150" t="s">
        <v>9</v>
      </c>
      <c r="AJ150" t="s">
        <v>9</v>
      </c>
      <c r="AK150" t="s">
        <v>9</v>
      </c>
      <c r="AL150" t="s">
        <v>4146</v>
      </c>
    </row>
    <row r="151" spans="1:38" ht="11.25" customHeight="1">
      <c r="A151" t="s">
        <v>9</v>
      </c>
      <c r="B151" t="s">
        <v>36</v>
      </c>
      <c r="C151" t="s">
        <v>38</v>
      </c>
      <c r="D151" t="s">
        <v>9</v>
      </c>
      <c r="E151" t="s">
        <v>1437</v>
      </c>
      <c r="F151" t="s">
        <v>1438</v>
      </c>
      <c r="G151" t="s">
        <v>1527</v>
      </c>
      <c r="H151" t="s">
        <v>1528</v>
      </c>
      <c r="I151" t="s">
        <v>1529</v>
      </c>
      <c r="J151" t="s">
        <v>1530</v>
      </c>
      <c r="K151" t="s">
        <v>1531</v>
      </c>
      <c r="L151" t="s">
        <v>4440</v>
      </c>
      <c r="M151" t="s">
        <v>1442</v>
      </c>
      <c r="N151" t="s">
        <v>164</v>
      </c>
      <c r="O151" t="s">
        <v>1527</v>
      </c>
      <c r="P151" t="s">
        <v>1528</v>
      </c>
      <c r="Q151" t="s">
        <v>1529</v>
      </c>
      <c r="R151" t="s">
        <v>1530</v>
      </c>
      <c r="S151" t="s">
        <v>1531</v>
      </c>
      <c r="T151" t="s">
        <v>4138</v>
      </c>
      <c r="U151" t="s">
        <v>4139</v>
      </c>
      <c r="V151" t="s">
        <v>624</v>
      </c>
      <c r="W151" t="s">
        <v>4140</v>
      </c>
      <c r="X151" t="s">
        <v>4141</v>
      </c>
      <c r="Y151" t="s">
        <v>4142</v>
      </c>
      <c r="Z151" t="s">
        <v>4441</v>
      </c>
      <c r="AA151" t="s">
        <v>4144</v>
      </c>
      <c r="AB151" t="s">
        <v>624</v>
      </c>
      <c r="AC151" t="s">
        <v>50</v>
      </c>
      <c r="AD151" t="s">
        <v>50</v>
      </c>
      <c r="AE151" t="s">
        <v>50</v>
      </c>
      <c r="AF151" t="s">
        <v>78</v>
      </c>
      <c r="AG151" t="s">
        <v>4442</v>
      </c>
      <c r="AH151" t="s">
        <v>78</v>
      </c>
      <c r="AI151" t="s">
        <v>4442</v>
      </c>
      <c r="AJ151" t="s">
        <v>78</v>
      </c>
      <c r="AK151" t="s">
        <v>4442</v>
      </c>
      <c r="AL151" t="s">
        <v>4146</v>
      </c>
    </row>
    <row r="152" spans="1:38" ht="11.25" customHeight="1">
      <c r="A152" t="s">
        <v>9</v>
      </c>
      <c r="B152" t="s">
        <v>36</v>
      </c>
      <c r="C152" t="s">
        <v>38</v>
      </c>
      <c r="D152" t="s">
        <v>9</v>
      </c>
      <c r="E152" t="s">
        <v>1449</v>
      </c>
      <c r="F152" t="s">
        <v>1438</v>
      </c>
      <c r="G152" t="s">
        <v>1527</v>
      </c>
      <c r="H152" t="s">
        <v>1528</v>
      </c>
      <c r="I152" t="s">
        <v>1529</v>
      </c>
      <c r="J152" t="s">
        <v>1530</v>
      </c>
      <c r="K152" t="s">
        <v>1531</v>
      </c>
      <c r="L152" t="s">
        <v>1532</v>
      </c>
      <c r="M152" t="s">
        <v>1442</v>
      </c>
      <c r="N152" t="s">
        <v>164</v>
      </c>
      <c r="O152" t="s">
        <v>1527</v>
      </c>
      <c r="P152" t="s">
        <v>1528</v>
      </c>
      <c r="Q152" t="s">
        <v>1529</v>
      </c>
      <c r="R152" t="s">
        <v>1530</v>
      </c>
      <c r="S152" t="s">
        <v>1531</v>
      </c>
      <c r="T152" t="s">
        <v>4138</v>
      </c>
      <c r="U152" t="s">
        <v>4139</v>
      </c>
      <c r="V152" t="s">
        <v>624</v>
      </c>
      <c r="W152" t="s">
        <v>4140</v>
      </c>
      <c r="X152" t="s">
        <v>4141</v>
      </c>
      <c r="Y152" t="s">
        <v>4142</v>
      </c>
      <c r="Z152" t="s">
        <v>4435</v>
      </c>
      <c r="AA152" t="s">
        <v>4144</v>
      </c>
      <c r="AB152" t="s">
        <v>624</v>
      </c>
      <c r="AC152" t="s">
        <v>50</v>
      </c>
      <c r="AD152" t="s">
        <v>50</v>
      </c>
      <c r="AE152" t="s">
        <v>50</v>
      </c>
      <c r="AF152" t="s">
        <v>1058</v>
      </c>
      <c r="AG152" t="s">
        <v>4443</v>
      </c>
      <c r="AH152" t="s">
        <v>1058</v>
      </c>
      <c r="AI152" t="s">
        <v>4443</v>
      </c>
      <c r="AJ152" t="s">
        <v>1058</v>
      </c>
      <c r="AK152" t="s">
        <v>4443</v>
      </c>
      <c r="AL152" t="s">
        <v>4146</v>
      </c>
    </row>
    <row r="153" spans="1:38" ht="11.25" customHeight="1">
      <c r="A153" t="s">
        <v>9</v>
      </c>
      <c r="B153" t="s">
        <v>36</v>
      </c>
      <c r="C153" t="s">
        <v>38</v>
      </c>
      <c r="D153" t="s">
        <v>9</v>
      </c>
      <c r="E153" t="s">
        <v>1500</v>
      </c>
      <c r="F153" t="s">
        <v>1438</v>
      </c>
      <c r="G153" t="s">
        <v>108</v>
      </c>
      <c r="H153" t="s">
        <v>108</v>
      </c>
      <c r="I153" t="s">
        <v>109</v>
      </c>
      <c r="J153" t="s">
        <v>4445</v>
      </c>
      <c r="K153" t="s">
        <v>4446</v>
      </c>
      <c r="L153" t="s">
        <v>4447</v>
      </c>
      <c r="M153" t="s">
        <v>4448</v>
      </c>
      <c r="N153" t="s">
        <v>164</v>
      </c>
      <c r="O153" t="s">
        <v>108</v>
      </c>
      <c r="P153" t="s">
        <v>108</v>
      </c>
      <c r="Q153" t="s">
        <v>109</v>
      </c>
      <c r="R153" t="s">
        <v>4445</v>
      </c>
      <c r="S153" t="s">
        <v>4446</v>
      </c>
      <c r="T153" t="s">
        <v>4165</v>
      </c>
      <c r="U153" t="s">
        <v>4168</v>
      </c>
      <c r="V153" t="s">
        <v>624</v>
      </c>
      <c r="W153" t="s">
        <v>4140</v>
      </c>
      <c r="X153" t="s">
        <v>4167</v>
      </c>
      <c r="Y153" t="s">
        <v>4168</v>
      </c>
      <c r="Z153" t="s">
        <v>4449</v>
      </c>
      <c r="AA153" t="s">
        <v>4450</v>
      </c>
      <c r="AB153" t="s">
        <v>624</v>
      </c>
      <c r="AC153" t="s">
        <v>50</v>
      </c>
      <c r="AD153" t="s">
        <v>50</v>
      </c>
      <c r="AE153" t="s">
        <v>50</v>
      </c>
      <c r="AF153" t="s">
        <v>381</v>
      </c>
      <c r="AG153" t="s">
        <v>4451</v>
      </c>
      <c r="AH153" t="s">
        <v>381</v>
      </c>
      <c r="AI153" t="s">
        <v>4451</v>
      </c>
      <c r="AJ153" t="s">
        <v>381</v>
      </c>
      <c r="AK153" t="s">
        <v>4451</v>
      </c>
      <c r="AL153" t="s">
        <v>4146</v>
      </c>
    </row>
    <row r="154" spans="1:38" ht="11.25" customHeight="1">
      <c r="A154" t="s">
        <v>9</v>
      </c>
      <c r="B154" t="s">
        <v>36</v>
      </c>
      <c r="C154" t="s">
        <v>38</v>
      </c>
      <c r="D154" t="s">
        <v>9</v>
      </c>
      <c r="E154" t="s">
        <v>4261</v>
      </c>
      <c r="F154" t="s">
        <v>1438</v>
      </c>
      <c r="G154" t="s">
        <v>108</v>
      </c>
      <c r="H154" t="s">
        <v>108</v>
      </c>
      <c r="I154" t="s">
        <v>109</v>
      </c>
      <c r="J154" t="s">
        <v>4445</v>
      </c>
      <c r="K154" t="s">
        <v>4446</v>
      </c>
      <c r="L154" t="s">
        <v>4175</v>
      </c>
      <c r="M154" t="s">
        <v>4452</v>
      </c>
      <c r="N154" t="s">
        <v>164</v>
      </c>
      <c r="O154" t="s">
        <v>108</v>
      </c>
      <c r="P154" t="s">
        <v>108</v>
      </c>
      <c r="Q154" t="s">
        <v>109</v>
      </c>
      <c r="R154" t="s">
        <v>4445</v>
      </c>
      <c r="S154" t="s">
        <v>4446</v>
      </c>
      <c r="T154" t="s">
        <v>4165</v>
      </c>
      <c r="U154" t="s">
        <v>4168</v>
      </c>
      <c r="V154" t="s">
        <v>624</v>
      </c>
      <c r="W154" t="s">
        <v>4140</v>
      </c>
      <c r="X154" t="s">
        <v>4167</v>
      </c>
      <c r="Y154" t="s">
        <v>4168</v>
      </c>
      <c r="Z154" t="s">
        <v>4449</v>
      </c>
      <c r="AA154" t="s">
        <v>4450</v>
      </c>
      <c r="AB154" t="s">
        <v>624</v>
      </c>
      <c r="AC154" t="s">
        <v>50</v>
      </c>
      <c r="AD154" t="s">
        <v>50</v>
      </c>
      <c r="AE154" t="s">
        <v>50</v>
      </c>
      <c r="AF154" t="s">
        <v>89</v>
      </c>
      <c r="AG154" t="s">
        <v>4453</v>
      </c>
      <c r="AH154" t="s">
        <v>89</v>
      </c>
      <c r="AI154" t="s">
        <v>4453</v>
      </c>
      <c r="AJ154" t="s">
        <v>89</v>
      </c>
      <c r="AK154" t="s">
        <v>4453</v>
      </c>
      <c r="AL154" t="s">
        <v>4146</v>
      </c>
    </row>
    <row r="155" spans="1:38" ht="11.25" customHeight="1">
      <c r="A155" t="s">
        <v>9</v>
      </c>
      <c r="B155" t="s">
        <v>36</v>
      </c>
      <c r="C155" t="s">
        <v>38</v>
      </c>
      <c r="D155" t="s">
        <v>9</v>
      </c>
      <c r="E155" t="s">
        <v>1437</v>
      </c>
      <c r="F155" t="s">
        <v>1438</v>
      </c>
      <c r="G155" t="s">
        <v>108</v>
      </c>
      <c r="H155" t="s">
        <v>108</v>
      </c>
      <c r="I155" t="s">
        <v>109</v>
      </c>
      <c r="J155" t="s">
        <v>4454</v>
      </c>
      <c r="K155" t="s">
        <v>4455</v>
      </c>
      <c r="L155" t="s">
        <v>4354</v>
      </c>
      <c r="M155" t="s">
        <v>4456</v>
      </c>
      <c r="N155" t="s">
        <v>164</v>
      </c>
      <c r="O155" t="s">
        <v>108</v>
      </c>
      <c r="P155" t="s">
        <v>108</v>
      </c>
      <c r="Q155" t="s">
        <v>109</v>
      </c>
      <c r="R155" t="s">
        <v>4454</v>
      </c>
      <c r="S155" t="s">
        <v>4455</v>
      </c>
      <c r="T155" t="s">
        <v>4138</v>
      </c>
      <c r="U155" t="s">
        <v>4139</v>
      </c>
      <c r="V155" t="s">
        <v>624</v>
      </c>
      <c r="W155" t="s">
        <v>4140</v>
      </c>
      <c r="X155" t="s">
        <v>4141</v>
      </c>
      <c r="Y155" t="s">
        <v>4142</v>
      </c>
      <c r="Z155" t="s">
        <v>4457</v>
      </c>
      <c r="AA155" t="s">
        <v>4144</v>
      </c>
      <c r="AB155" t="s">
        <v>624</v>
      </c>
      <c r="AC155" t="s">
        <v>50</v>
      </c>
      <c r="AD155" t="s">
        <v>50</v>
      </c>
      <c r="AE155" t="s">
        <v>50</v>
      </c>
      <c r="AF155" t="s">
        <v>80</v>
      </c>
      <c r="AG155" t="s">
        <v>4458</v>
      </c>
      <c r="AH155" t="s">
        <v>80</v>
      </c>
      <c r="AI155" t="s">
        <v>4458</v>
      </c>
      <c r="AJ155" t="s">
        <v>80</v>
      </c>
      <c r="AK155" t="s">
        <v>4458</v>
      </c>
      <c r="AL155" t="s">
        <v>4146</v>
      </c>
    </row>
    <row r="156" spans="1:38" ht="11.25" customHeight="1">
      <c r="A156" t="s">
        <v>9</v>
      </c>
      <c r="B156" t="s">
        <v>36</v>
      </c>
      <c r="C156" t="s">
        <v>38</v>
      </c>
      <c r="D156" t="s">
        <v>9</v>
      </c>
      <c r="E156" t="s">
        <v>4147</v>
      </c>
      <c r="F156" t="s">
        <v>4148</v>
      </c>
      <c r="G156" t="s">
        <v>108</v>
      </c>
      <c r="H156" t="s">
        <v>108</v>
      </c>
      <c r="I156" t="s">
        <v>109</v>
      </c>
      <c r="J156" t="s">
        <v>4454</v>
      </c>
      <c r="K156" t="s">
        <v>4455</v>
      </c>
      <c r="L156" t="s">
        <v>4354</v>
      </c>
      <c r="M156" t="s">
        <v>4456</v>
      </c>
      <c r="N156" t="s">
        <v>164</v>
      </c>
      <c r="O156" t="s">
        <v>108</v>
      </c>
      <c r="P156" t="s">
        <v>108</v>
      </c>
      <c r="Q156" t="s">
        <v>109</v>
      </c>
      <c r="R156" t="s">
        <v>4454</v>
      </c>
      <c r="S156" t="s">
        <v>4455</v>
      </c>
      <c r="T156" t="s">
        <v>4138</v>
      </c>
      <c r="U156" t="s">
        <v>4139</v>
      </c>
      <c r="V156" t="s">
        <v>624</v>
      </c>
      <c r="W156" t="s">
        <v>4140</v>
      </c>
      <c r="X156" t="s">
        <v>4141</v>
      </c>
      <c r="Y156" t="s">
        <v>4142</v>
      </c>
      <c r="Z156" t="s">
        <v>4457</v>
      </c>
      <c r="AA156" t="s">
        <v>4144</v>
      </c>
      <c r="AB156" t="s">
        <v>624</v>
      </c>
      <c r="AC156" t="s">
        <v>6</v>
      </c>
      <c r="AD156" t="s">
        <v>50</v>
      </c>
      <c r="AE156" t="s">
        <v>6</v>
      </c>
      <c r="AF156" t="s">
        <v>9</v>
      </c>
      <c r="AG156" t="s">
        <v>9</v>
      </c>
      <c r="AH156" t="s">
        <v>80</v>
      </c>
      <c r="AI156" t="s">
        <v>4458</v>
      </c>
      <c r="AJ156" t="s">
        <v>80</v>
      </c>
      <c r="AK156" t="s">
        <v>4458</v>
      </c>
      <c r="AL156" t="s">
        <v>9</v>
      </c>
    </row>
    <row r="157" spans="1:38" ht="11.25" customHeight="1">
      <c r="A157" t="s">
        <v>9</v>
      </c>
      <c r="B157" t="s">
        <v>36</v>
      </c>
      <c r="C157" t="s">
        <v>38</v>
      </c>
      <c r="D157" t="s">
        <v>9</v>
      </c>
      <c r="E157" t="s">
        <v>1449</v>
      </c>
      <c r="F157" t="s">
        <v>1438</v>
      </c>
      <c r="G157" t="s">
        <v>108</v>
      </c>
      <c r="H157" t="s">
        <v>108</v>
      </c>
      <c r="I157" t="s">
        <v>109</v>
      </c>
      <c r="J157" t="s">
        <v>4454</v>
      </c>
      <c r="K157" t="s">
        <v>4455</v>
      </c>
      <c r="L157" t="s">
        <v>4203</v>
      </c>
      <c r="M157" t="s">
        <v>4459</v>
      </c>
      <c r="N157" t="s">
        <v>164</v>
      </c>
      <c r="O157" t="s">
        <v>108</v>
      </c>
      <c r="P157" t="s">
        <v>108</v>
      </c>
      <c r="Q157" t="s">
        <v>109</v>
      </c>
      <c r="R157" t="s">
        <v>4454</v>
      </c>
      <c r="S157" t="s">
        <v>4455</v>
      </c>
      <c r="T157" t="s">
        <v>4138</v>
      </c>
      <c r="U157" t="s">
        <v>4139</v>
      </c>
      <c r="V157" t="s">
        <v>624</v>
      </c>
      <c r="W157" t="s">
        <v>4140</v>
      </c>
      <c r="X157" t="s">
        <v>4141</v>
      </c>
      <c r="Y157" t="s">
        <v>4142</v>
      </c>
      <c r="Z157" t="s">
        <v>4460</v>
      </c>
      <c r="AA157" t="s">
        <v>4144</v>
      </c>
      <c r="AB157" t="s">
        <v>624</v>
      </c>
      <c r="AC157" t="s">
        <v>50</v>
      </c>
      <c r="AD157" t="s">
        <v>50</v>
      </c>
      <c r="AE157" t="s">
        <v>50</v>
      </c>
      <c r="AF157" t="s">
        <v>1056</v>
      </c>
      <c r="AG157" t="s">
        <v>4461</v>
      </c>
      <c r="AH157" t="s">
        <v>1056</v>
      </c>
      <c r="AI157" t="s">
        <v>4461</v>
      </c>
      <c r="AJ157" t="s">
        <v>1056</v>
      </c>
      <c r="AK157" t="s">
        <v>4461</v>
      </c>
      <c r="AL157" t="s">
        <v>4146</v>
      </c>
    </row>
    <row r="158" spans="1:38" ht="11.25" customHeight="1">
      <c r="A158" t="s">
        <v>9</v>
      </c>
      <c r="B158" t="s">
        <v>36</v>
      </c>
      <c r="C158" t="s">
        <v>38</v>
      </c>
      <c r="D158" t="s">
        <v>9</v>
      </c>
      <c r="E158" t="s">
        <v>1456</v>
      </c>
      <c r="F158" t="s">
        <v>1438</v>
      </c>
      <c r="G158" t="s">
        <v>108</v>
      </c>
      <c r="H158" t="s">
        <v>108</v>
      </c>
      <c r="I158" t="s">
        <v>109</v>
      </c>
      <c r="J158" t="s">
        <v>4454</v>
      </c>
      <c r="K158" t="s">
        <v>4455</v>
      </c>
      <c r="L158" t="s">
        <v>4203</v>
      </c>
      <c r="M158" t="s">
        <v>1442</v>
      </c>
      <c r="N158" t="s">
        <v>164</v>
      </c>
      <c r="O158" t="s">
        <v>108</v>
      </c>
      <c r="P158" t="s">
        <v>108</v>
      </c>
      <c r="Q158" t="s">
        <v>109</v>
      </c>
      <c r="R158" t="s">
        <v>4454</v>
      </c>
      <c r="S158" t="s">
        <v>4455</v>
      </c>
      <c r="T158" t="s">
        <v>4165</v>
      </c>
      <c r="U158" t="s">
        <v>4168</v>
      </c>
      <c r="V158" t="s">
        <v>624</v>
      </c>
      <c r="W158" t="s">
        <v>4140</v>
      </c>
      <c r="X158" t="s">
        <v>4167</v>
      </c>
      <c r="Y158" t="s">
        <v>4168</v>
      </c>
      <c r="Z158" t="s">
        <v>80</v>
      </c>
      <c r="AA158" t="s">
        <v>4462</v>
      </c>
      <c r="AB158" t="s">
        <v>624</v>
      </c>
      <c r="AC158" t="s">
        <v>50</v>
      </c>
      <c r="AD158" t="s">
        <v>50</v>
      </c>
      <c r="AE158" t="s">
        <v>50</v>
      </c>
      <c r="AF158" t="s">
        <v>4226</v>
      </c>
      <c r="AG158" t="s">
        <v>4463</v>
      </c>
      <c r="AH158" t="s">
        <v>4226</v>
      </c>
      <c r="AI158" t="s">
        <v>4463</v>
      </c>
      <c r="AJ158" t="s">
        <v>4226</v>
      </c>
      <c r="AK158" t="s">
        <v>4463</v>
      </c>
      <c r="AL158" t="s">
        <v>4146</v>
      </c>
    </row>
    <row r="159" spans="1:38" ht="11.25" customHeight="1">
      <c r="A159" t="s">
        <v>9</v>
      </c>
      <c r="B159" t="s">
        <v>36</v>
      </c>
      <c r="C159" t="s">
        <v>38</v>
      </c>
      <c r="D159" t="s">
        <v>9</v>
      </c>
      <c r="E159" t="s">
        <v>1437</v>
      </c>
      <c r="F159" t="s">
        <v>1438</v>
      </c>
      <c r="G159" t="s">
        <v>3687</v>
      </c>
      <c r="H159" t="s">
        <v>3693</v>
      </c>
      <c r="I159" t="s">
        <v>3694</v>
      </c>
      <c r="J159" t="s">
        <v>4454</v>
      </c>
      <c r="K159" t="s">
        <v>4464</v>
      </c>
      <c r="L159" t="s">
        <v>4354</v>
      </c>
      <c r="M159" t="s">
        <v>4456</v>
      </c>
      <c r="N159" t="s">
        <v>164</v>
      </c>
      <c r="O159" t="s">
        <v>3687</v>
      </c>
      <c r="P159" t="s">
        <v>3693</v>
      </c>
      <c r="Q159" t="s">
        <v>3694</v>
      </c>
      <c r="R159" t="s">
        <v>4454</v>
      </c>
      <c r="S159" t="s">
        <v>4464</v>
      </c>
      <c r="T159" t="s">
        <v>4138</v>
      </c>
      <c r="U159" t="s">
        <v>4139</v>
      </c>
      <c r="V159" t="s">
        <v>624</v>
      </c>
      <c r="W159" t="s">
        <v>4140</v>
      </c>
      <c r="X159" t="s">
        <v>4141</v>
      </c>
      <c r="Y159" t="s">
        <v>4142</v>
      </c>
      <c r="Z159" t="s">
        <v>4457</v>
      </c>
      <c r="AA159" t="s">
        <v>4144</v>
      </c>
      <c r="AB159" t="s">
        <v>624</v>
      </c>
      <c r="AC159" t="s">
        <v>50</v>
      </c>
      <c r="AD159" t="s">
        <v>50</v>
      </c>
      <c r="AE159" t="s">
        <v>50</v>
      </c>
      <c r="AF159" t="s">
        <v>80</v>
      </c>
      <c r="AG159" t="s">
        <v>4458</v>
      </c>
      <c r="AH159" t="s">
        <v>80</v>
      </c>
      <c r="AI159" t="s">
        <v>4458</v>
      </c>
      <c r="AJ159" t="s">
        <v>80</v>
      </c>
      <c r="AK159" t="s">
        <v>4458</v>
      </c>
      <c r="AL159" t="s">
        <v>4146</v>
      </c>
    </row>
    <row r="160" spans="1:38" ht="11.25" customHeight="1">
      <c r="A160" t="s">
        <v>9</v>
      </c>
      <c r="B160" t="s">
        <v>36</v>
      </c>
      <c r="C160" t="s">
        <v>38</v>
      </c>
      <c r="D160" t="s">
        <v>9</v>
      </c>
      <c r="E160" t="s">
        <v>4147</v>
      </c>
      <c r="F160" t="s">
        <v>4148</v>
      </c>
      <c r="G160" t="s">
        <v>3687</v>
      </c>
      <c r="H160" t="s">
        <v>3693</v>
      </c>
      <c r="I160" t="s">
        <v>3694</v>
      </c>
      <c r="J160" t="s">
        <v>4454</v>
      </c>
      <c r="K160" t="s">
        <v>4464</v>
      </c>
      <c r="L160" t="s">
        <v>4354</v>
      </c>
      <c r="M160" t="s">
        <v>4456</v>
      </c>
      <c r="N160" t="s">
        <v>164</v>
      </c>
      <c r="O160" t="s">
        <v>3687</v>
      </c>
      <c r="P160" t="s">
        <v>3693</v>
      </c>
      <c r="Q160" t="s">
        <v>3694</v>
      </c>
      <c r="R160" t="s">
        <v>4454</v>
      </c>
      <c r="S160" t="s">
        <v>4464</v>
      </c>
      <c r="T160" t="s">
        <v>4138</v>
      </c>
      <c r="U160" t="s">
        <v>4139</v>
      </c>
      <c r="V160" t="s">
        <v>624</v>
      </c>
      <c r="W160" t="s">
        <v>4140</v>
      </c>
      <c r="X160" t="s">
        <v>4141</v>
      </c>
      <c r="Y160" t="s">
        <v>4142</v>
      </c>
      <c r="Z160" t="s">
        <v>4457</v>
      </c>
      <c r="AA160" t="s">
        <v>4144</v>
      </c>
      <c r="AB160" t="s">
        <v>624</v>
      </c>
      <c r="AC160" t="s">
        <v>6</v>
      </c>
      <c r="AD160" t="s">
        <v>50</v>
      </c>
      <c r="AE160" t="s">
        <v>6</v>
      </c>
      <c r="AF160" t="s">
        <v>9</v>
      </c>
      <c r="AG160" t="s">
        <v>9</v>
      </c>
      <c r="AH160" t="s">
        <v>80</v>
      </c>
      <c r="AI160" t="s">
        <v>4458</v>
      </c>
      <c r="AJ160" t="s">
        <v>80</v>
      </c>
      <c r="AK160" t="s">
        <v>4458</v>
      </c>
      <c r="AL160" t="s">
        <v>9</v>
      </c>
    </row>
    <row r="161" spans="1:38" ht="11.25" customHeight="1">
      <c r="A161" t="s">
        <v>9</v>
      </c>
      <c r="B161" t="s">
        <v>36</v>
      </c>
      <c r="C161" t="s">
        <v>38</v>
      </c>
      <c r="D161" t="s">
        <v>9</v>
      </c>
      <c r="E161" t="s">
        <v>1449</v>
      </c>
      <c r="F161" t="s">
        <v>1438</v>
      </c>
      <c r="G161" t="s">
        <v>3687</v>
      </c>
      <c r="H161" t="s">
        <v>3693</v>
      </c>
      <c r="I161" t="s">
        <v>3694</v>
      </c>
      <c r="J161" t="s">
        <v>4454</v>
      </c>
      <c r="K161" t="s">
        <v>4464</v>
      </c>
      <c r="L161" t="s">
        <v>4203</v>
      </c>
      <c r="M161" t="s">
        <v>4459</v>
      </c>
      <c r="N161" t="s">
        <v>164</v>
      </c>
      <c r="O161" t="s">
        <v>3687</v>
      </c>
      <c r="P161" t="s">
        <v>3693</v>
      </c>
      <c r="Q161" t="s">
        <v>3694</v>
      </c>
      <c r="R161" t="s">
        <v>4454</v>
      </c>
      <c r="S161" t="s">
        <v>4464</v>
      </c>
      <c r="T161" t="s">
        <v>4138</v>
      </c>
      <c r="U161" t="s">
        <v>4139</v>
      </c>
      <c r="V161" t="s">
        <v>624</v>
      </c>
      <c r="W161" t="s">
        <v>4140</v>
      </c>
      <c r="X161" t="s">
        <v>4141</v>
      </c>
      <c r="Y161" t="s">
        <v>4142</v>
      </c>
      <c r="Z161" t="s">
        <v>4460</v>
      </c>
      <c r="AA161" t="s">
        <v>4144</v>
      </c>
      <c r="AB161" t="s">
        <v>624</v>
      </c>
      <c r="AC161" t="s">
        <v>50</v>
      </c>
      <c r="AD161" t="s">
        <v>50</v>
      </c>
      <c r="AE161" t="s">
        <v>50</v>
      </c>
      <c r="AF161" t="s">
        <v>1056</v>
      </c>
      <c r="AG161" t="s">
        <v>4461</v>
      </c>
      <c r="AH161" t="s">
        <v>1056</v>
      </c>
      <c r="AI161" t="s">
        <v>4461</v>
      </c>
      <c r="AJ161" t="s">
        <v>1056</v>
      </c>
      <c r="AK161" t="s">
        <v>4461</v>
      </c>
      <c r="AL161" t="s">
        <v>4146</v>
      </c>
    </row>
    <row r="162" spans="1:38" ht="11.25" customHeight="1">
      <c r="A162" t="s">
        <v>9</v>
      </c>
      <c r="B162" t="s">
        <v>36</v>
      </c>
      <c r="C162" t="s">
        <v>38</v>
      </c>
      <c r="D162" t="s">
        <v>9</v>
      </c>
      <c r="E162" t="s">
        <v>1437</v>
      </c>
      <c r="F162" t="s">
        <v>1438</v>
      </c>
      <c r="G162" t="s">
        <v>112</v>
      </c>
      <c r="H162" t="s">
        <v>112</v>
      </c>
      <c r="I162" t="s">
        <v>113</v>
      </c>
      <c r="J162" t="s">
        <v>4465</v>
      </c>
      <c r="K162" t="s">
        <v>4466</v>
      </c>
      <c r="L162" t="s">
        <v>1442</v>
      </c>
      <c r="M162" t="s">
        <v>1442</v>
      </c>
      <c r="N162" t="s">
        <v>164</v>
      </c>
      <c r="O162" t="s">
        <v>112</v>
      </c>
      <c r="P162" t="s">
        <v>112</v>
      </c>
      <c r="Q162" t="s">
        <v>113</v>
      </c>
      <c r="R162" t="s">
        <v>4465</v>
      </c>
      <c r="S162" t="s">
        <v>4466</v>
      </c>
      <c r="T162" t="s">
        <v>4138</v>
      </c>
      <c r="U162" t="s">
        <v>4139</v>
      </c>
      <c r="V162" t="s">
        <v>624</v>
      </c>
      <c r="W162" t="s">
        <v>4140</v>
      </c>
      <c r="X162" t="s">
        <v>4467</v>
      </c>
      <c r="Y162" t="s">
        <v>4142</v>
      </c>
      <c r="Z162" t="s">
        <v>4468</v>
      </c>
      <c r="AA162" t="s">
        <v>4469</v>
      </c>
      <c r="AB162" t="s">
        <v>624</v>
      </c>
      <c r="AC162" t="s">
        <v>50</v>
      </c>
      <c r="AD162" t="s">
        <v>50</v>
      </c>
      <c r="AE162" t="s">
        <v>50</v>
      </c>
      <c r="AF162" t="s">
        <v>4470</v>
      </c>
      <c r="AG162" t="s">
        <v>4471</v>
      </c>
      <c r="AH162" t="s">
        <v>4470</v>
      </c>
      <c r="AI162" t="s">
        <v>4471</v>
      </c>
      <c r="AJ162" t="s">
        <v>4470</v>
      </c>
      <c r="AK162" t="s">
        <v>4471</v>
      </c>
      <c r="AL162" t="s">
        <v>4146</v>
      </c>
    </row>
    <row r="163" spans="1:38" ht="11.25" customHeight="1">
      <c r="A163" t="s">
        <v>9</v>
      </c>
      <c r="B163" t="s">
        <v>36</v>
      </c>
      <c r="C163" t="s">
        <v>38</v>
      </c>
      <c r="D163" t="s">
        <v>9</v>
      </c>
      <c r="E163" t="s">
        <v>1449</v>
      </c>
      <c r="F163" t="s">
        <v>1438</v>
      </c>
      <c r="G163" t="s">
        <v>112</v>
      </c>
      <c r="H163" t="s">
        <v>112</v>
      </c>
      <c r="I163" t="s">
        <v>113</v>
      </c>
      <c r="J163" t="s">
        <v>4465</v>
      </c>
      <c r="K163" t="s">
        <v>4466</v>
      </c>
      <c r="L163" t="s">
        <v>1442</v>
      </c>
      <c r="M163" t="s">
        <v>1442</v>
      </c>
      <c r="N163" t="s">
        <v>164</v>
      </c>
      <c r="O163" t="s">
        <v>112</v>
      </c>
      <c r="P163" t="s">
        <v>112</v>
      </c>
      <c r="Q163" t="s">
        <v>113</v>
      </c>
      <c r="R163" t="s">
        <v>4465</v>
      </c>
      <c r="S163" t="s">
        <v>4466</v>
      </c>
      <c r="T163" t="s">
        <v>4138</v>
      </c>
      <c r="U163" t="s">
        <v>4139</v>
      </c>
      <c r="V163" t="s">
        <v>624</v>
      </c>
      <c r="W163" t="s">
        <v>4140</v>
      </c>
      <c r="X163" t="s">
        <v>4467</v>
      </c>
      <c r="Y163" t="s">
        <v>4142</v>
      </c>
      <c r="Z163" t="s">
        <v>4472</v>
      </c>
      <c r="AA163" t="s">
        <v>4469</v>
      </c>
      <c r="AB163" t="s">
        <v>624</v>
      </c>
      <c r="AC163" t="s">
        <v>50</v>
      </c>
      <c r="AD163" t="s">
        <v>50</v>
      </c>
      <c r="AE163" t="s">
        <v>50</v>
      </c>
      <c r="AF163" t="s">
        <v>4226</v>
      </c>
      <c r="AG163" t="s">
        <v>4473</v>
      </c>
      <c r="AH163" t="s">
        <v>4226</v>
      </c>
      <c r="AI163" t="s">
        <v>4473</v>
      </c>
      <c r="AJ163" t="s">
        <v>4226</v>
      </c>
      <c r="AK163" t="s">
        <v>4473</v>
      </c>
      <c r="AL163" t="s">
        <v>4146</v>
      </c>
    </row>
    <row r="164" spans="1:38" ht="11.25" customHeight="1">
      <c r="A164" t="s">
        <v>9</v>
      </c>
      <c r="B164" t="s">
        <v>36</v>
      </c>
      <c r="C164" t="s">
        <v>38</v>
      </c>
      <c r="D164" t="s">
        <v>9</v>
      </c>
      <c r="E164" t="s">
        <v>1456</v>
      </c>
      <c r="F164" t="s">
        <v>1438</v>
      </c>
      <c r="G164" t="s">
        <v>112</v>
      </c>
      <c r="H164" t="s">
        <v>112</v>
      </c>
      <c r="I164" t="s">
        <v>113</v>
      </c>
      <c r="J164" t="s">
        <v>4465</v>
      </c>
      <c r="K164" t="s">
        <v>4466</v>
      </c>
      <c r="L164" t="s">
        <v>1442</v>
      </c>
      <c r="M164" t="s">
        <v>1442</v>
      </c>
      <c r="N164" t="s">
        <v>164</v>
      </c>
      <c r="O164" t="s">
        <v>112</v>
      </c>
      <c r="P164" t="s">
        <v>112</v>
      </c>
      <c r="Q164" t="s">
        <v>113</v>
      </c>
      <c r="R164" t="s">
        <v>4465</v>
      </c>
      <c r="S164" t="s">
        <v>4466</v>
      </c>
      <c r="T164" t="s">
        <v>4138</v>
      </c>
      <c r="U164" t="s">
        <v>4139</v>
      </c>
      <c r="V164" t="s">
        <v>624</v>
      </c>
      <c r="W164" t="s">
        <v>4140</v>
      </c>
      <c r="X164" t="s">
        <v>4467</v>
      </c>
      <c r="Y164" t="s">
        <v>4142</v>
      </c>
      <c r="Z164" t="s">
        <v>4474</v>
      </c>
      <c r="AA164" t="s">
        <v>4469</v>
      </c>
      <c r="AB164" t="s">
        <v>624</v>
      </c>
      <c r="AC164" t="s">
        <v>50</v>
      </c>
      <c r="AD164" t="s">
        <v>50</v>
      </c>
      <c r="AE164" t="s">
        <v>50</v>
      </c>
      <c r="AF164" t="s">
        <v>4226</v>
      </c>
      <c r="AG164" t="s">
        <v>4475</v>
      </c>
      <c r="AH164" t="s">
        <v>4226</v>
      </c>
      <c r="AI164" t="s">
        <v>4475</v>
      </c>
      <c r="AJ164" t="s">
        <v>4226</v>
      </c>
      <c r="AK164" t="s">
        <v>4475</v>
      </c>
      <c r="AL164" t="s">
        <v>4146</v>
      </c>
    </row>
    <row r="165" spans="1:38" ht="11.25" customHeight="1">
      <c r="A165" t="s">
        <v>9</v>
      </c>
      <c r="B165" t="s">
        <v>36</v>
      </c>
      <c r="C165" t="s">
        <v>38</v>
      </c>
      <c r="D165" t="s">
        <v>9</v>
      </c>
      <c r="E165" t="s">
        <v>4476</v>
      </c>
      <c r="F165" t="s">
        <v>1438</v>
      </c>
      <c r="G165" t="s">
        <v>116</v>
      </c>
      <c r="H165" t="s">
        <v>116</v>
      </c>
      <c r="I165" t="s">
        <v>117</v>
      </c>
      <c r="J165" t="s">
        <v>4477</v>
      </c>
      <c r="K165" t="s">
        <v>4478</v>
      </c>
      <c r="L165" t="s">
        <v>4479</v>
      </c>
      <c r="M165" t="s">
        <v>1442</v>
      </c>
      <c r="N165" t="s">
        <v>164</v>
      </c>
      <c r="O165" t="s">
        <v>116</v>
      </c>
      <c r="P165" t="s">
        <v>116</v>
      </c>
      <c r="Q165" t="s">
        <v>117</v>
      </c>
      <c r="R165" t="s">
        <v>4477</v>
      </c>
      <c r="S165" t="s">
        <v>4478</v>
      </c>
      <c r="T165" t="s">
        <v>4138</v>
      </c>
      <c r="U165" t="s">
        <v>4139</v>
      </c>
      <c r="V165" t="s">
        <v>624</v>
      </c>
      <c r="W165" t="s">
        <v>4140</v>
      </c>
      <c r="X165" t="s">
        <v>4141</v>
      </c>
      <c r="Y165" t="s">
        <v>4142</v>
      </c>
      <c r="Z165" t="s">
        <v>4480</v>
      </c>
      <c r="AA165" t="s">
        <v>4481</v>
      </c>
      <c r="AB165" t="s">
        <v>624</v>
      </c>
      <c r="AC165" t="s">
        <v>50</v>
      </c>
      <c r="AD165" t="s">
        <v>50</v>
      </c>
      <c r="AE165" t="s">
        <v>50</v>
      </c>
      <c r="AF165" t="s">
        <v>1556</v>
      </c>
      <c r="AG165" t="s">
        <v>4482</v>
      </c>
      <c r="AH165" t="s">
        <v>1556</v>
      </c>
      <c r="AI165" t="s">
        <v>4482</v>
      </c>
      <c r="AJ165" t="s">
        <v>1556</v>
      </c>
      <c r="AK165" t="s">
        <v>4482</v>
      </c>
      <c r="AL165" t="s">
        <v>4146</v>
      </c>
    </row>
    <row r="166" spans="1:38" ht="11.25" customHeight="1">
      <c r="A166" t="s">
        <v>9</v>
      </c>
      <c r="B166" t="s">
        <v>36</v>
      </c>
      <c r="C166" t="s">
        <v>38</v>
      </c>
      <c r="D166" t="s">
        <v>9</v>
      </c>
      <c r="E166" t="s">
        <v>4476</v>
      </c>
      <c r="F166" t="s">
        <v>1438</v>
      </c>
      <c r="G166" t="s">
        <v>3726</v>
      </c>
      <c r="H166" t="s">
        <v>3738</v>
      </c>
      <c r="I166" t="s">
        <v>3739</v>
      </c>
      <c r="J166" t="s">
        <v>4477</v>
      </c>
      <c r="K166" t="s">
        <v>4483</v>
      </c>
      <c r="L166" t="s">
        <v>4479</v>
      </c>
      <c r="M166" t="s">
        <v>1442</v>
      </c>
      <c r="N166" t="s">
        <v>164</v>
      </c>
      <c r="O166" t="s">
        <v>3726</v>
      </c>
      <c r="P166" t="s">
        <v>3738</v>
      </c>
      <c r="Q166" t="s">
        <v>3739</v>
      </c>
      <c r="R166" t="s">
        <v>4477</v>
      </c>
      <c r="S166" t="s">
        <v>4483</v>
      </c>
      <c r="T166" t="s">
        <v>4138</v>
      </c>
      <c r="U166" t="s">
        <v>4139</v>
      </c>
      <c r="V166" t="s">
        <v>624</v>
      </c>
      <c r="W166" t="s">
        <v>4140</v>
      </c>
      <c r="X166" t="s">
        <v>4141</v>
      </c>
      <c r="Y166" t="s">
        <v>4142</v>
      </c>
      <c r="Z166" t="s">
        <v>4480</v>
      </c>
      <c r="AA166" t="s">
        <v>4481</v>
      </c>
      <c r="AB166" t="s">
        <v>624</v>
      </c>
      <c r="AC166" t="s">
        <v>50</v>
      </c>
      <c r="AD166" t="s">
        <v>50</v>
      </c>
      <c r="AE166" t="s">
        <v>50</v>
      </c>
      <c r="AF166" t="s">
        <v>1556</v>
      </c>
      <c r="AG166" t="s">
        <v>4482</v>
      </c>
      <c r="AH166" t="s">
        <v>1556</v>
      </c>
      <c r="AI166" t="s">
        <v>4482</v>
      </c>
      <c r="AJ166" t="s">
        <v>1556</v>
      </c>
      <c r="AK166" t="s">
        <v>4482</v>
      </c>
      <c r="AL166" t="s">
        <v>4146</v>
      </c>
    </row>
    <row r="167" spans="1:38" ht="11.25" customHeight="1">
      <c r="A167" t="s">
        <v>9</v>
      </c>
      <c r="B167" t="s">
        <v>36</v>
      </c>
      <c r="C167" t="s">
        <v>38</v>
      </c>
      <c r="D167" t="s">
        <v>9</v>
      </c>
      <c r="E167" t="s">
        <v>1437</v>
      </c>
      <c r="F167" t="s">
        <v>1438</v>
      </c>
      <c r="G167" t="s">
        <v>120</v>
      </c>
      <c r="H167" t="s">
        <v>120</v>
      </c>
      <c r="I167" t="s">
        <v>121</v>
      </c>
      <c r="J167" t="s">
        <v>1511</v>
      </c>
      <c r="K167" t="s">
        <v>4484</v>
      </c>
      <c r="L167" t="s">
        <v>4485</v>
      </c>
      <c r="M167" t="s">
        <v>4486</v>
      </c>
      <c r="N167" t="s">
        <v>164</v>
      </c>
      <c r="O167" t="s">
        <v>120</v>
      </c>
      <c r="P167" t="s">
        <v>120</v>
      </c>
      <c r="Q167" t="s">
        <v>121</v>
      </c>
      <c r="R167" t="s">
        <v>1511</v>
      </c>
      <c r="S167" t="s">
        <v>4484</v>
      </c>
      <c r="T167" t="s">
        <v>4138</v>
      </c>
      <c r="U167" t="s">
        <v>4139</v>
      </c>
      <c r="V167" t="s">
        <v>624</v>
      </c>
      <c r="W167" t="s">
        <v>4140</v>
      </c>
      <c r="X167" t="s">
        <v>4141</v>
      </c>
      <c r="Y167" t="s">
        <v>4142</v>
      </c>
      <c r="Z167" t="s">
        <v>4487</v>
      </c>
      <c r="AA167" t="s">
        <v>4144</v>
      </c>
      <c r="AB167" t="s">
        <v>624</v>
      </c>
      <c r="AC167" t="s">
        <v>50</v>
      </c>
      <c r="AD167" t="s">
        <v>50</v>
      </c>
      <c r="AE167" t="s">
        <v>50</v>
      </c>
      <c r="AF167" t="s">
        <v>2580</v>
      </c>
      <c r="AG167" t="s">
        <v>4488</v>
      </c>
      <c r="AH167" t="s">
        <v>2580</v>
      </c>
      <c r="AI167" t="s">
        <v>4488</v>
      </c>
      <c r="AJ167" t="s">
        <v>2580</v>
      </c>
      <c r="AK167" t="s">
        <v>4488</v>
      </c>
      <c r="AL167" t="s">
        <v>4146</v>
      </c>
    </row>
    <row r="168" spans="1:38" ht="11.25" customHeight="1">
      <c r="A168" t="s">
        <v>9</v>
      </c>
      <c r="B168" t="s">
        <v>36</v>
      </c>
      <c r="C168" t="s">
        <v>38</v>
      </c>
      <c r="D168" t="s">
        <v>9</v>
      </c>
      <c r="E168" t="s">
        <v>4147</v>
      </c>
      <c r="F168" t="s">
        <v>4148</v>
      </c>
      <c r="G168" t="s">
        <v>120</v>
      </c>
      <c r="H168" t="s">
        <v>120</v>
      </c>
      <c r="I168" t="s">
        <v>121</v>
      </c>
      <c r="J168" t="s">
        <v>1511</v>
      </c>
      <c r="K168" t="s">
        <v>4484</v>
      </c>
      <c r="L168" t="s">
        <v>4485</v>
      </c>
      <c r="M168" t="s">
        <v>4486</v>
      </c>
      <c r="N168" t="s">
        <v>164</v>
      </c>
      <c r="O168" t="s">
        <v>120</v>
      </c>
      <c r="P168" t="s">
        <v>120</v>
      </c>
      <c r="Q168" t="s">
        <v>121</v>
      </c>
      <c r="R168" t="s">
        <v>1511</v>
      </c>
      <c r="S168" t="s">
        <v>4484</v>
      </c>
      <c r="T168" t="s">
        <v>4138</v>
      </c>
      <c r="U168" t="s">
        <v>4139</v>
      </c>
      <c r="V168" t="s">
        <v>624</v>
      </c>
      <c r="W168" t="s">
        <v>4140</v>
      </c>
      <c r="X168" t="s">
        <v>4141</v>
      </c>
      <c r="Y168" t="s">
        <v>4142</v>
      </c>
      <c r="Z168" t="s">
        <v>4487</v>
      </c>
      <c r="AA168" t="s">
        <v>4144</v>
      </c>
      <c r="AB168" t="s">
        <v>624</v>
      </c>
      <c r="AC168" t="s">
        <v>6</v>
      </c>
      <c r="AD168" t="s">
        <v>50</v>
      </c>
      <c r="AE168" t="s">
        <v>6</v>
      </c>
      <c r="AF168" t="s">
        <v>9</v>
      </c>
      <c r="AG168" t="s">
        <v>9</v>
      </c>
      <c r="AH168" t="s">
        <v>2580</v>
      </c>
      <c r="AI168" t="s">
        <v>4488</v>
      </c>
      <c r="AJ168" t="s">
        <v>2580</v>
      </c>
      <c r="AK168" t="s">
        <v>4488</v>
      </c>
      <c r="AL168" t="s">
        <v>9</v>
      </c>
    </row>
    <row r="169" spans="1:38" ht="11.25" customHeight="1">
      <c r="A169" t="s">
        <v>9</v>
      </c>
      <c r="B169" t="s">
        <v>36</v>
      </c>
      <c r="C169" t="s">
        <v>38</v>
      </c>
      <c r="D169" t="s">
        <v>9</v>
      </c>
      <c r="E169" t="s">
        <v>1507</v>
      </c>
      <c r="F169" t="s">
        <v>1438</v>
      </c>
      <c r="G169" t="s">
        <v>120</v>
      </c>
      <c r="H169" t="s">
        <v>120</v>
      </c>
      <c r="I169" t="s">
        <v>121</v>
      </c>
      <c r="J169" t="s">
        <v>1511</v>
      </c>
      <c r="K169" t="s">
        <v>4484</v>
      </c>
      <c r="L169" t="s">
        <v>4489</v>
      </c>
      <c r="M169" t="s">
        <v>1442</v>
      </c>
      <c r="N169" t="s">
        <v>164</v>
      </c>
      <c r="O169" t="s">
        <v>120</v>
      </c>
      <c r="P169" t="s">
        <v>120</v>
      </c>
      <c r="Q169" t="s">
        <v>121</v>
      </c>
      <c r="R169" t="s">
        <v>1511</v>
      </c>
      <c r="S169" t="s">
        <v>4484</v>
      </c>
      <c r="T169" t="s">
        <v>4138</v>
      </c>
      <c r="U169" t="s">
        <v>4139</v>
      </c>
      <c r="V169" t="s">
        <v>624</v>
      </c>
      <c r="W169" t="s">
        <v>4140</v>
      </c>
      <c r="X169" t="s">
        <v>4167</v>
      </c>
      <c r="Y169" t="s">
        <v>4142</v>
      </c>
      <c r="Z169" t="s">
        <v>4490</v>
      </c>
      <c r="AA169" t="s">
        <v>4491</v>
      </c>
      <c r="AB169" t="s">
        <v>624</v>
      </c>
      <c r="AC169" t="s">
        <v>50</v>
      </c>
      <c r="AD169" t="s">
        <v>50</v>
      </c>
      <c r="AE169" t="s">
        <v>50</v>
      </c>
      <c r="AF169" t="s">
        <v>4492</v>
      </c>
      <c r="AG169" t="s">
        <v>4493</v>
      </c>
      <c r="AH169" t="s">
        <v>4492</v>
      </c>
      <c r="AI169" t="s">
        <v>4493</v>
      </c>
      <c r="AJ169" t="s">
        <v>4492</v>
      </c>
      <c r="AK169" t="s">
        <v>4493</v>
      </c>
      <c r="AL169" t="s">
        <v>4146</v>
      </c>
    </row>
    <row r="170" spans="1:38" ht="11.25" customHeight="1">
      <c r="A170" t="s">
        <v>9</v>
      </c>
      <c r="B170" t="s">
        <v>36</v>
      </c>
      <c r="C170" t="s">
        <v>38</v>
      </c>
      <c r="D170" t="s">
        <v>9</v>
      </c>
      <c r="E170" t="s">
        <v>4494</v>
      </c>
      <c r="F170" t="s">
        <v>1438</v>
      </c>
      <c r="G170" t="s">
        <v>120</v>
      </c>
      <c r="H170" t="s">
        <v>120</v>
      </c>
      <c r="I170" t="s">
        <v>121</v>
      </c>
      <c r="J170" t="s">
        <v>1511</v>
      </c>
      <c r="K170" t="s">
        <v>4484</v>
      </c>
      <c r="L170" t="s">
        <v>1450</v>
      </c>
      <c r="M170" t="s">
        <v>4495</v>
      </c>
      <c r="N170" t="s">
        <v>164</v>
      </c>
      <c r="O170" t="s">
        <v>120</v>
      </c>
      <c r="P170" t="s">
        <v>120</v>
      </c>
      <c r="Q170" t="s">
        <v>121</v>
      </c>
      <c r="R170" t="s">
        <v>1511</v>
      </c>
      <c r="S170" t="s">
        <v>4484</v>
      </c>
      <c r="T170" t="s">
        <v>4165</v>
      </c>
      <c r="U170" t="s">
        <v>4168</v>
      </c>
      <c r="V170" t="s">
        <v>624</v>
      </c>
      <c r="W170" t="s">
        <v>4140</v>
      </c>
      <c r="X170" t="s">
        <v>4167</v>
      </c>
      <c r="Y170" t="s">
        <v>4168</v>
      </c>
      <c r="Z170" t="s">
        <v>134</v>
      </c>
      <c r="AA170" t="s">
        <v>4496</v>
      </c>
      <c r="AB170" t="s">
        <v>624</v>
      </c>
      <c r="AC170" t="s">
        <v>50</v>
      </c>
      <c r="AD170" t="s">
        <v>50</v>
      </c>
      <c r="AE170" t="s">
        <v>50</v>
      </c>
      <c r="AF170" t="s">
        <v>89</v>
      </c>
      <c r="AG170" t="s">
        <v>4497</v>
      </c>
      <c r="AH170" t="s">
        <v>89</v>
      </c>
      <c r="AI170" t="s">
        <v>4497</v>
      </c>
      <c r="AJ170" t="s">
        <v>89</v>
      </c>
      <c r="AK170" t="s">
        <v>4497</v>
      </c>
      <c r="AL170" t="s">
        <v>4146</v>
      </c>
    </row>
    <row r="171" spans="1:38" ht="11.25" customHeight="1">
      <c r="A171" t="s">
        <v>9</v>
      </c>
      <c r="B171" t="s">
        <v>36</v>
      </c>
      <c r="C171" t="s">
        <v>38</v>
      </c>
      <c r="D171" t="s">
        <v>9</v>
      </c>
      <c r="E171" t="s">
        <v>1449</v>
      </c>
      <c r="F171" t="s">
        <v>1438</v>
      </c>
      <c r="G171" t="s">
        <v>120</v>
      </c>
      <c r="H171" t="s">
        <v>120</v>
      </c>
      <c r="I171" t="s">
        <v>121</v>
      </c>
      <c r="J171" t="s">
        <v>1511</v>
      </c>
      <c r="K171" t="s">
        <v>4484</v>
      </c>
      <c r="L171" t="s">
        <v>4498</v>
      </c>
      <c r="M171" t="s">
        <v>1442</v>
      </c>
      <c r="N171" t="s">
        <v>164</v>
      </c>
      <c r="O171" t="s">
        <v>120</v>
      </c>
      <c r="P171" t="s">
        <v>120</v>
      </c>
      <c r="Q171" t="s">
        <v>121</v>
      </c>
      <c r="R171" t="s">
        <v>1511</v>
      </c>
      <c r="S171" t="s">
        <v>4484</v>
      </c>
      <c r="T171" t="s">
        <v>4138</v>
      </c>
      <c r="U171" t="s">
        <v>4139</v>
      </c>
      <c r="V171" t="s">
        <v>624</v>
      </c>
      <c r="W171" t="s">
        <v>4140</v>
      </c>
      <c r="X171" t="s">
        <v>4141</v>
      </c>
      <c r="Y171" t="s">
        <v>4142</v>
      </c>
      <c r="Z171" t="s">
        <v>4499</v>
      </c>
      <c r="AA171" t="s">
        <v>4144</v>
      </c>
      <c r="AB171" t="s">
        <v>624</v>
      </c>
      <c r="AC171" t="s">
        <v>50</v>
      </c>
      <c r="AD171" t="s">
        <v>50</v>
      </c>
      <c r="AE171" t="s">
        <v>50</v>
      </c>
      <c r="AF171" t="s">
        <v>110</v>
      </c>
      <c r="AG171" t="s">
        <v>4500</v>
      </c>
      <c r="AH171" t="s">
        <v>110</v>
      </c>
      <c r="AI171" t="s">
        <v>4500</v>
      </c>
      <c r="AJ171" t="s">
        <v>110</v>
      </c>
      <c r="AK171" t="s">
        <v>4500</v>
      </c>
      <c r="AL171" t="s">
        <v>4146</v>
      </c>
    </row>
    <row r="172" spans="1:38" ht="11.25" customHeight="1">
      <c r="A172" t="s">
        <v>9</v>
      </c>
      <c r="B172" t="s">
        <v>36</v>
      </c>
      <c r="C172" t="s">
        <v>38</v>
      </c>
      <c r="D172" t="s">
        <v>9</v>
      </c>
      <c r="E172" t="s">
        <v>4155</v>
      </c>
      <c r="F172" t="s">
        <v>4148</v>
      </c>
      <c r="G172" t="s">
        <v>120</v>
      </c>
      <c r="H172" t="s">
        <v>120</v>
      </c>
      <c r="I172" t="s">
        <v>121</v>
      </c>
      <c r="J172" t="s">
        <v>1511</v>
      </c>
      <c r="K172" t="s">
        <v>4484</v>
      </c>
      <c r="L172" t="s">
        <v>4498</v>
      </c>
      <c r="M172" t="s">
        <v>1442</v>
      </c>
      <c r="N172" t="s">
        <v>164</v>
      </c>
      <c r="O172" t="s">
        <v>120</v>
      </c>
      <c r="P172" t="s">
        <v>120</v>
      </c>
      <c r="Q172" t="s">
        <v>121</v>
      </c>
      <c r="R172" t="s">
        <v>1511</v>
      </c>
      <c r="S172" t="s">
        <v>4484</v>
      </c>
      <c r="T172" t="s">
        <v>4138</v>
      </c>
      <c r="U172" t="s">
        <v>4139</v>
      </c>
      <c r="V172" t="s">
        <v>624</v>
      </c>
      <c r="W172" t="s">
        <v>4140</v>
      </c>
      <c r="X172" t="s">
        <v>4141</v>
      </c>
      <c r="Y172" t="s">
        <v>4142</v>
      </c>
      <c r="Z172" t="s">
        <v>4499</v>
      </c>
      <c r="AA172" t="s">
        <v>4144</v>
      </c>
      <c r="AB172" t="s">
        <v>624</v>
      </c>
      <c r="AC172" t="s">
        <v>6</v>
      </c>
      <c r="AD172" t="s">
        <v>50</v>
      </c>
      <c r="AE172" t="s">
        <v>6</v>
      </c>
      <c r="AF172" t="s">
        <v>9</v>
      </c>
      <c r="AG172" t="s">
        <v>9</v>
      </c>
      <c r="AH172" t="s">
        <v>110</v>
      </c>
      <c r="AI172" t="s">
        <v>4500</v>
      </c>
      <c r="AJ172" t="s">
        <v>110</v>
      </c>
      <c r="AK172" t="s">
        <v>4500</v>
      </c>
      <c r="AL172" t="s">
        <v>9</v>
      </c>
    </row>
    <row r="173" spans="1:38" ht="11.25" customHeight="1">
      <c r="A173" t="s">
        <v>9</v>
      </c>
      <c r="B173" t="s">
        <v>36</v>
      </c>
      <c r="C173" t="s">
        <v>38</v>
      </c>
      <c r="D173" t="s">
        <v>9</v>
      </c>
      <c r="E173" t="s">
        <v>4202</v>
      </c>
      <c r="F173" t="s">
        <v>1438</v>
      </c>
      <c r="G173" t="s">
        <v>120</v>
      </c>
      <c r="H173" t="s">
        <v>120</v>
      </c>
      <c r="I173" t="s">
        <v>121</v>
      </c>
      <c r="J173" t="s">
        <v>1511</v>
      </c>
      <c r="K173" t="s">
        <v>4484</v>
      </c>
      <c r="L173" t="s">
        <v>4208</v>
      </c>
      <c r="M173" t="s">
        <v>1442</v>
      </c>
      <c r="N173" t="s">
        <v>164</v>
      </c>
      <c r="O173" t="s">
        <v>120</v>
      </c>
      <c r="P173" t="s">
        <v>120</v>
      </c>
      <c r="Q173" t="s">
        <v>121</v>
      </c>
      <c r="R173" t="s">
        <v>1511</v>
      </c>
      <c r="S173" t="s">
        <v>4484</v>
      </c>
      <c r="T173" t="s">
        <v>4138</v>
      </c>
      <c r="U173" t="s">
        <v>4139</v>
      </c>
      <c r="V173" t="s">
        <v>624</v>
      </c>
      <c r="W173" t="s">
        <v>4140</v>
      </c>
      <c r="X173" t="s">
        <v>4467</v>
      </c>
      <c r="Y173" t="s">
        <v>4142</v>
      </c>
      <c r="Z173" t="s">
        <v>4501</v>
      </c>
      <c r="AA173" t="s">
        <v>4502</v>
      </c>
      <c r="AB173" t="s">
        <v>624</v>
      </c>
      <c r="AC173" t="s">
        <v>50</v>
      </c>
      <c r="AD173" t="s">
        <v>50</v>
      </c>
      <c r="AE173" t="s">
        <v>50</v>
      </c>
      <c r="AF173" t="s">
        <v>4503</v>
      </c>
      <c r="AG173" t="s">
        <v>4504</v>
      </c>
      <c r="AH173" t="s">
        <v>4503</v>
      </c>
      <c r="AI173" t="s">
        <v>4504</v>
      </c>
      <c r="AJ173" t="s">
        <v>4503</v>
      </c>
      <c r="AK173" t="s">
        <v>4504</v>
      </c>
      <c r="AL173" t="s">
        <v>4146</v>
      </c>
    </row>
    <row r="174" spans="1:38" ht="11.25" customHeight="1">
      <c r="A174" t="s">
        <v>9</v>
      </c>
      <c r="B174" t="s">
        <v>36</v>
      </c>
      <c r="C174" t="s">
        <v>38</v>
      </c>
      <c r="D174" t="s">
        <v>9</v>
      </c>
      <c r="E174" t="s">
        <v>1456</v>
      </c>
      <c r="F174" t="s">
        <v>1438</v>
      </c>
      <c r="G174" t="s">
        <v>120</v>
      </c>
      <c r="H174" t="s">
        <v>120</v>
      </c>
      <c r="I174" t="s">
        <v>121</v>
      </c>
      <c r="J174" t="s">
        <v>4505</v>
      </c>
      <c r="K174" t="s">
        <v>4506</v>
      </c>
      <c r="L174" t="s">
        <v>4507</v>
      </c>
      <c r="M174" t="s">
        <v>1442</v>
      </c>
      <c r="N174" t="s">
        <v>164</v>
      </c>
      <c r="O174" t="s">
        <v>120</v>
      </c>
      <c r="P174" t="s">
        <v>120</v>
      </c>
      <c r="Q174" t="s">
        <v>121</v>
      </c>
      <c r="R174" t="s">
        <v>4505</v>
      </c>
      <c r="S174" t="s">
        <v>4506</v>
      </c>
      <c r="T174" t="s">
        <v>4138</v>
      </c>
      <c r="U174" t="s">
        <v>4139</v>
      </c>
      <c r="V174" t="s">
        <v>624</v>
      </c>
      <c r="W174" t="s">
        <v>4140</v>
      </c>
      <c r="X174" t="s">
        <v>4141</v>
      </c>
      <c r="Y174" t="s">
        <v>4142</v>
      </c>
      <c r="Z174" t="s">
        <v>4508</v>
      </c>
      <c r="AA174" t="s">
        <v>4509</v>
      </c>
      <c r="AB174" t="s">
        <v>624</v>
      </c>
      <c r="AC174" t="s">
        <v>50</v>
      </c>
      <c r="AD174" t="s">
        <v>50</v>
      </c>
      <c r="AE174" t="s">
        <v>50</v>
      </c>
      <c r="AF174" t="s">
        <v>79</v>
      </c>
      <c r="AG174" t="s">
        <v>4510</v>
      </c>
      <c r="AH174" t="s">
        <v>79</v>
      </c>
      <c r="AI174" t="s">
        <v>4510</v>
      </c>
      <c r="AJ174" t="s">
        <v>79</v>
      </c>
      <c r="AK174" t="s">
        <v>4510</v>
      </c>
      <c r="AL174" t="s">
        <v>4146</v>
      </c>
    </row>
    <row r="175" spans="1:38" ht="11.25" customHeight="1">
      <c r="A175" t="s">
        <v>9</v>
      </c>
      <c r="B175" t="s">
        <v>36</v>
      </c>
      <c r="C175" t="s">
        <v>38</v>
      </c>
      <c r="D175" t="s">
        <v>9</v>
      </c>
      <c r="E175" t="s">
        <v>4511</v>
      </c>
      <c r="F175" t="s">
        <v>1438</v>
      </c>
      <c r="G175" t="s">
        <v>120</v>
      </c>
      <c r="H175" t="s">
        <v>120</v>
      </c>
      <c r="I175" t="s">
        <v>121</v>
      </c>
      <c r="J175" t="s">
        <v>4512</v>
      </c>
      <c r="K175" t="s">
        <v>4513</v>
      </c>
      <c r="L175" t="s">
        <v>4514</v>
      </c>
      <c r="M175" t="s">
        <v>1442</v>
      </c>
      <c r="N175" t="s">
        <v>164</v>
      </c>
      <c r="O175" t="s">
        <v>120</v>
      </c>
      <c r="P175" t="s">
        <v>120</v>
      </c>
      <c r="Q175" t="s">
        <v>121</v>
      </c>
      <c r="R175" t="s">
        <v>4512</v>
      </c>
      <c r="S175" t="s">
        <v>4513</v>
      </c>
      <c r="T175" t="s">
        <v>4165</v>
      </c>
      <c r="U175" t="s">
        <v>4168</v>
      </c>
      <c r="V175" t="s">
        <v>624</v>
      </c>
      <c r="W175" t="s">
        <v>4140</v>
      </c>
      <c r="X175" t="s">
        <v>4167</v>
      </c>
      <c r="Y175" t="s">
        <v>4168</v>
      </c>
      <c r="Z175" t="s">
        <v>1442</v>
      </c>
      <c r="AA175" t="s">
        <v>4515</v>
      </c>
      <c r="AB175" t="s">
        <v>624</v>
      </c>
      <c r="AC175" t="s">
        <v>50</v>
      </c>
      <c r="AD175" t="s">
        <v>50</v>
      </c>
      <c r="AE175" t="s">
        <v>50</v>
      </c>
      <c r="AF175" t="s">
        <v>4516</v>
      </c>
      <c r="AG175" t="s">
        <v>4517</v>
      </c>
      <c r="AH175" t="s">
        <v>4516</v>
      </c>
      <c r="AI175" t="s">
        <v>4517</v>
      </c>
      <c r="AJ175" t="s">
        <v>4516</v>
      </c>
      <c r="AK175" t="s">
        <v>4517</v>
      </c>
      <c r="AL175" t="s">
        <v>4146</v>
      </c>
    </row>
    <row r="176" spans="1:38" ht="11.25" customHeight="1">
      <c r="A176" t="s">
        <v>9</v>
      </c>
      <c r="B176" t="s">
        <v>36</v>
      </c>
      <c r="C176" t="s">
        <v>38</v>
      </c>
      <c r="D176" t="s">
        <v>9</v>
      </c>
      <c r="E176" t="s">
        <v>4518</v>
      </c>
      <c r="F176" t="s">
        <v>1438</v>
      </c>
      <c r="G176" t="s">
        <v>120</v>
      </c>
      <c r="H176" t="s">
        <v>120</v>
      </c>
      <c r="I176" t="s">
        <v>121</v>
      </c>
      <c r="J176" t="s">
        <v>4519</v>
      </c>
      <c r="K176" t="s">
        <v>4520</v>
      </c>
      <c r="L176" t="s">
        <v>4521</v>
      </c>
      <c r="M176" t="s">
        <v>1442</v>
      </c>
      <c r="N176" t="s">
        <v>164</v>
      </c>
      <c r="O176" t="s">
        <v>120</v>
      </c>
      <c r="P176" t="s">
        <v>120</v>
      </c>
      <c r="Q176" t="s">
        <v>121</v>
      </c>
      <c r="R176" t="s">
        <v>4519</v>
      </c>
      <c r="S176" t="s">
        <v>4520</v>
      </c>
      <c r="T176" t="s">
        <v>4165</v>
      </c>
      <c r="U176" t="s">
        <v>4236</v>
      </c>
      <c r="V176" t="s">
        <v>624</v>
      </c>
      <c r="W176" t="s">
        <v>4140</v>
      </c>
      <c r="X176" t="s">
        <v>4141</v>
      </c>
      <c r="Y176" t="s">
        <v>4142</v>
      </c>
      <c r="Z176" t="s">
        <v>4522</v>
      </c>
      <c r="AA176" t="s">
        <v>4523</v>
      </c>
      <c r="AB176" t="s">
        <v>624</v>
      </c>
      <c r="AC176" t="s">
        <v>50</v>
      </c>
      <c r="AD176" t="s">
        <v>50</v>
      </c>
      <c r="AE176" t="s">
        <v>50</v>
      </c>
      <c r="AF176" t="s">
        <v>89</v>
      </c>
      <c r="AG176" t="s">
        <v>4524</v>
      </c>
      <c r="AH176" t="s">
        <v>89</v>
      </c>
      <c r="AI176" t="s">
        <v>4524</v>
      </c>
      <c r="AJ176" t="s">
        <v>89</v>
      </c>
      <c r="AK176" t="s">
        <v>4524</v>
      </c>
      <c r="AL176" t="s">
        <v>4146</v>
      </c>
    </row>
    <row r="177" spans="1:38" ht="11.25" customHeight="1">
      <c r="A177" t="s">
        <v>9</v>
      </c>
      <c r="B177" t="s">
        <v>36</v>
      </c>
      <c r="C177" t="s">
        <v>38</v>
      </c>
      <c r="D177" t="s">
        <v>9</v>
      </c>
      <c r="E177" t="s">
        <v>4253</v>
      </c>
      <c r="F177" t="s">
        <v>4148</v>
      </c>
      <c r="G177" t="s">
        <v>120</v>
      </c>
      <c r="H177" t="s">
        <v>120</v>
      </c>
      <c r="I177" t="s">
        <v>121</v>
      </c>
      <c r="J177" t="s">
        <v>4525</v>
      </c>
      <c r="K177" t="s">
        <v>4526</v>
      </c>
      <c r="L177" t="s">
        <v>4527</v>
      </c>
      <c r="M177" t="s">
        <v>1442</v>
      </c>
      <c r="N177" t="s">
        <v>164</v>
      </c>
      <c r="O177" t="s">
        <v>120</v>
      </c>
      <c r="P177" t="s">
        <v>120</v>
      </c>
      <c r="Q177" t="s">
        <v>121</v>
      </c>
      <c r="R177" t="s">
        <v>4525</v>
      </c>
      <c r="S177" t="s">
        <v>4526</v>
      </c>
      <c r="T177" t="s">
        <v>4138</v>
      </c>
      <c r="U177" t="s">
        <v>4139</v>
      </c>
      <c r="V177" t="s">
        <v>624</v>
      </c>
      <c r="W177" t="s">
        <v>4140</v>
      </c>
      <c r="X177" t="s">
        <v>4141</v>
      </c>
      <c r="Y177" t="s">
        <v>4142</v>
      </c>
      <c r="Z177" t="s">
        <v>4528</v>
      </c>
      <c r="AA177" t="s">
        <v>4529</v>
      </c>
      <c r="AB177" t="s">
        <v>624</v>
      </c>
      <c r="AC177" t="s">
        <v>6</v>
      </c>
      <c r="AD177" t="s">
        <v>50</v>
      </c>
      <c r="AE177" t="s">
        <v>6</v>
      </c>
      <c r="AF177" t="s">
        <v>9</v>
      </c>
      <c r="AG177" t="s">
        <v>9</v>
      </c>
      <c r="AH177" t="s">
        <v>79</v>
      </c>
      <c r="AI177" t="s">
        <v>1554</v>
      </c>
      <c r="AJ177" t="s">
        <v>79</v>
      </c>
      <c r="AK177" t="s">
        <v>1554</v>
      </c>
      <c r="AL177" t="s">
        <v>9</v>
      </c>
    </row>
    <row r="178" spans="1:38" ht="11.25" customHeight="1">
      <c r="A178" t="s">
        <v>9</v>
      </c>
      <c r="B178" t="s">
        <v>36</v>
      </c>
      <c r="C178" t="s">
        <v>38</v>
      </c>
      <c r="D178" t="s">
        <v>9</v>
      </c>
      <c r="E178" t="s">
        <v>4261</v>
      </c>
      <c r="F178" t="s">
        <v>1438</v>
      </c>
      <c r="G178" t="s">
        <v>120</v>
      </c>
      <c r="H178" t="s">
        <v>120</v>
      </c>
      <c r="I178" t="s">
        <v>121</v>
      </c>
      <c r="J178" t="s">
        <v>4525</v>
      </c>
      <c r="K178" t="s">
        <v>4526</v>
      </c>
      <c r="L178" t="s">
        <v>4527</v>
      </c>
      <c r="M178" t="s">
        <v>1442</v>
      </c>
      <c r="N178" t="s">
        <v>164</v>
      </c>
      <c r="O178" t="s">
        <v>120</v>
      </c>
      <c r="P178" t="s">
        <v>120</v>
      </c>
      <c r="Q178" t="s">
        <v>121</v>
      </c>
      <c r="R178" t="s">
        <v>4525</v>
      </c>
      <c r="S178" t="s">
        <v>4526</v>
      </c>
      <c r="T178" t="s">
        <v>4138</v>
      </c>
      <c r="U178" t="s">
        <v>4139</v>
      </c>
      <c r="V178" t="s">
        <v>624</v>
      </c>
      <c r="W178" t="s">
        <v>4140</v>
      </c>
      <c r="X178" t="s">
        <v>4141</v>
      </c>
      <c r="Y178" t="s">
        <v>4142</v>
      </c>
      <c r="Z178" t="s">
        <v>4528</v>
      </c>
      <c r="AA178" t="s">
        <v>4529</v>
      </c>
      <c r="AB178" t="s">
        <v>624</v>
      </c>
      <c r="AC178" t="s">
        <v>50</v>
      </c>
      <c r="AD178" t="s">
        <v>50</v>
      </c>
      <c r="AE178" t="s">
        <v>50</v>
      </c>
      <c r="AF178" t="s">
        <v>79</v>
      </c>
      <c r="AG178" t="s">
        <v>1554</v>
      </c>
      <c r="AH178" t="s">
        <v>79</v>
      </c>
      <c r="AI178" t="s">
        <v>1554</v>
      </c>
      <c r="AJ178" t="s">
        <v>79</v>
      </c>
      <c r="AK178" t="s">
        <v>1554</v>
      </c>
      <c r="AL178" t="s">
        <v>4146</v>
      </c>
    </row>
    <row r="179" spans="1:38" ht="11.25" customHeight="1">
      <c r="A179" t="s">
        <v>9</v>
      </c>
      <c r="B179" t="s">
        <v>36</v>
      </c>
      <c r="C179" t="s">
        <v>38</v>
      </c>
      <c r="D179" t="s">
        <v>9</v>
      </c>
      <c r="E179" t="s">
        <v>4530</v>
      </c>
      <c r="F179" t="s">
        <v>1438</v>
      </c>
      <c r="G179" t="s">
        <v>120</v>
      </c>
      <c r="H179" t="s">
        <v>120</v>
      </c>
      <c r="I179" t="s">
        <v>121</v>
      </c>
      <c r="J179" t="s">
        <v>4531</v>
      </c>
      <c r="K179" t="s">
        <v>4532</v>
      </c>
      <c r="L179" t="s">
        <v>1442</v>
      </c>
      <c r="M179" t="s">
        <v>100</v>
      </c>
      <c r="N179" t="s">
        <v>164</v>
      </c>
      <c r="O179" t="s">
        <v>120</v>
      </c>
      <c r="P179" t="s">
        <v>120</v>
      </c>
      <c r="Q179" t="s">
        <v>121</v>
      </c>
      <c r="R179" t="s">
        <v>4531</v>
      </c>
      <c r="S179" t="s">
        <v>4532</v>
      </c>
      <c r="T179" t="s">
        <v>4165</v>
      </c>
      <c r="U179" t="s">
        <v>4168</v>
      </c>
      <c r="V179" t="s">
        <v>624</v>
      </c>
      <c r="W179" t="s">
        <v>4140</v>
      </c>
      <c r="X179" t="s">
        <v>4167</v>
      </c>
      <c r="Y179" t="s">
        <v>4168</v>
      </c>
      <c r="Z179" t="s">
        <v>1442</v>
      </c>
      <c r="AA179" t="s">
        <v>4515</v>
      </c>
      <c r="AB179" t="s">
        <v>624</v>
      </c>
      <c r="AC179" t="s">
        <v>50</v>
      </c>
      <c r="AD179" t="s">
        <v>50</v>
      </c>
      <c r="AE179" t="s">
        <v>50</v>
      </c>
      <c r="AF179" t="s">
        <v>4533</v>
      </c>
      <c r="AG179" t="s">
        <v>4331</v>
      </c>
      <c r="AH179" t="s">
        <v>4533</v>
      </c>
      <c r="AI179" t="s">
        <v>4331</v>
      </c>
      <c r="AJ179" t="s">
        <v>4533</v>
      </c>
      <c r="AK179" t="s">
        <v>4331</v>
      </c>
      <c r="AL179" t="s">
        <v>4146</v>
      </c>
    </row>
    <row r="180" spans="1:38" ht="11.25" customHeight="1">
      <c r="A180" t="s">
        <v>9</v>
      </c>
      <c r="B180" t="s">
        <v>36</v>
      </c>
      <c r="C180" t="s">
        <v>38</v>
      </c>
      <c r="D180" t="s">
        <v>9</v>
      </c>
      <c r="E180" t="s">
        <v>1467</v>
      </c>
      <c r="F180" t="s">
        <v>1438</v>
      </c>
      <c r="G180" t="s">
        <v>120</v>
      </c>
      <c r="H180" t="s">
        <v>120</v>
      </c>
      <c r="I180" t="s">
        <v>121</v>
      </c>
      <c r="J180" t="s">
        <v>4534</v>
      </c>
      <c r="K180" t="s">
        <v>4535</v>
      </c>
      <c r="L180" t="s">
        <v>1442</v>
      </c>
      <c r="M180" t="s">
        <v>1442</v>
      </c>
      <c r="N180" t="s">
        <v>164</v>
      </c>
      <c r="O180" t="s">
        <v>120</v>
      </c>
      <c r="P180" t="s">
        <v>120</v>
      </c>
      <c r="Q180" t="s">
        <v>121</v>
      </c>
      <c r="R180" t="s">
        <v>4534</v>
      </c>
      <c r="S180" t="s">
        <v>4535</v>
      </c>
      <c r="T180" t="s">
        <v>4165</v>
      </c>
      <c r="U180" t="s">
        <v>4168</v>
      </c>
      <c r="V180" t="s">
        <v>624</v>
      </c>
      <c r="W180" t="s">
        <v>4140</v>
      </c>
      <c r="X180" t="s">
        <v>4167</v>
      </c>
      <c r="Y180" t="s">
        <v>4168</v>
      </c>
      <c r="Z180" t="s">
        <v>2078</v>
      </c>
      <c r="AA180" t="s">
        <v>4536</v>
      </c>
      <c r="AB180" t="s">
        <v>624</v>
      </c>
      <c r="AC180" t="s">
        <v>50</v>
      </c>
      <c r="AD180" t="s">
        <v>50</v>
      </c>
      <c r="AE180" t="s">
        <v>50</v>
      </c>
      <c r="AF180" t="s">
        <v>1554</v>
      </c>
      <c r="AG180" t="s">
        <v>4537</v>
      </c>
      <c r="AH180" t="s">
        <v>1554</v>
      </c>
      <c r="AI180" t="s">
        <v>4538</v>
      </c>
      <c r="AJ180" t="s">
        <v>1554</v>
      </c>
      <c r="AK180" t="s">
        <v>4538</v>
      </c>
      <c r="AL180" t="s">
        <v>4146</v>
      </c>
    </row>
    <row r="181" spans="1:38" ht="11.25" customHeight="1">
      <c r="A181" t="s">
        <v>9</v>
      </c>
      <c r="B181" t="s">
        <v>36</v>
      </c>
      <c r="C181" t="s">
        <v>38</v>
      </c>
      <c r="D181" t="s">
        <v>9</v>
      </c>
      <c r="E181" t="s">
        <v>1500</v>
      </c>
      <c r="F181" t="s">
        <v>1457</v>
      </c>
      <c r="G181" t="s">
        <v>120</v>
      </c>
      <c r="H181" t="s">
        <v>120</v>
      </c>
      <c r="I181" t="s">
        <v>121</v>
      </c>
      <c r="J181" t="s">
        <v>4539</v>
      </c>
      <c r="K181" t="s">
        <v>4540</v>
      </c>
      <c r="L181" t="s">
        <v>4541</v>
      </c>
      <c r="M181" t="s">
        <v>1442</v>
      </c>
      <c r="N181" t="s">
        <v>164</v>
      </c>
      <c r="O181" t="s">
        <v>120</v>
      </c>
      <c r="P181" t="s">
        <v>120</v>
      </c>
      <c r="Q181" t="s">
        <v>121</v>
      </c>
      <c r="R181" t="s">
        <v>4539</v>
      </c>
      <c r="S181" t="s">
        <v>4540</v>
      </c>
      <c r="T181" t="s">
        <v>4138</v>
      </c>
      <c r="U181" t="s">
        <v>4139</v>
      </c>
      <c r="V181" t="s">
        <v>624</v>
      </c>
      <c r="W181" t="s">
        <v>4140</v>
      </c>
      <c r="X181" t="s">
        <v>4141</v>
      </c>
      <c r="Y181" t="s">
        <v>4142</v>
      </c>
      <c r="Z181" t="s">
        <v>4542</v>
      </c>
      <c r="AA181" t="s">
        <v>4258</v>
      </c>
      <c r="AB181" t="s">
        <v>624</v>
      </c>
      <c r="AC181" t="s">
        <v>50</v>
      </c>
      <c r="AD181" t="s">
        <v>6</v>
      </c>
      <c r="AE181" t="s">
        <v>6</v>
      </c>
      <c r="AF181" t="s">
        <v>89</v>
      </c>
      <c r="AG181" t="s">
        <v>4543</v>
      </c>
      <c r="AH181" t="s">
        <v>9</v>
      </c>
      <c r="AI181" t="s">
        <v>9</v>
      </c>
      <c r="AJ181" t="s">
        <v>9</v>
      </c>
      <c r="AK181" t="s">
        <v>9</v>
      </c>
      <c r="AL181" t="s">
        <v>4146</v>
      </c>
    </row>
    <row r="182" spans="1:38" ht="11.25" customHeight="1">
      <c r="A182" t="s">
        <v>9</v>
      </c>
      <c r="B182" t="s">
        <v>36</v>
      </c>
      <c r="C182" t="s">
        <v>38</v>
      </c>
      <c r="D182" t="s">
        <v>9</v>
      </c>
      <c r="E182" t="s">
        <v>4234</v>
      </c>
      <c r="F182" t="s">
        <v>1438</v>
      </c>
      <c r="G182" t="s">
        <v>120</v>
      </c>
      <c r="H182" t="s">
        <v>120</v>
      </c>
      <c r="I182" t="s">
        <v>121</v>
      </c>
      <c r="J182" t="s">
        <v>4544</v>
      </c>
      <c r="K182" t="s">
        <v>4545</v>
      </c>
      <c r="L182" t="s">
        <v>4546</v>
      </c>
      <c r="M182" t="s">
        <v>1442</v>
      </c>
      <c r="N182" t="s">
        <v>164</v>
      </c>
      <c r="O182" t="s">
        <v>120</v>
      </c>
      <c r="P182" t="s">
        <v>120</v>
      </c>
      <c r="Q182" t="s">
        <v>121</v>
      </c>
      <c r="R182" t="s">
        <v>4544</v>
      </c>
      <c r="S182" t="s">
        <v>4545</v>
      </c>
      <c r="T182" t="s">
        <v>4165</v>
      </c>
      <c r="U182" t="s">
        <v>4168</v>
      </c>
      <c r="V182" t="s">
        <v>624</v>
      </c>
      <c r="W182" t="s">
        <v>4140</v>
      </c>
      <c r="X182" t="s">
        <v>4167</v>
      </c>
      <c r="Y182" t="s">
        <v>4168</v>
      </c>
      <c r="Z182" t="s">
        <v>1392</v>
      </c>
      <c r="AA182" t="s">
        <v>4547</v>
      </c>
      <c r="AB182" t="s">
        <v>624</v>
      </c>
      <c r="AC182" t="s">
        <v>50</v>
      </c>
      <c r="AD182" t="s">
        <v>50</v>
      </c>
      <c r="AE182" t="s">
        <v>50</v>
      </c>
      <c r="AF182" t="s">
        <v>1556</v>
      </c>
      <c r="AG182" t="s">
        <v>4548</v>
      </c>
      <c r="AH182" t="s">
        <v>1556</v>
      </c>
      <c r="AI182" t="s">
        <v>4548</v>
      </c>
      <c r="AJ182" t="s">
        <v>1556</v>
      </c>
      <c r="AK182" t="s">
        <v>4548</v>
      </c>
      <c r="AL182" t="s">
        <v>4146</v>
      </c>
    </row>
    <row r="183" spans="1:38" ht="11.25" customHeight="1">
      <c r="A183" t="s">
        <v>9</v>
      </c>
      <c r="B183" t="s">
        <v>36</v>
      </c>
      <c r="C183" t="s">
        <v>38</v>
      </c>
      <c r="D183" t="s">
        <v>9</v>
      </c>
      <c r="E183" t="s">
        <v>4518</v>
      </c>
      <c r="F183" t="s">
        <v>1438</v>
      </c>
      <c r="G183" t="s">
        <v>1508</v>
      </c>
      <c r="H183" t="s">
        <v>3748</v>
      </c>
      <c r="I183" t="s">
        <v>3749</v>
      </c>
      <c r="J183" t="s">
        <v>4519</v>
      </c>
      <c r="K183" t="s">
        <v>4549</v>
      </c>
      <c r="L183" t="s">
        <v>4521</v>
      </c>
      <c r="M183" t="s">
        <v>1442</v>
      </c>
      <c r="N183" t="s">
        <v>164</v>
      </c>
      <c r="O183" t="s">
        <v>1508</v>
      </c>
      <c r="P183" t="s">
        <v>3748</v>
      </c>
      <c r="Q183" t="s">
        <v>3749</v>
      </c>
      <c r="R183" t="s">
        <v>4519</v>
      </c>
      <c r="S183" t="s">
        <v>4549</v>
      </c>
      <c r="T183" t="s">
        <v>4165</v>
      </c>
      <c r="U183" t="s">
        <v>4236</v>
      </c>
      <c r="V183" t="s">
        <v>624</v>
      </c>
      <c r="W183" t="s">
        <v>4140</v>
      </c>
      <c r="X183" t="s">
        <v>4141</v>
      </c>
      <c r="Y183" t="s">
        <v>4142</v>
      </c>
      <c r="Z183" t="s">
        <v>4522</v>
      </c>
      <c r="AA183" t="s">
        <v>4523</v>
      </c>
      <c r="AB183" t="s">
        <v>624</v>
      </c>
      <c r="AC183" t="s">
        <v>50</v>
      </c>
      <c r="AD183" t="s">
        <v>50</v>
      </c>
      <c r="AE183" t="s">
        <v>50</v>
      </c>
      <c r="AF183" t="s">
        <v>89</v>
      </c>
      <c r="AG183" t="s">
        <v>4524</v>
      </c>
      <c r="AH183" t="s">
        <v>89</v>
      </c>
      <c r="AI183" t="s">
        <v>4524</v>
      </c>
      <c r="AJ183" t="s">
        <v>89</v>
      </c>
      <c r="AK183" t="s">
        <v>4524</v>
      </c>
      <c r="AL183" t="s">
        <v>4146</v>
      </c>
    </row>
    <row r="184" spans="1:38" ht="11.25" customHeight="1">
      <c r="A184" t="s">
        <v>9</v>
      </c>
      <c r="B184" t="s">
        <v>36</v>
      </c>
      <c r="C184" t="s">
        <v>38</v>
      </c>
      <c r="D184" t="s">
        <v>9</v>
      </c>
      <c r="E184" t="s">
        <v>4253</v>
      </c>
      <c r="F184" t="s">
        <v>4148</v>
      </c>
      <c r="G184" t="s">
        <v>1508</v>
      </c>
      <c r="H184" t="s">
        <v>3748</v>
      </c>
      <c r="I184" t="s">
        <v>3749</v>
      </c>
      <c r="J184" t="s">
        <v>4525</v>
      </c>
      <c r="K184" t="s">
        <v>4550</v>
      </c>
      <c r="L184" t="s">
        <v>4527</v>
      </c>
      <c r="M184" t="s">
        <v>1442</v>
      </c>
      <c r="N184" t="s">
        <v>164</v>
      </c>
      <c r="O184" t="s">
        <v>1508</v>
      </c>
      <c r="P184" t="s">
        <v>3748</v>
      </c>
      <c r="Q184" t="s">
        <v>3749</v>
      </c>
      <c r="R184" t="s">
        <v>4525</v>
      </c>
      <c r="S184" t="s">
        <v>4550</v>
      </c>
      <c r="T184" t="s">
        <v>4138</v>
      </c>
      <c r="U184" t="s">
        <v>4139</v>
      </c>
      <c r="V184" t="s">
        <v>624</v>
      </c>
      <c r="W184" t="s">
        <v>4140</v>
      </c>
      <c r="X184" t="s">
        <v>4141</v>
      </c>
      <c r="Y184" t="s">
        <v>4142</v>
      </c>
      <c r="Z184" t="s">
        <v>4528</v>
      </c>
      <c r="AA184" t="s">
        <v>4529</v>
      </c>
      <c r="AB184" t="s">
        <v>624</v>
      </c>
      <c r="AC184" t="s">
        <v>6</v>
      </c>
      <c r="AD184" t="s">
        <v>50</v>
      </c>
      <c r="AE184" t="s">
        <v>6</v>
      </c>
      <c r="AF184" t="s">
        <v>9</v>
      </c>
      <c r="AG184" t="s">
        <v>9</v>
      </c>
      <c r="AH184" t="s">
        <v>79</v>
      </c>
      <c r="AI184" t="s">
        <v>1554</v>
      </c>
      <c r="AJ184" t="s">
        <v>79</v>
      </c>
      <c r="AK184" t="s">
        <v>1554</v>
      </c>
      <c r="AL184" t="s">
        <v>9</v>
      </c>
    </row>
    <row r="185" spans="1:38" ht="11.25" customHeight="1">
      <c r="A185" t="s">
        <v>9</v>
      </c>
      <c r="B185" t="s">
        <v>36</v>
      </c>
      <c r="C185" t="s">
        <v>38</v>
      </c>
      <c r="D185" t="s">
        <v>9</v>
      </c>
      <c r="E185" t="s">
        <v>4261</v>
      </c>
      <c r="F185" t="s">
        <v>1438</v>
      </c>
      <c r="G185" t="s">
        <v>1508</v>
      </c>
      <c r="H185" t="s">
        <v>3748</v>
      </c>
      <c r="I185" t="s">
        <v>3749</v>
      </c>
      <c r="J185" t="s">
        <v>4525</v>
      </c>
      <c r="K185" t="s">
        <v>4550</v>
      </c>
      <c r="L185" t="s">
        <v>4527</v>
      </c>
      <c r="M185" t="s">
        <v>1442</v>
      </c>
      <c r="N185" t="s">
        <v>164</v>
      </c>
      <c r="O185" t="s">
        <v>1508</v>
      </c>
      <c r="P185" t="s">
        <v>3748</v>
      </c>
      <c r="Q185" t="s">
        <v>3749</v>
      </c>
      <c r="R185" t="s">
        <v>4525</v>
      </c>
      <c r="S185" t="s">
        <v>4550</v>
      </c>
      <c r="T185" t="s">
        <v>4138</v>
      </c>
      <c r="U185" t="s">
        <v>4139</v>
      </c>
      <c r="V185" t="s">
        <v>624</v>
      </c>
      <c r="W185" t="s">
        <v>4140</v>
      </c>
      <c r="X185" t="s">
        <v>4141</v>
      </c>
      <c r="Y185" t="s">
        <v>4142</v>
      </c>
      <c r="Z185" t="s">
        <v>4528</v>
      </c>
      <c r="AA185" t="s">
        <v>4529</v>
      </c>
      <c r="AB185" t="s">
        <v>624</v>
      </c>
      <c r="AC185" t="s">
        <v>50</v>
      </c>
      <c r="AD185" t="s">
        <v>50</v>
      </c>
      <c r="AE185" t="s">
        <v>50</v>
      </c>
      <c r="AF185" t="s">
        <v>79</v>
      </c>
      <c r="AG185" t="s">
        <v>1554</v>
      </c>
      <c r="AH185" t="s">
        <v>79</v>
      </c>
      <c r="AI185" t="s">
        <v>1554</v>
      </c>
      <c r="AJ185" t="s">
        <v>79</v>
      </c>
      <c r="AK185" t="s">
        <v>1554</v>
      </c>
      <c r="AL185" t="s">
        <v>4146</v>
      </c>
    </row>
    <row r="186" spans="1:38" ht="11.25" customHeight="1">
      <c r="A186" t="s">
        <v>9</v>
      </c>
      <c r="B186" t="s">
        <v>36</v>
      </c>
      <c r="C186" t="s">
        <v>38</v>
      </c>
      <c r="D186" t="s">
        <v>9</v>
      </c>
      <c r="E186" t="s">
        <v>4530</v>
      </c>
      <c r="F186" t="s">
        <v>1438</v>
      </c>
      <c r="G186" t="s">
        <v>1508</v>
      </c>
      <c r="H186" t="s">
        <v>3748</v>
      </c>
      <c r="I186" t="s">
        <v>3749</v>
      </c>
      <c r="J186" t="s">
        <v>4531</v>
      </c>
      <c r="K186" t="s">
        <v>4551</v>
      </c>
      <c r="L186" t="s">
        <v>1442</v>
      </c>
      <c r="M186" t="s">
        <v>100</v>
      </c>
      <c r="N186" t="s">
        <v>164</v>
      </c>
      <c r="O186" t="s">
        <v>1508</v>
      </c>
      <c r="P186" t="s">
        <v>3748</v>
      </c>
      <c r="Q186" t="s">
        <v>3749</v>
      </c>
      <c r="R186" t="s">
        <v>4531</v>
      </c>
      <c r="S186" t="s">
        <v>4551</v>
      </c>
      <c r="T186" t="s">
        <v>4165</v>
      </c>
      <c r="U186" t="s">
        <v>4168</v>
      </c>
      <c r="V186" t="s">
        <v>624</v>
      </c>
      <c r="W186" t="s">
        <v>4140</v>
      </c>
      <c r="X186" t="s">
        <v>4167</v>
      </c>
      <c r="Y186" t="s">
        <v>4168</v>
      </c>
      <c r="Z186" t="s">
        <v>1442</v>
      </c>
      <c r="AA186" t="s">
        <v>4515</v>
      </c>
      <c r="AB186" t="s">
        <v>624</v>
      </c>
      <c r="AC186" t="s">
        <v>50</v>
      </c>
      <c r="AD186" t="s">
        <v>50</v>
      </c>
      <c r="AE186" t="s">
        <v>50</v>
      </c>
      <c r="AF186" t="s">
        <v>4533</v>
      </c>
      <c r="AG186" t="s">
        <v>4331</v>
      </c>
      <c r="AH186" t="s">
        <v>4533</v>
      </c>
      <c r="AI186" t="s">
        <v>4331</v>
      </c>
      <c r="AJ186" t="s">
        <v>4533</v>
      </c>
      <c r="AK186" t="s">
        <v>4331</v>
      </c>
      <c r="AL186" t="s">
        <v>4146</v>
      </c>
    </row>
    <row r="187" spans="1:38" ht="11.25" customHeight="1">
      <c r="A187" t="s">
        <v>9</v>
      </c>
      <c r="B187" t="s">
        <v>36</v>
      </c>
      <c r="C187" t="s">
        <v>38</v>
      </c>
      <c r="D187" t="s">
        <v>9</v>
      </c>
      <c r="E187" t="s">
        <v>1437</v>
      </c>
      <c r="F187" t="s">
        <v>1438</v>
      </c>
      <c r="G187" t="s">
        <v>1508</v>
      </c>
      <c r="H187" t="s">
        <v>1509</v>
      </c>
      <c r="I187" t="s">
        <v>1510</v>
      </c>
      <c r="J187" t="s">
        <v>1511</v>
      </c>
      <c r="K187" t="s">
        <v>1512</v>
      </c>
      <c r="L187" t="s">
        <v>4485</v>
      </c>
      <c r="M187" t="s">
        <v>4486</v>
      </c>
      <c r="N187" t="s">
        <v>164</v>
      </c>
      <c r="O187" t="s">
        <v>1508</v>
      </c>
      <c r="P187" t="s">
        <v>1509</v>
      </c>
      <c r="Q187" t="s">
        <v>1510</v>
      </c>
      <c r="R187" t="s">
        <v>1511</v>
      </c>
      <c r="S187" t="s">
        <v>1512</v>
      </c>
      <c r="T187" t="s">
        <v>4138</v>
      </c>
      <c r="U187" t="s">
        <v>4139</v>
      </c>
      <c r="V187" t="s">
        <v>624</v>
      </c>
      <c r="W187" t="s">
        <v>4140</v>
      </c>
      <c r="X187" t="s">
        <v>4141</v>
      </c>
      <c r="Y187" t="s">
        <v>4142</v>
      </c>
      <c r="Z187" t="s">
        <v>4487</v>
      </c>
      <c r="AA187" t="s">
        <v>4144</v>
      </c>
      <c r="AB187" t="s">
        <v>624</v>
      </c>
      <c r="AC187" t="s">
        <v>50</v>
      </c>
      <c r="AD187" t="s">
        <v>50</v>
      </c>
      <c r="AE187" t="s">
        <v>50</v>
      </c>
      <c r="AF187" t="s">
        <v>2580</v>
      </c>
      <c r="AG187" t="s">
        <v>4488</v>
      </c>
      <c r="AH187" t="s">
        <v>2580</v>
      </c>
      <c r="AI187" t="s">
        <v>4488</v>
      </c>
      <c r="AJ187" t="s">
        <v>2580</v>
      </c>
      <c r="AK187" t="s">
        <v>4488</v>
      </c>
      <c r="AL187" t="s">
        <v>4146</v>
      </c>
    </row>
    <row r="188" spans="1:38" ht="11.25" customHeight="1">
      <c r="A188" t="s">
        <v>9</v>
      </c>
      <c r="B188" t="s">
        <v>36</v>
      </c>
      <c r="C188" t="s">
        <v>38</v>
      </c>
      <c r="D188" t="s">
        <v>9</v>
      </c>
      <c r="E188" t="s">
        <v>4147</v>
      </c>
      <c r="F188" t="s">
        <v>4148</v>
      </c>
      <c r="G188" t="s">
        <v>1508</v>
      </c>
      <c r="H188" t="s">
        <v>1509</v>
      </c>
      <c r="I188" t="s">
        <v>1510</v>
      </c>
      <c r="J188" t="s">
        <v>1511</v>
      </c>
      <c r="K188" t="s">
        <v>1512</v>
      </c>
      <c r="L188" t="s">
        <v>4485</v>
      </c>
      <c r="M188" t="s">
        <v>4486</v>
      </c>
      <c r="N188" t="s">
        <v>164</v>
      </c>
      <c r="O188" t="s">
        <v>1508</v>
      </c>
      <c r="P188" t="s">
        <v>1509</v>
      </c>
      <c r="Q188" t="s">
        <v>1510</v>
      </c>
      <c r="R188" t="s">
        <v>1511</v>
      </c>
      <c r="S188" t="s">
        <v>1512</v>
      </c>
      <c r="T188" t="s">
        <v>4138</v>
      </c>
      <c r="U188" t="s">
        <v>4139</v>
      </c>
      <c r="V188" t="s">
        <v>624</v>
      </c>
      <c r="W188" t="s">
        <v>4140</v>
      </c>
      <c r="X188" t="s">
        <v>4141</v>
      </c>
      <c r="Y188" t="s">
        <v>4142</v>
      </c>
      <c r="Z188" t="s">
        <v>4487</v>
      </c>
      <c r="AA188" t="s">
        <v>4144</v>
      </c>
      <c r="AB188" t="s">
        <v>624</v>
      </c>
      <c r="AC188" t="s">
        <v>6</v>
      </c>
      <c r="AD188" t="s">
        <v>50</v>
      </c>
      <c r="AE188" t="s">
        <v>6</v>
      </c>
      <c r="AF188" t="s">
        <v>9</v>
      </c>
      <c r="AG188" t="s">
        <v>9</v>
      </c>
      <c r="AH188" t="s">
        <v>2580</v>
      </c>
      <c r="AI188" t="s">
        <v>4488</v>
      </c>
      <c r="AJ188" t="s">
        <v>2580</v>
      </c>
      <c r="AK188" t="s">
        <v>4488</v>
      </c>
      <c r="AL188" t="s">
        <v>9</v>
      </c>
    </row>
    <row r="189" spans="1:38" ht="11.25" customHeight="1">
      <c r="A189" t="s">
        <v>9</v>
      </c>
      <c r="B189" t="s">
        <v>36</v>
      </c>
      <c r="C189" t="s">
        <v>38</v>
      </c>
      <c r="D189" t="s">
        <v>9</v>
      </c>
      <c r="E189" t="s">
        <v>1507</v>
      </c>
      <c r="F189" t="s">
        <v>1438</v>
      </c>
      <c r="G189" t="s">
        <v>1508</v>
      </c>
      <c r="H189" t="s">
        <v>1509</v>
      </c>
      <c r="I189" t="s">
        <v>1510</v>
      </c>
      <c r="J189" t="s">
        <v>1511</v>
      </c>
      <c r="K189" t="s">
        <v>1512</v>
      </c>
      <c r="L189" t="s">
        <v>1513</v>
      </c>
      <c r="M189" t="s">
        <v>1514</v>
      </c>
      <c r="N189" t="s">
        <v>164</v>
      </c>
      <c r="O189" t="s">
        <v>1508</v>
      </c>
      <c r="P189" t="s">
        <v>1509</v>
      </c>
      <c r="Q189" t="s">
        <v>1510</v>
      </c>
      <c r="R189" t="s">
        <v>1511</v>
      </c>
      <c r="S189" t="s">
        <v>1512</v>
      </c>
      <c r="T189" t="s">
        <v>4165</v>
      </c>
      <c r="U189" t="s">
        <v>4210</v>
      </c>
      <c r="V189" t="s">
        <v>624</v>
      </c>
      <c r="W189" t="s">
        <v>4140</v>
      </c>
      <c r="X189" t="s">
        <v>4167</v>
      </c>
      <c r="Y189" t="s">
        <v>4168</v>
      </c>
      <c r="Z189" t="s">
        <v>4552</v>
      </c>
      <c r="AA189" t="s">
        <v>4553</v>
      </c>
      <c r="AB189" t="s">
        <v>624</v>
      </c>
      <c r="AC189" t="s">
        <v>50</v>
      </c>
      <c r="AD189" t="s">
        <v>50</v>
      </c>
      <c r="AE189" t="s">
        <v>50</v>
      </c>
      <c r="AF189" t="s">
        <v>2683</v>
      </c>
      <c r="AG189" t="s">
        <v>4493</v>
      </c>
      <c r="AH189" t="s">
        <v>2683</v>
      </c>
      <c r="AI189" t="s">
        <v>4493</v>
      </c>
      <c r="AJ189" t="s">
        <v>2683</v>
      </c>
      <c r="AK189" t="s">
        <v>4493</v>
      </c>
      <c r="AL189" t="s">
        <v>4146</v>
      </c>
    </row>
    <row r="190" spans="1:38" ht="11.25" customHeight="1">
      <c r="A190" t="s">
        <v>9</v>
      </c>
      <c r="B190" t="s">
        <v>36</v>
      </c>
      <c r="C190" t="s">
        <v>38</v>
      </c>
      <c r="D190" t="s">
        <v>9</v>
      </c>
      <c r="E190" t="s">
        <v>4494</v>
      </c>
      <c r="F190" t="s">
        <v>1438</v>
      </c>
      <c r="G190" t="s">
        <v>1508</v>
      </c>
      <c r="H190" t="s">
        <v>1509</v>
      </c>
      <c r="I190" t="s">
        <v>1510</v>
      </c>
      <c r="J190" t="s">
        <v>1511</v>
      </c>
      <c r="K190" t="s">
        <v>1512</v>
      </c>
      <c r="L190" t="s">
        <v>1450</v>
      </c>
      <c r="M190" t="s">
        <v>4495</v>
      </c>
      <c r="N190" t="s">
        <v>164</v>
      </c>
      <c r="O190" t="s">
        <v>1508</v>
      </c>
      <c r="P190" t="s">
        <v>1509</v>
      </c>
      <c r="Q190" t="s">
        <v>1510</v>
      </c>
      <c r="R190" t="s">
        <v>1511</v>
      </c>
      <c r="S190" t="s">
        <v>1512</v>
      </c>
      <c r="T190" t="s">
        <v>4165</v>
      </c>
      <c r="U190" t="s">
        <v>4168</v>
      </c>
      <c r="V190" t="s">
        <v>624</v>
      </c>
      <c r="W190" t="s">
        <v>4140</v>
      </c>
      <c r="X190" t="s">
        <v>4167</v>
      </c>
      <c r="Y190" t="s">
        <v>4168</v>
      </c>
      <c r="Z190" t="s">
        <v>134</v>
      </c>
      <c r="AA190" t="s">
        <v>4496</v>
      </c>
      <c r="AB190" t="s">
        <v>624</v>
      </c>
      <c r="AC190" t="s">
        <v>50</v>
      </c>
      <c r="AD190" t="s">
        <v>50</v>
      </c>
      <c r="AE190" t="s">
        <v>50</v>
      </c>
      <c r="AF190" t="s">
        <v>89</v>
      </c>
      <c r="AG190" t="s">
        <v>4497</v>
      </c>
      <c r="AH190" t="s">
        <v>89</v>
      </c>
      <c r="AI190" t="s">
        <v>4497</v>
      </c>
      <c r="AJ190" t="s">
        <v>89</v>
      </c>
      <c r="AK190" t="s">
        <v>4497</v>
      </c>
      <c r="AL190" t="s">
        <v>4146</v>
      </c>
    </row>
    <row r="191" spans="1:38" ht="11.25" customHeight="1">
      <c r="A191" t="s">
        <v>9</v>
      </c>
      <c r="B191" t="s">
        <v>36</v>
      </c>
      <c r="C191" t="s">
        <v>38</v>
      </c>
      <c r="D191" t="s">
        <v>9</v>
      </c>
      <c r="E191" t="s">
        <v>1449</v>
      </c>
      <c r="F191" t="s">
        <v>1438</v>
      </c>
      <c r="G191" t="s">
        <v>1508</v>
      </c>
      <c r="H191" t="s">
        <v>1509</v>
      </c>
      <c r="I191" t="s">
        <v>1510</v>
      </c>
      <c r="J191" t="s">
        <v>1511</v>
      </c>
      <c r="K191" t="s">
        <v>1512</v>
      </c>
      <c r="L191" t="s">
        <v>4498</v>
      </c>
      <c r="M191" t="s">
        <v>1442</v>
      </c>
      <c r="N191" t="s">
        <v>164</v>
      </c>
      <c r="O191" t="s">
        <v>1508</v>
      </c>
      <c r="P191" t="s">
        <v>1509</v>
      </c>
      <c r="Q191" t="s">
        <v>1510</v>
      </c>
      <c r="R191" t="s">
        <v>1511</v>
      </c>
      <c r="S191" t="s">
        <v>1512</v>
      </c>
      <c r="T191" t="s">
        <v>4138</v>
      </c>
      <c r="U191" t="s">
        <v>4139</v>
      </c>
      <c r="V191" t="s">
        <v>624</v>
      </c>
      <c r="W191" t="s">
        <v>4140</v>
      </c>
      <c r="X191" t="s">
        <v>4141</v>
      </c>
      <c r="Y191" t="s">
        <v>4142</v>
      </c>
      <c r="Z191" t="s">
        <v>4499</v>
      </c>
      <c r="AA191" t="s">
        <v>4144</v>
      </c>
      <c r="AB191" t="s">
        <v>624</v>
      </c>
      <c r="AC191" t="s">
        <v>50</v>
      </c>
      <c r="AD191" t="s">
        <v>50</v>
      </c>
      <c r="AE191" t="s">
        <v>50</v>
      </c>
      <c r="AF191" t="s">
        <v>110</v>
      </c>
      <c r="AG191" t="s">
        <v>4500</v>
      </c>
      <c r="AH191" t="s">
        <v>110</v>
      </c>
      <c r="AI191" t="s">
        <v>4500</v>
      </c>
      <c r="AJ191" t="s">
        <v>110</v>
      </c>
      <c r="AK191" t="s">
        <v>4500</v>
      </c>
      <c r="AL191" t="s">
        <v>4146</v>
      </c>
    </row>
    <row r="192" spans="1:38" ht="11.25" customHeight="1">
      <c r="A192" t="s">
        <v>9</v>
      </c>
      <c r="B192" t="s">
        <v>36</v>
      </c>
      <c r="C192" t="s">
        <v>38</v>
      </c>
      <c r="D192" t="s">
        <v>9</v>
      </c>
      <c r="E192" t="s">
        <v>4155</v>
      </c>
      <c r="F192" t="s">
        <v>4148</v>
      </c>
      <c r="G192" t="s">
        <v>1508</v>
      </c>
      <c r="H192" t="s">
        <v>1509</v>
      </c>
      <c r="I192" t="s">
        <v>1510</v>
      </c>
      <c r="J192" t="s">
        <v>1511</v>
      </c>
      <c r="K192" t="s">
        <v>1512</v>
      </c>
      <c r="L192" t="s">
        <v>4498</v>
      </c>
      <c r="M192" t="s">
        <v>1442</v>
      </c>
      <c r="N192" t="s">
        <v>164</v>
      </c>
      <c r="O192" t="s">
        <v>1508</v>
      </c>
      <c r="P192" t="s">
        <v>1509</v>
      </c>
      <c r="Q192" t="s">
        <v>1510</v>
      </c>
      <c r="R192" t="s">
        <v>1511</v>
      </c>
      <c r="S192" t="s">
        <v>1512</v>
      </c>
      <c r="T192" t="s">
        <v>4138</v>
      </c>
      <c r="U192" t="s">
        <v>4139</v>
      </c>
      <c r="V192" t="s">
        <v>624</v>
      </c>
      <c r="W192" t="s">
        <v>4140</v>
      </c>
      <c r="X192" t="s">
        <v>4141</v>
      </c>
      <c r="Y192" t="s">
        <v>4142</v>
      </c>
      <c r="Z192" t="s">
        <v>4499</v>
      </c>
      <c r="AA192" t="s">
        <v>4144</v>
      </c>
      <c r="AB192" t="s">
        <v>624</v>
      </c>
      <c r="AC192" t="s">
        <v>6</v>
      </c>
      <c r="AD192" t="s">
        <v>50</v>
      </c>
      <c r="AE192" t="s">
        <v>6</v>
      </c>
      <c r="AF192" t="s">
        <v>9</v>
      </c>
      <c r="AG192" t="s">
        <v>9</v>
      </c>
      <c r="AH192" t="s">
        <v>110</v>
      </c>
      <c r="AI192" t="s">
        <v>4500</v>
      </c>
      <c r="AJ192" t="s">
        <v>110</v>
      </c>
      <c r="AK192" t="s">
        <v>4500</v>
      </c>
      <c r="AL192" t="s">
        <v>9</v>
      </c>
    </row>
    <row r="193" spans="1:38" ht="11.25" customHeight="1">
      <c r="A193" t="s">
        <v>9</v>
      </c>
      <c r="B193" t="s">
        <v>36</v>
      </c>
      <c r="C193" t="s">
        <v>38</v>
      </c>
      <c r="D193" t="s">
        <v>9</v>
      </c>
      <c r="E193" t="s">
        <v>4202</v>
      </c>
      <c r="F193" t="s">
        <v>1438</v>
      </c>
      <c r="G193" t="s">
        <v>1508</v>
      </c>
      <c r="H193" t="s">
        <v>1509</v>
      </c>
      <c r="I193" t="s">
        <v>1510</v>
      </c>
      <c r="J193" t="s">
        <v>1511</v>
      </c>
      <c r="K193" t="s">
        <v>1512</v>
      </c>
      <c r="L193" t="s">
        <v>4208</v>
      </c>
      <c r="M193" t="s">
        <v>1442</v>
      </c>
      <c r="N193" t="s">
        <v>164</v>
      </c>
      <c r="O193" t="s">
        <v>1508</v>
      </c>
      <c r="P193" t="s">
        <v>1509</v>
      </c>
      <c r="Q193" t="s">
        <v>1510</v>
      </c>
      <c r="R193" t="s">
        <v>1511</v>
      </c>
      <c r="S193" t="s">
        <v>1512</v>
      </c>
      <c r="T193" t="s">
        <v>4138</v>
      </c>
      <c r="U193" t="s">
        <v>4139</v>
      </c>
      <c r="V193" t="s">
        <v>624</v>
      </c>
      <c r="W193" t="s">
        <v>4140</v>
      </c>
      <c r="X193" t="s">
        <v>4467</v>
      </c>
      <c r="Y193" t="s">
        <v>4142</v>
      </c>
      <c r="Z193" t="s">
        <v>4501</v>
      </c>
      <c r="AA193" t="s">
        <v>4502</v>
      </c>
      <c r="AB193" t="s">
        <v>624</v>
      </c>
      <c r="AC193" t="s">
        <v>50</v>
      </c>
      <c r="AD193" t="s">
        <v>50</v>
      </c>
      <c r="AE193" t="s">
        <v>50</v>
      </c>
      <c r="AF193" t="s">
        <v>4503</v>
      </c>
      <c r="AG193" t="s">
        <v>4504</v>
      </c>
      <c r="AH193" t="s">
        <v>4503</v>
      </c>
      <c r="AI193" t="s">
        <v>4504</v>
      </c>
      <c r="AJ193" t="s">
        <v>4503</v>
      </c>
      <c r="AK193" t="s">
        <v>4504</v>
      </c>
      <c r="AL193" t="s">
        <v>4146</v>
      </c>
    </row>
    <row r="194" spans="1:38" ht="11.25" customHeight="1">
      <c r="A194" t="s">
        <v>9</v>
      </c>
      <c r="B194" t="s">
        <v>36</v>
      </c>
      <c r="C194" t="s">
        <v>38</v>
      </c>
      <c r="D194" t="s">
        <v>9</v>
      </c>
      <c r="E194" t="s">
        <v>1456</v>
      </c>
      <c r="F194" t="s">
        <v>1438</v>
      </c>
      <c r="G194" t="s">
        <v>1508</v>
      </c>
      <c r="H194" t="s">
        <v>3753</v>
      </c>
      <c r="I194" t="s">
        <v>3754</v>
      </c>
      <c r="J194" t="s">
        <v>4554</v>
      </c>
      <c r="K194" t="s">
        <v>4555</v>
      </c>
      <c r="L194" t="s">
        <v>4507</v>
      </c>
      <c r="M194" t="s">
        <v>1442</v>
      </c>
      <c r="N194" t="s">
        <v>164</v>
      </c>
      <c r="O194" t="s">
        <v>1508</v>
      </c>
      <c r="P194" t="s">
        <v>3753</v>
      </c>
      <c r="Q194" t="s">
        <v>3754</v>
      </c>
      <c r="R194" t="s">
        <v>4554</v>
      </c>
      <c r="S194" t="s">
        <v>4555</v>
      </c>
      <c r="T194" t="s">
        <v>4138</v>
      </c>
      <c r="U194" t="s">
        <v>4139</v>
      </c>
      <c r="V194" t="s">
        <v>624</v>
      </c>
      <c r="W194" t="s">
        <v>4140</v>
      </c>
      <c r="X194" t="s">
        <v>4141</v>
      </c>
      <c r="Y194" t="s">
        <v>4142</v>
      </c>
      <c r="Z194" t="s">
        <v>4508</v>
      </c>
      <c r="AA194" t="s">
        <v>4509</v>
      </c>
      <c r="AB194" t="s">
        <v>624</v>
      </c>
      <c r="AC194" t="s">
        <v>50</v>
      </c>
      <c r="AD194" t="s">
        <v>50</v>
      </c>
      <c r="AE194" t="s">
        <v>50</v>
      </c>
      <c r="AF194" t="s">
        <v>79</v>
      </c>
      <c r="AG194" t="s">
        <v>4510</v>
      </c>
      <c r="AH194" t="s">
        <v>79</v>
      </c>
      <c r="AI194" t="s">
        <v>4510</v>
      </c>
      <c r="AJ194" t="s">
        <v>79</v>
      </c>
      <c r="AK194" t="s">
        <v>4510</v>
      </c>
      <c r="AL194" t="s">
        <v>4146</v>
      </c>
    </row>
    <row r="195" spans="1:38" ht="11.25" customHeight="1">
      <c r="A195" t="s">
        <v>9</v>
      </c>
      <c r="B195" t="s">
        <v>36</v>
      </c>
      <c r="C195" t="s">
        <v>38</v>
      </c>
      <c r="D195" t="s">
        <v>9</v>
      </c>
      <c r="E195" t="s">
        <v>1500</v>
      </c>
      <c r="F195" t="s">
        <v>1457</v>
      </c>
      <c r="G195" t="s">
        <v>1508</v>
      </c>
      <c r="H195" t="s">
        <v>3753</v>
      </c>
      <c r="I195" t="s">
        <v>3754</v>
      </c>
      <c r="J195" t="s">
        <v>4539</v>
      </c>
      <c r="K195" t="s">
        <v>4556</v>
      </c>
      <c r="L195" t="s">
        <v>4541</v>
      </c>
      <c r="M195" t="s">
        <v>1442</v>
      </c>
      <c r="N195" t="s">
        <v>164</v>
      </c>
      <c r="O195" t="s">
        <v>1508</v>
      </c>
      <c r="P195" t="s">
        <v>3753</v>
      </c>
      <c r="Q195" t="s">
        <v>3754</v>
      </c>
      <c r="R195" t="s">
        <v>4539</v>
      </c>
      <c r="S195" t="s">
        <v>4556</v>
      </c>
      <c r="T195" t="s">
        <v>4138</v>
      </c>
      <c r="U195" t="s">
        <v>4139</v>
      </c>
      <c r="V195" t="s">
        <v>624</v>
      </c>
      <c r="W195" t="s">
        <v>4140</v>
      </c>
      <c r="X195" t="s">
        <v>4141</v>
      </c>
      <c r="Y195" t="s">
        <v>4142</v>
      </c>
      <c r="Z195" t="s">
        <v>4542</v>
      </c>
      <c r="AA195" t="s">
        <v>4258</v>
      </c>
      <c r="AB195" t="s">
        <v>624</v>
      </c>
      <c r="AC195" t="s">
        <v>50</v>
      </c>
      <c r="AD195" t="s">
        <v>6</v>
      </c>
      <c r="AE195" t="s">
        <v>6</v>
      </c>
      <c r="AF195" t="s">
        <v>89</v>
      </c>
      <c r="AG195" t="s">
        <v>4543</v>
      </c>
      <c r="AH195" t="s">
        <v>9</v>
      </c>
      <c r="AI195" t="s">
        <v>9</v>
      </c>
      <c r="AJ195" t="s">
        <v>9</v>
      </c>
      <c r="AK195" t="s">
        <v>9</v>
      </c>
      <c r="AL195" t="s">
        <v>4146</v>
      </c>
    </row>
    <row r="196" spans="1:38" ht="11.25" customHeight="1">
      <c r="A196" t="s">
        <v>9</v>
      </c>
      <c r="B196" t="s">
        <v>36</v>
      </c>
      <c r="C196" t="s">
        <v>38</v>
      </c>
      <c r="D196" t="s">
        <v>9</v>
      </c>
      <c r="E196" t="s">
        <v>4511</v>
      </c>
      <c r="F196" t="s">
        <v>1438</v>
      </c>
      <c r="G196" t="s">
        <v>1508</v>
      </c>
      <c r="H196" t="s">
        <v>3759</v>
      </c>
      <c r="I196" t="s">
        <v>3760</v>
      </c>
      <c r="J196" t="s">
        <v>4512</v>
      </c>
      <c r="K196" t="s">
        <v>4557</v>
      </c>
      <c r="L196" t="s">
        <v>4514</v>
      </c>
      <c r="M196" t="s">
        <v>1442</v>
      </c>
      <c r="N196" t="s">
        <v>164</v>
      </c>
      <c r="O196" t="s">
        <v>1508</v>
      </c>
      <c r="P196" t="s">
        <v>3759</v>
      </c>
      <c r="Q196" t="s">
        <v>3760</v>
      </c>
      <c r="R196" t="s">
        <v>4512</v>
      </c>
      <c r="S196" t="s">
        <v>4557</v>
      </c>
      <c r="T196" t="s">
        <v>4165</v>
      </c>
      <c r="U196" t="s">
        <v>4168</v>
      </c>
      <c r="V196" t="s">
        <v>624</v>
      </c>
      <c r="W196" t="s">
        <v>4140</v>
      </c>
      <c r="X196" t="s">
        <v>4167</v>
      </c>
      <c r="Y196" t="s">
        <v>4168</v>
      </c>
      <c r="Z196" t="s">
        <v>1442</v>
      </c>
      <c r="AA196" t="s">
        <v>4515</v>
      </c>
      <c r="AB196" t="s">
        <v>624</v>
      </c>
      <c r="AC196" t="s">
        <v>50</v>
      </c>
      <c r="AD196" t="s">
        <v>50</v>
      </c>
      <c r="AE196" t="s">
        <v>50</v>
      </c>
      <c r="AF196" t="s">
        <v>4516</v>
      </c>
      <c r="AG196" t="s">
        <v>4517</v>
      </c>
      <c r="AH196" t="s">
        <v>4516</v>
      </c>
      <c r="AI196" t="s">
        <v>4517</v>
      </c>
      <c r="AJ196" t="s">
        <v>4516</v>
      </c>
      <c r="AK196" t="s">
        <v>4517</v>
      </c>
      <c r="AL196" t="s">
        <v>4146</v>
      </c>
    </row>
    <row r="197" spans="1:38" ht="11.25" customHeight="1">
      <c r="A197" t="s">
        <v>9</v>
      </c>
      <c r="B197" t="s">
        <v>36</v>
      </c>
      <c r="C197" t="s">
        <v>38</v>
      </c>
      <c r="D197" t="s">
        <v>9</v>
      </c>
      <c r="E197" t="s">
        <v>1437</v>
      </c>
      <c r="F197" t="s">
        <v>1438</v>
      </c>
      <c r="G197" t="s">
        <v>124</v>
      </c>
      <c r="H197" t="s">
        <v>124</v>
      </c>
      <c r="I197" t="s">
        <v>125</v>
      </c>
      <c r="J197" t="s">
        <v>4558</v>
      </c>
      <c r="K197" t="s">
        <v>4559</v>
      </c>
      <c r="L197" t="s">
        <v>4560</v>
      </c>
      <c r="M197" t="s">
        <v>1442</v>
      </c>
      <c r="N197" t="s">
        <v>164</v>
      </c>
      <c r="O197" t="s">
        <v>124</v>
      </c>
      <c r="P197" t="s">
        <v>124</v>
      </c>
      <c r="Q197" t="s">
        <v>125</v>
      </c>
      <c r="R197" t="s">
        <v>4558</v>
      </c>
      <c r="S197" t="s">
        <v>4559</v>
      </c>
      <c r="T197" t="s">
        <v>4138</v>
      </c>
      <c r="U197" t="s">
        <v>4139</v>
      </c>
      <c r="V197" t="s">
        <v>624</v>
      </c>
      <c r="W197" t="s">
        <v>4140</v>
      </c>
      <c r="X197" t="s">
        <v>4141</v>
      </c>
      <c r="Y197" t="s">
        <v>4142</v>
      </c>
      <c r="Z197" t="s">
        <v>4561</v>
      </c>
      <c r="AA197" t="s">
        <v>4562</v>
      </c>
      <c r="AB197" t="s">
        <v>624</v>
      </c>
      <c r="AC197" t="s">
        <v>50</v>
      </c>
      <c r="AD197" t="s">
        <v>50</v>
      </c>
      <c r="AE197" t="s">
        <v>50</v>
      </c>
      <c r="AF197" t="s">
        <v>4563</v>
      </c>
      <c r="AG197" t="s">
        <v>4564</v>
      </c>
      <c r="AH197" t="s">
        <v>4563</v>
      </c>
      <c r="AI197" t="s">
        <v>4564</v>
      </c>
      <c r="AJ197" t="s">
        <v>4563</v>
      </c>
      <c r="AK197" t="s">
        <v>4564</v>
      </c>
      <c r="AL197" t="s">
        <v>4146</v>
      </c>
    </row>
    <row r="198" spans="1:38" ht="11.25" customHeight="1">
      <c r="A198" t="s">
        <v>9</v>
      </c>
      <c r="B198" t="s">
        <v>36</v>
      </c>
      <c r="C198" t="s">
        <v>38</v>
      </c>
      <c r="D198" t="s">
        <v>9</v>
      </c>
      <c r="E198" t="s">
        <v>4147</v>
      </c>
      <c r="F198" t="s">
        <v>4148</v>
      </c>
      <c r="G198" t="s">
        <v>124</v>
      </c>
      <c r="H198" t="s">
        <v>124</v>
      </c>
      <c r="I198" t="s">
        <v>125</v>
      </c>
      <c r="J198" t="s">
        <v>4558</v>
      </c>
      <c r="K198" t="s">
        <v>4559</v>
      </c>
      <c r="L198" t="s">
        <v>4560</v>
      </c>
      <c r="M198" t="s">
        <v>1442</v>
      </c>
      <c r="N198" t="s">
        <v>164</v>
      </c>
      <c r="O198" t="s">
        <v>124</v>
      </c>
      <c r="P198" t="s">
        <v>124</v>
      </c>
      <c r="Q198" t="s">
        <v>125</v>
      </c>
      <c r="R198" t="s">
        <v>4558</v>
      </c>
      <c r="S198" t="s">
        <v>4559</v>
      </c>
      <c r="T198" t="s">
        <v>4138</v>
      </c>
      <c r="U198" t="s">
        <v>4139</v>
      </c>
      <c r="V198" t="s">
        <v>624</v>
      </c>
      <c r="W198" t="s">
        <v>4140</v>
      </c>
      <c r="X198" t="s">
        <v>4141</v>
      </c>
      <c r="Y198" t="s">
        <v>4142</v>
      </c>
      <c r="Z198" t="s">
        <v>4561</v>
      </c>
      <c r="AA198" t="s">
        <v>4562</v>
      </c>
      <c r="AB198" t="s">
        <v>624</v>
      </c>
      <c r="AC198" t="s">
        <v>6</v>
      </c>
      <c r="AD198" t="s">
        <v>50</v>
      </c>
      <c r="AE198" t="s">
        <v>6</v>
      </c>
      <c r="AF198" t="s">
        <v>9</v>
      </c>
      <c r="AG198" t="s">
        <v>9</v>
      </c>
      <c r="AH198" t="s">
        <v>4563</v>
      </c>
      <c r="AI198" t="s">
        <v>4564</v>
      </c>
      <c r="AJ198" t="s">
        <v>4563</v>
      </c>
      <c r="AK198" t="s">
        <v>4564</v>
      </c>
      <c r="AL198" t="s">
        <v>9</v>
      </c>
    </row>
    <row r="199" spans="1:38" ht="11.25" customHeight="1">
      <c r="A199" t="s">
        <v>9</v>
      </c>
      <c r="B199" t="s">
        <v>36</v>
      </c>
      <c r="C199" t="s">
        <v>38</v>
      </c>
      <c r="D199" t="s">
        <v>9</v>
      </c>
      <c r="E199" t="s">
        <v>4324</v>
      </c>
      <c r="F199" t="s">
        <v>1438</v>
      </c>
      <c r="G199" t="s">
        <v>124</v>
      </c>
      <c r="H199" t="s">
        <v>124</v>
      </c>
      <c r="I199" t="s">
        <v>125</v>
      </c>
      <c r="J199" t="s">
        <v>4558</v>
      </c>
      <c r="K199" t="s">
        <v>4559</v>
      </c>
      <c r="L199" t="s">
        <v>4565</v>
      </c>
      <c r="M199" t="s">
        <v>1442</v>
      </c>
      <c r="N199" t="s">
        <v>164</v>
      </c>
      <c r="O199" t="s">
        <v>124</v>
      </c>
      <c r="P199" t="s">
        <v>124</v>
      </c>
      <c r="Q199" t="s">
        <v>125</v>
      </c>
      <c r="R199" t="s">
        <v>4558</v>
      </c>
      <c r="S199" t="s">
        <v>4559</v>
      </c>
      <c r="T199" t="s">
        <v>4138</v>
      </c>
      <c r="U199" t="s">
        <v>4139</v>
      </c>
      <c r="V199" t="s">
        <v>624</v>
      </c>
      <c r="W199" t="s">
        <v>4140</v>
      </c>
      <c r="X199" t="s">
        <v>4141</v>
      </c>
      <c r="Y199" t="s">
        <v>4142</v>
      </c>
      <c r="Z199" t="s">
        <v>4566</v>
      </c>
      <c r="AA199" t="s">
        <v>4567</v>
      </c>
      <c r="AB199" t="s">
        <v>624</v>
      </c>
      <c r="AC199" t="s">
        <v>50</v>
      </c>
      <c r="AD199" t="s">
        <v>50</v>
      </c>
      <c r="AE199" t="s">
        <v>50</v>
      </c>
      <c r="AF199" t="s">
        <v>4366</v>
      </c>
      <c r="AG199" t="s">
        <v>4568</v>
      </c>
      <c r="AH199" t="s">
        <v>4366</v>
      </c>
      <c r="AI199" t="s">
        <v>4568</v>
      </c>
      <c r="AJ199" t="s">
        <v>4366</v>
      </c>
      <c r="AK199" t="s">
        <v>4568</v>
      </c>
      <c r="AL199" t="s">
        <v>4146</v>
      </c>
    </row>
    <row r="200" spans="1:38" ht="11.25" customHeight="1">
      <c r="A200" t="s">
        <v>9</v>
      </c>
      <c r="B200" t="s">
        <v>36</v>
      </c>
      <c r="C200" t="s">
        <v>38</v>
      </c>
      <c r="D200" t="s">
        <v>9</v>
      </c>
      <c r="E200" t="s">
        <v>4240</v>
      </c>
      <c r="F200" t="s">
        <v>1438</v>
      </c>
      <c r="G200" t="s">
        <v>124</v>
      </c>
      <c r="H200" t="s">
        <v>124</v>
      </c>
      <c r="I200" t="s">
        <v>125</v>
      </c>
      <c r="J200" t="s">
        <v>4558</v>
      </c>
      <c r="K200" t="s">
        <v>4559</v>
      </c>
      <c r="L200" t="s">
        <v>4569</v>
      </c>
      <c r="M200" t="s">
        <v>1442</v>
      </c>
      <c r="N200" t="s">
        <v>164</v>
      </c>
      <c r="O200" t="s">
        <v>124</v>
      </c>
      <c r="P200" t="s">
        <v>124</v>
      </c>
      <c r="Q200" t="s">
        <v>125</v>
      </c>
      <c r="R200" t="s">
        <v>4558</v>
      </c>
      <c r="S200" t="s">
        <v>4559</v>
      </c>
      <c r="T200" t="s">
        <v>4138</v>
      </c>
      <c r="U200" t="s">
        <v>4139</v>
      </c>
      <c r="V200" t="s">
        <v>624</v>
      </c>
      <c r="W200" t="s">
        <v>4140</v>
      </c>
      <c r="X200" t="s">
        <v>4141</v>
      </c>
      <c r="Y200" t="s">
        <v>4142</v>
      </c>
      <c r="Z200" t="s">
        <v>4570</v>
      </c>
      <c r="AA200" t="s">
        <v>4571</v>
      </c>
      <c r="AB200" t="s">
        <v>624</v>
      </c>
      <c r="AC200" t="s">
        <v>50</v>
      </c>
      <c r="AD200" t="s">
        <v>50</v>
      </c>
      <c r="AE200" t="s">
        <v>50</v>
      </c>
      <c r="AF200" t="s">
        <v>79</v>
      </c>
      <c r="AG200" t="s">
        <v>4572</v>
      </c>
      <c r="AH200" t="s">
        <v>79</v>
      </c>
      <c r="AI200" t="s">
        <v>4572</v>
      </c>
      <c r="AJ200" t="s">
        <v>79</v>
      </c>
      <c r="AK200" t="s">
        <v>4572</v>
      </c>
      <c r="AL200" t="s">
        <v>4146</v>
      </c>
    </row>
    <row r="201" spans="1:38" ht="11.25" customHeight="1">
      <c r="A201" t="s">
        <v>9</v>
      </c>
      <c r="B201" t="s">
        <v>36</v>
      </c>
      <c r="C201" t="s">
        <v>38</v>
      </c>
      <c r="D201" t="s">
        <v>9</v>
      </c>
      <c r="E201" t="s">
        <v>4247</v>
      </c>
      <c r="F201" t="s">
        <v>4148</v>
      </c>
      <c r="G201" t="s">
        <v>124</v>
      </c>
      <c r="H201" t="s">
        <v>124</v>
      </c>
      <c r="I201" t="s">
        <v>125</v>
      </c>
      <c r="J201" t="s">
        <v>4558</v>
      </c>
      <c r="K201" t="s">
        <v>4559</v>
      </c>
      <c r="L201" t="s">
        <v>4569</v>
      </c>
      <c r="M201" t="s">
        <v>1442</v>
      </c>
      <c r="N201" t="s">
        <v>164</v>
      </c>
      <c r="O201" t="s">
        <v>124</v>
      </c>
      <c r="P201" t="s">
        <v>124</v>
      </c>
      <c r="Q201" t="s">
        <v>125</v>
      </c>
      <c r="R201" t="s">
        <v>4558</v>
      </c>
      <c r="S201" t="s">
        <v>4559</v>
      </c>
      <c r="T201" t="s">
        <v>4138</v>
      </c>
      <c r="U201" t="s">
        <v>4139</v>
      </c>
      <c r="V201" t="s">
        <v>624</v>
      </c>
      <c r="W201" t="s">
        <v>4140</v>
      </c>
      <c r="X201" t="s">
        <v>4141</v>
      </c>
      <c r="Y201" t="s">
        <v>4142</v>
      </c>
      <c r="Z201" t="s">
        <v>4570</v>
      </c>
      <c r="AA201" t="s">
        <v>4571</v>
      </c>
      <c r="AB201" t="s">
        <v>624</v>
      </c>
      <c r="AC201" t="s">
        <v>6</v>
      </c>
      <c r="AD201" t="s">
        <v>50</v>
      </c>
      <c r="AE201" t="s">
        <v>6</v>
      </c>
      <c r="AF201" t="s">
        <v>9</v>
      </c>
      <c r="AG201" t="s">
        <v>9</v>
      </c>
      <c r="AH201" t="s">
        <v>79</v>
      </c>
      <c r="AI201" t="s">
        <v>4572</v>
      </c>
      <c r="AJ201" t="s">
        <v>79</v>
      </c>
      <c r="AK201" t="s">
        <v>4572</v>
      </c>
      <c r="AL201" t="s">
        <v>9</v>
      </c>
    </row>
    <row r="202" spans="1:38" ht="11.25" customHeight="1">
      <c r="A202" t="s">
        <v>9</v>
      </c>
      <c r="B202" t="s">
        <v>36</v>
      </c>
      <c r="C202" t="s">
        <v>38</v>
      </c>
      <c r="D202" t="s">
        <v>9</v>
      </c>
      <c r="E202" t="s">
        <v>1507</v>
      </c>
      <c r="F202" t="s">
        <v>1457</v>
      </c>
      <c r="G202" t="s">
        <v>124</v>
      </c>
      <c r="H202" t="s">
        <v>124</v>
      </c>
      <c r="I202" t="s">
        <v>125</v>
      </c>
      <c r="J202" t="s">
        <v>4558</v>
      </c>
      <c r="K202" t="s">
        <v>4559</v>
      </c>
      <c r="L202" t="s">
        <v>4573</v>
      </c>
      <c r="M202" t="s">
        <v>1442</v>
      </c>
      <c r="N202" t="s">
        <v>164</v>
      </c>
      <c r="O202" t="s">
        <v>124</v>
      </c>
      <c r="P202" t="s">
        <v>124</v>
      </c>
      <c r="Q202" t="s">
        <v>125</v>
      </c>
      <c r="R202" t="s">
        <v>4558</v>
      </c>
      <c r="S202" t="s">
        <v>4559</v>
      </c>
      <c r="T202" t="s">
        <v>4138</v>
      </c>
      <c r="U202" t="s">
        <v>4139</v>
      </c>
      <c r="V202" t="s">
        <v>624</v>
      </c>
      <c r="W202" t="s">
        <v>4140</v>
      </c>
      <c r="X202" t="s">
        <v>4141</v>
      </c>
      <c r="Y202" t="s">
        <v>4142</v>
      </c>
      <c r="Z202" t="s">
        <v>4574</v>
      </c>
      <c r="AA202" t="s">
        <v>4571</v>
      </c>
      <c r="AB202" t="s">
        <v>624</v>
      </c>
      <c r="AC202" t="s">
        <v>50</v>
      </c>
      <c r="AD202" t="s">
        <v>6</v>
      </c>
      <c r="AE202" t="s">
        <v>6</v>
      </c>
      <c r="AF202" t="s">
        <v>164</v>
      </c>
      <c r="AG202" t="s">
        <v>4438</v>
      </c>
      <c r="AH202" t="s">
        <v>9</v>
      </c>
      <c r="AI202" t="s">
        <v>9</v>
      </c>
      <c r="AJ202" t="s">
        <v>9</v>
      </c>
      <c r="AK202" t="s">
        <v>9</v>
      </c>
      <c r="AL202" t="s">
        <v>4146</v>
      </c>
    </row>
    <row r="203" spans="1:38" ht="11.25" customHeight="1">
      <c r="A203" t="s">
        <v>9</v>
      </c>
      <c r="B203" t="s">
        <v>36</v>
      </c>
      <c r="C203" t="s">
        <v>38</v>
      </c>
      <c r="D203" t="s">
        <v>9</v>
      </c>
      <c r="E203" t="s">
        <v>4269</v>
      </c>
      <c r="F203" t="s">
        <v>1438</v>
      </c>
      <c r="G203" t="s">
        <v>124</v>
      </c>
      <c r="H203" t="s">
        <v>124</v>
      </c>
      <c r="I203" t="s">
        <v>125</v>
      </c>
      <c r="J203" t="s">
        <v>4558</v>
      </c>
      <c r="K203" t="s">
        <v>4559</v>
      </c>
      <c r="L203" t="s">
        <v>4575</v>
      </c>
      <c r="M203" t="s">
        <v>1442</v>
      </c>
      <c r="N203" t="s">
        <v>164</v>
      </c>
      <c r="O203" t="s">
        <v>124</v>
      </c>
      <c r="P203" t="s">
        <v>124</v>
      </c>
      <c r="Q203" t="s">
        <v>125</v>
      </c>
      <c r="R203" t="s">
        <v>4558</v>
      </c>
      <c r="S203" t="s">
        <v>4559</v>
      </c>
      <c r="T203" t="s">
        <v>4138</v>
      </c>
      <c r="U203" t="s">
        <v>4139</v>
      </c>
      <c r="V203" t="s">
        <v>624</v>
      </c>
      <c r="W203" t="s">
        <v>4140</v>
      </c>
      <c r="X203" t="s">
        <v>4141</v>
      </c>
      <c r="Y203" t="s">
        <v>4142</v>
      </c>
      <c r="Z203" t="s">
        <v>4576</v>
      </c>
      <c r="AA203" t="s">
        <v>4571</v>
      </c>
      <c r="AB203" t="s">
        <v>624</v>
      </c>
      <c r="AC203" t="s">
        <v>50</v>
      </c>
      <c r="AD203" t="s">
        <v>50</v>
      </c>
      <c r="AE203" t="s">
        <v>50</v>
      </c>
      <c r="AF203" t="s">
        <v>1049</v>
      </c>
      <c r="AG203" t="s">
        <v>4577</v>
      </c>
      <c r="AH203" t="s">
        <v>1049</v>
      </c>
      <c r="AI203" t="s">
        <v>4577</v>
      </c>
      <c r="AJ203" t="s">
        <v>1049</v>
      </c>
      <c r="AK203" t="s">
        <v>4577</v>
      </c>
      <c r="AL203" t="s">
        <v>4146</v>
      </c>
    </row>
    <row r="204" spans="1:38" ht="11.25" customHeight="1">
      <c r="A204" t="s">
        <v>9</v>
      </c>
      <c r="B204" t="s">
        <v>36</v>
      </c>
      <c r="C204" t="s">
        <v>38</v>
      </c>
      <c r="D204" t="s">
        <v>9</v>
      </c>
      <c r="E204" t="s">
        <v>4578</v>
      </c>
      <c r="F204" t="s">
        <v>1438</v>
      </c>
      <c r="G204" t="s">
        <v>124</v>
      </c>
      <c r="H204" t="s">
        <v>124</v>
      </c>
      <c r="I204" t="s">
        <v>125</v>
      </c>
      <c r="J204" t="s">
        <v>4558</v>
      </c>
      <c r="K204" t="s">
        <v>4559</v>
      </c>
      <c r="L204" t="s">
        <v>4354</v>
      </c>
      <c r="M204" t="s">
        <v>4579</v>
      </c>
      <c r="N204" t="s">
        <v>164</v>
      </c>
      <c r="O204" t="s">
        <v>124</v>
      </c>
      <c r="P204" t="s">
        <v>124</v>
      </c>
      <c r="Q204" t="s">
        <v>125</v>
      </c>
      <c r="R204" t="s">
        <v>4558</v>
      </c>
      <c r="S204" t="s">
        <v>4559</v>
      </c>
      <c r="T204" t="s">
        <v>4138</v>
      </c>
      <c r="U204" t="s">
        <v>4166</v>
      </c>
      <c r="V204" t="s">
        <v>624</v>
      </c>
      <c r="W204" t="s">
        <v>4140</v>
      </c>
      <c r="X204" t="s">
        <v>4167</v>
      </c>
      <c r="Y204" t="s">
        <v>4168</v>
      </c>
      <c r="Z204" t="s">
        <v>4313</v>
      </c>
      <c r="AA204" t="s">
        <v>4580</v>
      </c>
      <c r="AB204" t="s">
        <v>624</v>
      </c>
      <c r="AC204" t="s">
        <v>50</v>
      </c>
      <c r="AD204" t="s">
        <v>50</v>
      </c>
      <c r="AE204" t="s">
        <v>50</v>
      </c>
      <c r="AF204" t="s">
        <v>4226</v>
      </c>
      <c r="AG204" t="s">
        <v>4581</v>
      </c>
      <c r="AH204" t="s">
        <v>4226</v>
      </c>
      <c r="AI204" t="s">
        <v>4581</v>
      </c>
      <c r="AJ204" t="s">
        <v>4226</v>
      </c>
      <c r="AK204" t="s">
        <v>4581</v>
      </c>
      <c r="AL204" t="s">
        <v>4146</v>
      </c>
    </row>
    <row r="205" spans="1:38" ht="11.25" customHeight="1">
      <c r="A205" t="s">
        <v>9</v>
      </c>
      <c r="B205" t="s">
        <v>36</v>
      </c>
      <c r="C205" t="s">
        <v>38</v>
      </c>
      <c r="D205" t="s">
        <v>9</v>
      </c>
      <c r="E205" t="s">
        <v>1449</v>
      </c>
      <c r="F205" t="s">
        <v>1438</v>
      </c>
      <c r="G205" t="s">
        <v>124</v>
      </c>
      <c r="H205" t="s">
        <v>124</v>
      </c>
      <c r="I205" t="s">
        <v>125</v>
      </c>
      <c r="J205" t="s">
        <v>4558</v>
      </c>
      <c r="K205" t="s">
        <v>4559</v>
      </c>
      <c r="L205" t="s">
        <v>4582</v>
      </c>
      <c r="M205" t="s">
        <v>1442</v>
      </c>
      <c r="N205" t="s">
        <v>164</v>
      </c>
      <c r="O205" t="s">
        <v>124</v>
      </c>
      <c r="P205" t="s">
        <v>124</v>
      </c>
      <c r="Q205" t="s">
        <v>125</v>
      </c>
      <c r="R205" t="s">
        <v>4558</v>
      </c>
      <c r="S205" t="s">
        <v>4559</v>
      </c>
      <c r="T205" t="s">
        <v>4138</v>
      </c>
      <c r="U205" t="s">
        <v>4139</v>
      </c>
      <c r="V205" t="s">
        <v>624</v>
      </c>
      <c r="W205" t="s">
        <v>4140</v>
      </c>
      <c r="X205" t="s">
        <v>4141</v>
      </c>
      <c r="Y205" t="s">
        <v>4142</v>
      </c>
      <c r="Z205" t="s">
        <v>4583</v>
      </c>
      <c r="AA205" t="s">
        <v>4584</v>
      </c>
      <c r="AB205" t="s">
        <v>624</v>
      </c>
      <c r="AC205" t="s">
        <v>50</v>
      </c>
      <c r="AD205" t="s">
        <v>50</v>
      </c>
      <c r="AE205" t="s">
        <v>50</v>
      </c>
      <c r="AF205" t="s">
        <v>100</v>
      </c>
      <c r="AG205" t="s">
        <v>4585</v>
      </c>
      <c r="AH205" t="s">
        <v>100</v>
      </c>
      <c r="AI205" t="s">
        <v>4585</v>
      </c>
      <c r="AJ205" t="s">
        <v>100</v>
      </c>
      <c r="AK205" t="s">
        <v>4585</v>
      </c>
      <c r="AL205" t="s">
        <v>4146</v>
      </c>
    </row>
    <row r="206" spans="1:38" ht="11.25" customHeight="1">
      <c r="A206" t="s">
        <v>9</v>
      </c>
      <c r="B206" t="s">
        <v>36</v>
      </c>
      <c r="C206" t="s">
        <v>38</v>
      </c>
      <c r="D206" t="s">
        <v>9</v>
      </c>
      <c r="E206" t="s">
        <v>4155</v>
      </c>
      <c r="F206" t="s">
        <v>4148</v>
      </c>
      <c r="G206" t="s">
        <v>124</v>
      </c>
      <c r="H206" t="s">
        <v>124</v>
      </c>
      <c r="I206" t="s">
        <v>125</v>
      </c>
      <c r="J206" t="s">
        <v>4558</v>
      </c>
      <c r="K206" t="s">
        <v>4559</v>
      </c>
      <c r="L206" t="s">
        <v>4582</v>
      </c>
      <c r="M206" t="s">
        <v>1442</v>
      </c>
      <c r="N206" t="s">
        <v>164</v>
      </c>
      <c r="O206" t="s">
        <v>124</v>
      </c>
      <c r="P206" t="s">
        <v>124</v>
      </c>
      <c r="Q206" t="s">
        <v>125</v>
      </c>
      <c r="R206" t="s">
        <v>4558</v>
      </c>
      <c r="S206" t="s">
        <v>4559</v>
      </c>
      <c r="T206" t="s">
        <v>4138</v>
      </c>
      <c r="U206" t="s">
        <v>4139</v>
      </c>
      <c r="V206" t="s">
        <v>624</v>
      </c>
      <c r="W206" t="s">
        <v>4140</v>
      </c>
      <c r="X206" t="s">
        <v>4141</v>
      </c>
      <c r="Y206" t="s">
        <v>4142</v>
      </c>
      <c r="Z206" t="s">
        <v>4583</v>
      </c>
      <c r="AA206" t="s">
        <v>4584</v>
      </c>
      <c r="AB206" t="s">
        <v>624</v>
      </c>
      <c r="AC206" t="s">
        <v>6</v>
      </c>
      <c r="AD206" t="s">
        <v>50</v>
      </c>
      <c r="AE206" t="s">
        <v>6</v>
      </c>
      <c r="AF206" t="s">
        <v>9</v>
      </c>
      <c r="AG206" t="s">
        <v>9</v>
      </c>
      <c r="AH206" t="s">
        <v>100</v>
      </c>
      <c r="AI206" t="s">
        <v>4585</v>
      </c>
      <c r="AJ206" t="s">
        <v>100</v>
      </c>
      <c r="AK206" t="s">
        <v>4585</v>
      </c>
      <c r="AL206" t="s">
        <v>9</v>
      </c>
    </row>
    <row r="207" spans="1:38" ht="11.25" customHeight="1">
      <c r="A207" t="s">
        <v>9</v>
      </c>
      <c r="B207" t="s">
        <v>36</v>
      </c>
      <c r="C207" t="s">
        <v>38</v>
      </c>
      <c r="D207" t="s">
        <v>9</v>
      </c>
      <c r="E207" t="s">
        <v>1456</v>
      </c>
      <c r="F207" t="s">
        <v>1438</v>
      </c>
      <c r="G207" t="s">
        <v>124</v>
      </c>
      <c r="H207" t="s">
        <v>124</v>
      </c>
      <c r="I207" t="s">
        <v>125</v>
      </c>
      <c r="J207" t="s">
        <v>4558</v>
      </c>
      <c r="K207" t="s">
        <v>4559</v>
      </c>
      <c r="L207" t="s">
        <v>4586</v>
      </c>
      <c r="M207" t="s">
        <v>1442</v>
      </c>
      <c r="N207" t="s">
        <v>164</v>
      </c>
      <c r="O207" t="s">
        <v>124</v>
      </c>
      <c r="P207" t="s">
        <v>124</v>
      </c>
      <c r="Q207" t="s">
        <v>125</v>
      </c>
      <c r="R207" t="s">
        <v>4558</v>
      </c>
      <c r="S207" t="s">
        <v>4559</v>
      </c>
      <c r="T207" t="s">
        <v>4138</v>
      </c>
      <c r="U207" t="s">
        <v>4139</v>
      </c>
      <c r="V207" t="s">
        <v>624</v>
      </c>
      <c r="W207" t="s">
        <v>4140</v>
      </c>
      <c r="X207" t="s">
        <v>4141</v>
      </c>
      <c r="Y207" t="s">
        <v>4142</v>
      </c>
      <c r="Z207" t="s">
        <v>4587</v>
      </c>
      <c r="AA207" t="s">
        <v>4588</v>
      </c>
      <c r="AB207" t="s">
        <v>624</v>
      </c>
      <c r="AC207" t="s">
        <v>50</v>
      </c>
      <c r="AD207" t="s">
        <v>50</v>
      </c>
      <c r="AE207" t="s">
        <v>50</v>
      </c>
      <c r="AF207" t="s">
        <v>1223</v>
      </c>
      <c r="AG207" t="s">
        <v>4589</v>
      </c>
      <c r="AH207" t="s">
        <v>1223</v>
      </c>
      <c r="AI207" t="s">
        <v>4589</v>
      </c>
      <c r="AJ207" t="s">
        <v>1223</v>
      </c>
      <c r="AK207" t="s">
        <v>4589</v>
      </c>
      <c r="AL207" t="s">
        <v>4146</v>
      </c>
    </row>
    <row r="208" spans="1:38" ht="11.25" customHeight="1">
      <c r="A208" t="s">
        <v>9</v>
      </c>
      <c r="B208" t="s">
        <v>36</v>
      </c>
      <c r="C208" t="s">
        <v>38</v>
      </c>
      <c r="D208" t="s">
        <v>9</v>
      </c>
      <c r="E208" t="s">
        <v>4196</v>
      </c>
      <c r="F208" t="s">
        <v>4148</v>
      </c>
      <c r="G208" t="s">
        <v>124</v>
      </c>
      <c r="H208" t="s">
        <v>124</v>
      </c>
      <c r="I208" t="s">
        <v>125</v>
      </c>
      <c r="J208" t="s">
        <v>4558</v>
      </c>
      <c r="K208" t="s">
        <v>4559</v>
      </c>
      <c r="L208" t="s">
        <v>4586</v>
      </c>
      <c r="M208" t="s">
        <v>1442</v>
      </c>
      <c r="N208" t="s">
        <v>164</v>
      </c>
      <c r="O208" t="s">
        <v>124</v>
      </c>
      <c r="P208" t="s">
        <v>124</v>
      </c>
      <c r="Q208" t="s">
        <v>125</v>
      </c>
      <c r="R208" t="s">
        <v>4558</v>
      </c>
      <c r="S208" t="s">
        <v>4559</v>
      </c>
      <c r="T208" t="s">
        <v>4138</v>
      </c>
      <c r="U208" t="s">
        <v>4139</v>
      </c>
      <c r="V208" t="s">
        <v>624</v>
      </c>
      <c r="W208" t="s">
        <v>4140</v>
      </c>
      <c r="X208" t="s">
        <v>4141</v>
      </c>
      <c r="Y208" t="s">
        <v>4142</v>
      </c>
      <c r="Z208" t="s">
        <v>4587</v>
      </c>
      <c r="AA208" t="s">
        <v>4588</v>
      </c>
      <c r="AB208" t="s">
        <v>624</v>
      </c>
      <c r="AC208" t="s">
        <v>6</v>
      </c>
      <c r="AD208" t="s">
        <v>50</v>
      </c>
      <c r="AE208" t="s">
        <v>6</v>
      </c>
      <c r="AF208" t="s">
        <v>9</v>
      </c>
      <c r="AG208" t="s">
        <v>9</v>
      </c>
      <c r="AH208" t="s">
        <v>1223</v>
      </c>
      <c r="AI208" t="s">
        <v>4589</v>
      </c>
      <c r="AJ208" t="s">
        <v>1223</v>
      </c>
      <c r="AK208" t="s">
        <v>4589</v>
      </c>
      <c r="AL208" t="s">
        <v>9</v>
      </c>
    </row>
    <row r="209" spans="1:38" ht="11.25" customHeight="1">
      <c r="A209" t="s">
        <v>9</v>
      </c>
      <c r="B209" t="s">
        <v>36</v>
      </c>
      <c r="C209" t="s">
        <v>38</v>
      </c>
      <c r="D209" t="s">
        <v>9</v>
      </c>
      <c r="E209" t="s">
        <v>4590</v>
      </c>
      <c r="F209" t="s">
        <v>1438</v>
      </c>
      <c r="G209" t="s">
        <v>124</v>
      </c>
      <c r="H209" t="s">
        <v>124</v>
      </c>
      <c r="I209" t="s">
        <v>125</v>
      </c>
      <c r="J209" t="s">
        <v>4558</v>
      </c>
      <c r="K209" t="s">
        <v>4559</v>
      </c>
      <c r="L209" t="s">
        <v>4591</v>
      </c>
      <c r="M209" t="s">
        <v>1442</v>
      </c>
      <c r="N209" t="s">
        <v>164</v>
      </c>
      <c r="O209" t="s">
        <v>124</v>
      </c>
      <c r="P209" t="s">
        <v>124</v>
      </c>
      <c r="Q209" t="s">
        <v>125</v>
      </c>
      <c r="R209" t="s">
        <v>4558</v>
      </c>
      <c r="S209" t="s">
        <v>4559</v>
      </c>
      <c r="T209" t="s">
        <v>4165</v>
      </c>
      <c r="U209" t="s">
        <v>4166</v>
      </c>
      <c r="V209" t="s">
        <v>624</v>
      </c>
      <c r="W209" t="s">
        <v>4140</v>
      </c>
      <c r="X209" t="s">
        <v>4167</v>
      </c>
      <c r="Y209" t="s">
        <v>4168</v>
      </c>
      <c r="Z209" t="s">
        <v>4313</v>
      </c>
      <c r="AA209" t="s">
        <v>4592</v>
      </c>
      <c r="AB209" t="s">
        <v>624</v>
      </c>
      <c r="AC209" t="s">
        <v>50</v>
      </c>
      <c r="AD209" t="s">
        <v>50</v>
      </c>
      <c r="AE209" t="s">
        <v>50</v>
      </c>
      <c r="AF209" t="s">
        <v>89</v>
      </c>
      <c r="AG209" t="s">
        <v>4593</v>
      </c>
      <c r="AH209" t="s">
        <v>89</v>
      </c>
      <c r="AI209" t="s">
        <v>4593</v>
      </c>
      <c r="AJ209" t="s">
        <v>89</v>
      </c>
      <c r="AK209" t="s">
        <v>4593</v>
      </c>
      <c r="AL209" t="s">
        <v>4146</v>
      </c>
    </row>
    <row r="210" spans="1:38" ht="11.25" customHeight="1">
      <c r="A210" t="s">
        <v>9</v>
      </c>
      <c r="B210" t="s">
        <v>36</v>
      </c>
      <c r="C210" t="s">
        <v>38</v>
      </c>
      <c r="D210" t="s">
        <v>9</v>
      </c>
      <c r="E210" t="s">
        <v>4594</v>
      </c>
      <c r="F210" t="s">
        <v>1438</v>
      </c>
      <c r="G210" t="s">
        <v>124</v>
      </c>
      <c r="H210" t="s">
        <v>124</v>
      </c>
      <c r="I210" t="s">
        <v>125</v>
      </c>
      <c r="J210" t="s">
        <v>4558</v>
      </c>
      <c r="K210" t="s">
        <v>4559</v>
      </c>
      <c r="L210" t="s">
        <v>4595</v>
      </c>
      <c r="M210" t="s">
        <v>4596</v>
      </c>
      <c r="N210" t="s">
        <v>164</v>
      </c>
      <c r="O210" t="s">
        <v>124</v>
      </c>
      <c r="P210" t="s">
        <v>124</v>
      </c>
      <c r="Q210" t="s">
        <v>125</v>
      </c>
      <c r="R210" t="s">
        <v>4558</v>
      </c>
      <c r="S210" t="s">
        <v>4559</v>
      </c>
      <c r="T210" t="s">
        <v>4165</v>
      </c>
      <c r="U210" t="s">
        <v>4166</v>
      </c>
      <c r="V210" t="s">
        <v>624</v>
      </c>
      <c r="W210" t="s">
        <v>4140</v>
      </c>
      <c r="X210" t="s">
        <v>4167</v>
      </c>
      <c r="Y210" t="s">
        <v>4168</v>
      </c>
      <c r="Z210" t="s">
        <v>4597</v>
      </c>
      <c r="AA210" t="s">
        <v>4598</v>
      </c>
      <c r="AB210" t="s">
        <v>624</v>
      </c>
      <c r="AC210" t="s">
        <v>50</v>
      </c>
      <c r="AD210" t="s">
        <v>50</v>
      </c>
      <c r="AE210" t="s">
        <v>50</v>
      </c>
      <c r="AF210" t="s">
        <v>1223</v>
      </c>
      <c r="AG210" t="s">
        <v>4599</v>
      </c>
      <c r="AH210" t="s">
        <v>1223</v>
      </c>
      <c r="AI210" t="s">
        <v>4600</v>
      </c>
      <c r="AJ210" t="s">
        <v>1223</v>
      </c>
      <c r="AK210" t="s">
        <v>4600</v>
      </c>
      <c r="AL210" t="s">
        <v>4146</v>
      </c>
    </row>
    <row r="211" spans="1:38" ht="11.25" customHeight="1">
      <c r="A211" t="s">
        <v>9</v>
      </c>
      <c r="B211" t="s">
        <v>36</v>
      </c>
      <c r="C211" t="s">
        <v>38</v>
      </c>
      <c r="D211" t="s">
        <v>9</v>
      </c>
      <c r="E211" t="s">
        <v>4601</v>
      </c>
      <c r="F211" t="s">
        <v>1438</v>
      </c>
      <c r="G211" t="s">
        <v>124</v>
      </c>
      <c r="H211" t="s">
        <v>124</v>
      </c>
      <c r="I211" t="s">
        <v>125</v>
      </c>
      <c r="J211" t="s">
        <v>4558</v>
      </c>
      <c r="K211" t="s">
        <v>4559</v>
      </c>
      <c r="L211" t="s">
        <v>4602</v>
      </c>
      <c r="M211" t="s">
        <v>4603</v>
      </c>
      <c r="N211" t="s">
        <v>164</v>
      </c>
      <c r="O211" t="s">
        <v>124</v>
      </c>
      <c r="P211" t="s">
        <v>124</v>
      </c>
      <c r="Q211" t="s">
        <v>125</v>
      </c>
      <c r="R211" t="s">
        <v>4558</v>
      </c>
      <c r="S211" t="s">
        <v>4559</v>
      </c>
      <c r="T211" t="s">
        <v>4165</v>
      </c>
      <c r="U211" t="s">
        <v>4166</v>
      </c>
      <c r="V211" t="s">
        <v>624</v>
      </c>
      <c r="W211" t="s">
        <v>4140</v>
      </c>
      <c r="X211" t="s">
        <v>4167</v>
      </c>
      <c r="Y211" t="s">
        <v>4168</v>
      </c>
      <c r="Z211" t="s">
        <v>4604</v>
      </c>
      <c r="AA211" t="s">
        <v>4605</v>
      </c>
      <c r="AB211" t="s">
        <v>624</v>
      </c>
      <c r="AC211" t="s">
        <v>50</v>
      </c>
      <c r="AD211" t="s">
        <v>50</v>
      </c>
      <c r="AE211" t="s">
        <v>50</v>
      </c>
      <c r="AF211" t="s">
        <v>4606</v>
      </c>
      <c r="AG211" t="s">
        <v>4607</v>
      </c>
      <c r="AH211" t="s">
        <v>4606</v>
      </c>
      <c r="AI211" t="s">
        <v>4608</v>
      </c>
      <c r="AJ211" t="s">
        <v>4606</v>
      </c>
      <c r="AK211" t="s">
        <v>4608</v>
      </c>
      <c r="AL211" t="s">
        <v>4146</v>
      </c>
    </row>
    <row r="212" spans="1:38" ht="11.25" customHeight="1">
      <c r="A212" t="s">
        <v>9</v>
      </c>
      <c r="B212" t="s">
        <v>36</v>
      </c>
      <c r="C212" t="s">
        <v>38</v>
      </c>
      <c r="D212" t="s">
        <v>9</v>
      </c>
      <c r="E212" t="s">
        <v>4609</v>
      </c>
      <c r="F212" t="s">
        <v>4148</v>
      </c>
      <c r="G212" t="s">
        <v>124</v>
      </c>
      <c r="H212" t="s">
        <v>124</v>
      </c>
      <c r="I212" t="s">
        <v>125</v>
      </c>
      <c r="J212" t="s">
        <v>4558</v>
      </c>
      <c r="K212" t="s">
        <v>4559</v>
      </c>
      <c r="L212" t="s">
        <v>4602</v>
      </c>
      <c r="M212" t="s">
        <v>4603</v>
      </c>
      <c r="N212" t="s">
        <v>164</v>
      </c>
      <c r="O212" t="s">
        <v>124</v>
      </c>
      <c r="P212" t="s">
        <v>124</v>
      </c>
      <c r="Q212" t="s">
        <v>125</v>
      </c>
      <c r="R212" t="s">
        <v>4558</v>
      </c>
      <c r="S212" t="s">
        <v>4559</v>
      </c>
      <c r="T212" t="s">
        <v>4165</v>
      </c>
      <c r="U212" t="s">
        <v>4166</v>
      </c>
      <c r="V212" t="s">
        <v>624</v>
      </c>
      <c r="W212" t="s">
        <v>4140</v>
      </c>
      <c r="X212" t="s">
        <v>4167</v>
      </c>
      <c r="Y212" t="s">
        <v>4168</v>
      </c>
      <c r="Z212" t="s">
        <v>4604</v>
      </c>
      <c r="AA212" t="s">
        <v>4605</v>
      </c>
      <c r="AB212" t="s">
        <v>624</v>
      </c>
      <c r="AC212" t="s">
        <v>6</v>
      </c>
      <c r="AD212" t="s">
        <v>50</v>
      </c>
      <c r="AE212" t="s">
        <v>6</v>
      </c>
      <c r="AF212" t="s">
        <v>9</v>
      </c>
      <c r="AG212" t="s">
        <v>9</v>
      </c>
      <c r="AH212" t="s">
        <v>4606</v>
      </c>
      <c r="AI212" t="s">
        <v>4608</v>
      </c>
      <c r="AJ212" t="s">
        <v>4606</v>
      </c>
      <c r="AK212" t="s">
        <v>4608</v>
      </c>
      <c r="AL212" t="s">
        <v>9</v>
      </c>
    </row>
    <row r="213" spans="1:38" ht="11.25" customHeight="1">
      <c r="A213" t="s">
        <v>9</v>
      </c>
      <c r="B213" t="s">
        <v>36</v>
      </c>
      <c r="C213" t="s">
        <v>38</v>
      </c>
      <c r="D213" t="s">
        <v>9</v>
      </c>
      <c r="E213" t="s">
        <v>4610</v>
      </c>
      <c r="F213" t="s">
        <v>4148</v>
      </c>
      <c r="G213" t="s">
        <v>124</v>
      </c>
      <c r="H213" t="s">
        <v>124</v>
      </c>
      <c r="I213" t="s">
        <v>125</v>
      </c>
      <c r="J213" t="s">
        <v>4558</v>
      </c>
      <c r="K213" t="s">
        <v>4559</v>
      </c>
      <c r="L213" t="s">
        <v>4602</v>
      </c>
      <c r="M213" t="s">
        <v>4611</v>
      </c>
      <c r="N213" t="s">
        <v>164</v>
      </c>
      <c r="O213" t="s">
        <v>124</v>
      </c>
      <c r="P213" t="s">
        <v>124</v>
      </c>
      <c r="Q213" t="s">
        <v>125</v>
      </c>
      <c r="R213" t="s">
        <v>4558</v>
      </c>
      <c r="S213" t="s">
        <v>4559</v>
      </c>
      <c r="T213" t="s">
        <v>4165</v>
      </c>
      <c r="U213" t="s">
        <v>4166</v>
      </c>
      <c r="V213" t="s">
        <v>624</v>
      </c>
      <c r="W213" t="s">
        <v>4140</v>
      </c>
      <c r="X213" t="s">
        <v>4167</v>
      </c>
      <c r="Y213" t="s">
        <v>4168</v>
      </c>
      <c r="Z213" t="s">
        <v>4604</v>
      </c>
      <c r="AA213" t="s">
        <v>4605</v>
      </c>
      <c r="AB213" t="s">
        <v>624</v>
      </c>
      <c r="AC213" t="s">
        <v>6</v>
      </c>
      <c r="AD213" t="s">
        <v>50</v>
      </c>
      <c r="AE213" t="s">
        <v>6</v>
      </c>
      <c r="AF213" t="s">
        <v>9</v>
      </c>
      <c r="AG213" t="s">
        <v>9</v>
      </c>
      <c r="AH213" t="s">
        <v>4606</v>
      </c>
      <c r="AI213" t="s">
        <v>4608</v>
      </c>
      <c r="AJ213" t="s">
        <v>4606</v>
      </c>
      <c r="AK213" t="s">
        <v>4608</v>
      </c>
      <c r="AL213" t="s">
        <v>9</v>
      </c>
    </row>
    <row r="214" spans="1:38" ht="11.25" customHeight="1">
      <c r="A214" t="s">
        <v>9</v>
      </c>
      <c r="B214" t="s">
        <v>36</v>
      </c>
      <c r="C214" t="s">
        <v>38</v>
      </c>
      <c r="D214" t="s">
        <v>9</v>
      </c>
      <c r="E214" t="s">
        <v>1500</v>
      </c>
      <c r="F214" t="s">
        <v>1438</v>
      </c>
      <c r="G214" t="s">
        <v>124</v>
      </c>
      <c r="H214" t="s">
        <v>124</v>
      </c>
      <c r="I214" t="s">
        <v>125</v>
      </c>
      <c r="J214" t="s">
        <v>4558</v>
      </c>
      <c r="K214" t="s">
        <v>4559</v>
      </c>
      <c r="L214" t="s">
        <v>4612</v>
      </c>
      <c r="M214" t="s">
        <v>1442</v>
      </c>
      <c r="N214" t="s">
        <v>164</v>
      </c>
      <c r="O214" t="s">
        <v>124</v>
      </c>
      <c r="P214" t="s">
        <v>124</v>
      </c>
      <c r="Q214" t="s">
        <v>125</v>
      </c>
      <c r="R214" t="s">
        <v>4558</v>
      </c>
      <c r="S214" t="s">
        <v>4559</v>
      </c>
      <c r="T214" t="s">
        <v>4138</v>
      </c>
      <c r="U214" t="s">
        <v>4139</v>
      </c>
      <c r="V214" t="s">
        <v>624</v>
      </c>
      <c r="W214" t="s">
        <v>4140</v>
      </c>
      <c r="X214" t="s">
        <v>4141</v>
      </c>
      <c r="Y214" t="s">
        <v>4142</v>
      </c>
      <c r="Z214" t="s">
        <v>4613</v>
      </c>
      <c r="AA214" t="s">
        <v>4567</v>
      </c>
      <c r="AB214" t="s">
        <v>624</v>
      </c>
      <c r="AC214" t="s">
        <v>50</v>
      </c>
      <c r="AD214" t="s">
        <v>50</v>
      </c>
      <c r="AE214" t="s">
        <v>50</v>
      </c>
      <c r="AF214" t="s">
        <v>1548</v>
      </c>
      <c r="AG214" t="s">
        <v>4614</v>
      </c>
      <c r="AH214" t="s">
        <v>1548</v>
      </c>
      <c r="AI214" t="s">
        <v>4614</v>
      </c>
      <c r="AJ214" t="s">
        <v>1548</v>
      </c>
      <c r="AK214" t="s">
        <v>4614</v>
      </c>
      <c r="AL214" t="s">
        <v>4146</v>
      </c>
    </row>
    <row r="215" spans="1:38" ht="11.25" customHeight="1">
      <c r="A215" t="s">
        <v>9</v>
      </c>
      <c r="B215" t="s">
        <v>36</v>
      </c>
      <c r="C215" t="s">
        <v>38</v>
      </c>
      <c r="D215" t="s">
        <v>9</v>
      </c>
      <c r="E215" t="s">
        <v>4201</v>
      </c>
      <c r="F215" t="s">
        <v>4148</v>
      </c>
      <c r="G215" t="s">
        <v>124</v>
      </c>
      <c r="H215" t="s">
        <v>124</v>
      </c>
      <c r="I215" t="s">
        <v>125</v>
      </c>
      <c r="J215" t="s">
        <v>4558</v>
      </c>
      <c r="K215" t="s">
        <v>4559</v>
      </c>
      <c r="L215" t="s">
        <v>4612</v>
      </c>
      <c r="M215" t="s">
        <v>1442</v>
      </c>
      <c r="N215" t="s">
        <v>164</v>
      </c>
      <c r="O215" t="s">
        <v>124</v>
      </c>
      <c r="P215" t="s">
        <v>124</v>
      </c>
      <c r="Q215" t="s">
        <v>125</v>
      </c>
      <c r="R215" t="s">
        <v>4558</v>
      </c>
      <c r="S215" t="s">
        <v>4559</v>
      </c>
      <c r="T215" t="s">
        <v>4138</v>
      </c>
      <c r="U215" t="s">
        <v>4139</v>
      </c>
      <c r="V215" t="s">
        <v>624</v>
      </c>
      <c r="W215" t="s">
        <v>4140</v>
      </c>
      <c r="X215" t="s">
        <v>4141</v>
      </c>
      <c r="Y215" t="s">
        <v>4142</v>
      </c>
      <c r="Z215" t="s">
        <v>4613</v>
      </c>
      <c r="AA215" t="s">
        <v>4567</v>
      </c>
      <c r="AB215" t="s">
        <v>624</v>
      </c>
      <c r="AC215" t="s">
        <v>6</v>
      </c>
      <c r="AD215" t="s">
        <v>50</v>
      </c>
      <c r="AE215" t="s">
        <v>6</v>
      </c>
      <c r="AF215" t="s">
        <v>9</v>
      </c>
      <c r="AG215" t="s">
        <v>9</v>
      </c>
      <c r="AH215" t="s">
        <v>1548</v>
      </c>
      <c r="AI215" t="s">
        <v>4614</v>
      </c>
      <c r="AJ215" t="s">
        <v>1548</v>
      </c>
      <c r="AK215" t="s">
        <v>4614</v>
      </c>
      <c r="AL215" t="s">
        <v>9</v>
      </c>
    </row>
    <row r="216" spans="1:38" ht="11.25" customHeight="1">
      <c r="A216" t="s">
        <v>9</v>
      </c>
      <c r="B216" t="s">
        <v>36</v>
      </c>
      <c r="C216" t="s">
        <v>38</v>
      </c>
      <c r="D216" t="s">
        <v>9</v>
      </c>
      <c r="E216" t="s">
        <v>4253</v>
      </c>
      <c r="F216" t="s">
        <v>4148</v>
      </c>
      <c r="G216" t="s">
        <v>124</v>
      </c>
      <c r="H216" t="s">
        <v>124</v>
      </c>
      <c r="I216" t="s">
        <v>125</v>
      </c>
      <c r="J216" t="s">
        <v>4558</v>
      </c>
      <c r="K216" t="s">
        <v>4559</v>
      </c>
      <c r="L216" t="s">
        <v>4615</v>
      </c>
      <c r="M216" t="s">
        <v>1442</v>
      </c>
      <c r="N216" t="s">
        <v>164</v>
      </c>
      <c r="O216" t="s">
        <v>124</v>
      </c>
      <c r="P216" t="s">
        <v>124</v>
      </c>
      <c r="Q216" t="s">
        <v>125</v>
      </c>
      <c r="R216" t="s">
        <v>4558</v>
      </c>
      <c r="S216" t="s">
        <v>4559</v>
      </c>
      <c r="T216" t="s">
        <v>4138</v>
      </c>
      <c r="U216" t="s">
        <v>4139</v>
      </c>
      <c r="V216" t="s">
        <v>624</v>
      </c>
      <c r="W216" t="s">
        <v>4140</v>
      </c>
      <c r="X216" t="s">
        <v>4141</v>
      </c>
      <c r="Y216" t="s">
        <v>4142</v>
      </c>
      <c r="Z216" t="s">
        <v>4616</v>
      </c>
      <c r="AA216" t="s">
        <v>4617</v>
      </c>
      <c r="AB216" t="s">
        <v>624</v>
      </c>
      <c r="AC216" t="s">
        <v>6</v>
      </c>
      <c r="AD216" t="s">
        <v>50</v>
      </c>
      <c r="AE216" t="s">
        <v>6</v>
      </c>
      <c r="AF216" t="s">
        <v>9</v>
      </c>
      <c r="AG216" t="s">
        <v>9</v>
      </c>
      <c r="AH216" t="s">
        <v>114</v>
      </c>
      <c r="AI216" t="s">
        <v>4618</v>
      </c>
      <c r="AJ216" t="s">
        <v>114</v>
      </c>
      <c r="AK216" t="s">
        <v>4618</v>
      </c>
      <c r="AL216" t="s">
        <v>9</v>
      </c>
    </row>
    <row r="217" spans="1:38" ht="11.25" customHeight="1">
      <c r="A217" t="s">
        <v>9</v>
      </c>
      <c r="B217" t="s">
        <v>36</v>
      </c>
      <c r="C217" t="s">
        <v>38</v>
      </c>
      <c r="D217" t="s">
        <v>9</v>
      </c>
      <c r="E217" t="s">
        <v>4202</v>
      </c>
      <c r="F217" t="s">
        <v>1438</v>
      </c>
      <c r="G217" t="s">
        <v>124</v>
      </c>
      <c r="H217" t="s">
        <v>124</v>
      </c>
      <c r="I217" t="s">
        <v>125</v>
      </c>
      <c r="J217" t="s">
        <v>4558</v>
      </c>
      <c r="K217" t="s">
        <v>4559</v>
      </c>
      <c r="L217" t="s">
        <v>4619</v>
      </c>
      <c r="M217" t="s">
        <v>1442</v>
      </c>
      <c r="N217" t="s">
        <v>164</v>
      </c>
      <c r="O217" t="s">
        <v>124</v>
      </c>
      <c r="P217" t="s">
        <v>124</v>
      </c>
      <c r="Q217" t="s">
        <v>125</v>
      </c>
      <c r="R217" t="s">
        <v>4558</v>
      </c>
      <c r="S217" t="s">
        <v>4559</v>
      </c>
      <c r="T217" t="s">
        <v>4138</v>
      </c>
      <c r="U217" t="s">
        <v>4139</v>
      </c>
      <c r="V217" t="s">
        <v>624</v>
      </c>
      <c r="W217" t="s">
        <v>4140</v>
      </c>
      <c r="X217" t="s">
        <v>4141</v>
      </c>
      <c r="Y217" t="s">
        <v>4142</v>
      </c>
      <c r="Z217" t="s">
        <v>4620</v>
      </c>
      <c r="AA217" t="s">
        <v>4571</v>
      </c>
      <c r="AB217" t="s">
        <v>624</v>
      </c>
      <c r="AC217" t="s">
        <v>50</v>
      </c>
      <c r="AD217" t="s">
        <v>50</v>
      </c>
      <c r="AE217" t="s">
        <v>50</v>
      </c>
      <c r="AF217" t="s">
        <v>4315</v>
      </c>
      <c r="AG217" t="s">
        <v>4621</v>
      </c>
      <c r="AH217" t="s">
        <v>4315</v>
      </c>
      <c r="AI217" t="s">
        <v>4621</v>
      </c>
      <c r="AJ217" t="s">
        <v>4315</v>
      </c>
      <c r="AK217" t="s">
        <v>4621</v>
      </c>
      <c r="AL217" t="s">
        <v>4146</v>
      </c>
    </row>
    <row r="218" spans="1:38" ht="11.25" customHeight="1">
      <c r="A218" t="s">
        <v>9</v>
      </c>
      <c r="B218" t="s">
        <v>36</v>
      </c>
      <c r="C218" t="s">
        <v>38</v>
      </c>
      <c r="D218" t="s">
        <v>9</v>
      </c>
      <c r="E218" t="s">
        <v>4622</v>
      </c>
      <c r="F218" t="s">
        <v>4148</v>
      </c>
      <c r="G218" t="s">
        <v>124</v>
      </c>
      <c r="H218" t="s">
        <v>124</v>
      </c>
      <c r="I218" t="s">
        <v>125</v>
      </c>
      <c r="J218" t="s">
        <v>4558</v>
      </c>
      <c r="K218" t="s">
        <v>4559</v>
      </c>
      <c r="L218" t="s">
        <v>4619</v>
      </c>
      <c r="M218" t="s">
        <v>1442</v>
      </c>
      <c r="N218" t="s">
        <v>164</v>
      </c>
      <c r="O218" t="s">
        <v>124</v>
      </c>
      <c r="P218" t="s">
        <v>124</v>
      </c>
      <c r="Q218" t="s">
        <v>125</v>
      </c>
      <c r="R218" t="s">
        <v>4558</v>
      </c>
      <c r="S218" t="s">
        <v>4559</v>
      </c>
      <c r="T218" t="s">
        <v>4138</v>
      </c>
      <c r="U218" t="s">
        <v>4139</v>
      </c>
      <c r="V218" t="s">
        <v>624</v>
      </c>
      <c r="W218" t="s">
        <v>4140</v>
      </c>
      <c r="X218" t="s">
        <v>4141</v>
      </c>
      <c r="Y218" t="s">
        <v>4142</v>
      </c>
      <c r="Z218" t="s">
        <v>4620</v>
      </c>
      <c r="AA218" t="s">
        <v>4571</v>
      </c>
      <c r="AB218" t="s">
        <v>624</v>
      </c>
      <c r="AC218" t="s">
        <v>6</v>
      </c>
      <c r="AD218" t="s">
        <v>50</v>
      </c>
      <c r="AE218" t="s">
        <v>6</v>
      </c>
      <c r="AF218" t="s">
        <v>9</v>
      </c>
      <c r="AG218" t="s">
        <v>9</v>
      </c>
      <c r="AH218" t="s">
        <v>4315</v>
      </c>
      <c r="AI218" t="s">
        <v>4621</v>
      </c>
      <c r="AJ218" t="s">
        <v>4315</v>
      </c>
      <c r="AK218" t="s">
        <v>4621</v>
      </c>
      <c r="AL218" t="s">
        <v>9</v>
      </c>
    </row>
    <row r="219" spans="1:38" ht="11.25" customHeight="1">
      <c r="A219" t="s">
        <v>9</v>
      </c>
      <c r="B219" t="s">
        <v>36</v>
      </c>
      <c r="C219" t="s">
        <v>38</v>
      </c>
      <c r="D219" t="s">
        <v>9</v>
      </c>
      <c r="E219" t="s">
        <v>1467</v>
      </c>
      <c r="F219" t="s">
        <v>1438</v>
      </c>
      <c r="G219" t="s">
        <v>124</v>
      </c>
      <c r="H219" t="s">
        <v>124</v>
      </c>
      <c r="I219" t="s">
        <v>125</v>
      </c>
      <c r="J219" t="s">
        <v>4558</v>
      </c>
      <c r="K219" t="s">
        <v>4559</v>
      </c>
      <c r="L219" t="s">
        <v>4623</v>
      </c>
      <c r="M219" t="s">
        <v>1442</v>
      </c>
      <c r="N219" t="s">
        <v>164</v>
      </c>
      <c r="O219" t="s">
        <v>124</v>
      </c>
      <c r="P219" t="s">
        <v>124</v>
      </c>
      <c r="Q219" t="s">
        <v>125</v>
      </c>
      <c r="R219" t="s">
        <v>4558</v>
      </c>
      <c r="S219" t="s">
        <v>4559</v>
      </c>
      <c r="T219" t="s">
        <v>4138</v>
      </c>
      <c r="U219" t="s">
        <v>4139</v>
      </c>
      <c r="V219" t="s">
        <v>624</v>
      </c>
      <c r="W219" t="s">
        <v>4140</v>
      </c>
      <c r="X219" t="s">
        <v>4141</v>
      </c>
      <c r="Y219" t="s">
        <v>4142</v>
      </c>
      <c r="Z219" t="s">
        <v>4624</v>
      </c>
      <c r="AA219" t="s">
        <v>4567</v>
      </c>
      <c r="AB219" t="s">
        <v>624</v>
      </c>
      <c r="AC219" t="s">
        <v>50</v>
      </c>
      <c r="AD219" t="s">
        <v>50</v>
      </c>
      <c r="AE219" t="s">
        <v>50</v>
      </c>
      <c r="AF219" t="s">
        <v>4625</v>
      </c>
      <c r="AG219" t="s">
        <v>4626</v>
      </c>
      <c r="AH219" t="s">
        <v>4625</v>
      </c>
      <c r="AI219" t="s">
        <v>4626</v>
      </c>
      <c r="AJ219" t="s">
        <v>4625</v>
      </c>
      <c r="AK219" t="s">
        <v>4626</v>
      </c>
      <c r="AL219" t="s">
        <v>4146</v>
      </c>
    </row>
    <row r="220" spans="1:38" ht="11.25" customHeight="1">
      <c r="A220" t="s">
        <v>9</v>
      </c>
      <c r="B220" t="s">
        <v>36</v>
      </c>
      <c r="C220" t="s">
        <v>38</v>
      </c>
      <c r="D220" t="s">
        <v>9</v>
      </c>
      <c r="E220" t="s">
        <v>4214</v>
      </c>
      <c r="F220" t="s">
        <v>4148</v>
      </c>
      <c r="G220" t="s">
        <v>124</v>
      </c>
      <c r="H220" t="s">
        <v>124</v>
      </c>
      <c r="I220" t="s">
        <v>125</v>
      </c>
      <c r="J220" t="s">
        <v>4558</v>
      </c>
      <c r="K220" t="s">
        <v>4559</v>
      </c>
      <c r="L220" t="s">
        <v>4623</v>
      </c>
      <c r="M220" t="s">
        <v>1442</v>
      </c>
      <c r="N220" t="s">
        <v>164</v>
      </c>
      <c r="O220" t="s">
        <v>124</v>
      </c>
      <c r="P220" t="s">
        <v>124</v>
      </c>
      <c r="Q220" t="s">
        <v>125</v>
      </c>
      <c r="R220" t="s">
        <v>4558</v>
      </c>
      <c r="S220" t="s">
        <v>4559</v>
      </c>
      <c r="T220" t="s">
        <v>4138</v>
      </c>
      <c r="U220" t="s">
        <v>4139</v>
      </c>
      <c r="V220" t="s">
        <v>624</v>
      </c>
      <c r="W220" t="s">
        <v>4140</v>
      </c>
      <c r="X220" t="s">
        <v>4141</v>
      </c>
      <c r="Y220" t="s">
        <v>4142</v>
      </c>
      <c r="Z220" t="s">
        <v>4624</v>
      </c>
      <c r="AA220" t="s">
        <v>4567</v>
      </c>
      <c r="AB220" t="s">
        <v>624</v>
      </c>
      <c r="AC220" t="s">
        <v>6</v>
      </c>
      <c r="AD220" t="s">
        <v>50</v>
      </c>
      <c r="AE220" t="s">
        <v>6</v>
      </c>
      <c r="AF220" t="s">
        <v>9</v>
      </c>
      <c r="AG220" t="s">
        <v>9</v>
      </c>
      <c r="AH220" t="s">
        <v>4625</v>
      </c>
      <c r="AI220" t="s">
        <v>4626</v>
      </c>
      <c r="AJ220" t="s">
        <v>4625</v>
      </c>
      <c r="AK220" t="s">
        <v>4626</v>
      </c>
      <c r="AL220" t="s">
        <v>9</v>
      </c>
    </row>
    <row r="221" spans="1:38" ht="11.25" customHeight="1">
      <c r="A221" t="s">
        <v>9</v>
      </c>
      <c r="B221" t="s">
        <v>36</v>
      </c>
      <c r="C221" t="s">
        <v>38</v>
      </c>
      <c r="D221" t="s">
        <v>9</v>
      </c>
      <c r="E221" t="s">
        <v>1461</v>
      </c>
      <c r="F221" t="s">
        <v>1438</v>
      </c>
      <c r="G221" t="s">
        <v>124</v>
      </c>
      <c r="H221" t="s">
        <v>124</v>
      </c>
      <c r="I221" t="s">
        <v>125</v>
      </c>
      <c r="J221" t="s">
        <v>4558</v>
      </c>
      <c r="K221" t="s">
        <v>4559</v>
      </c>
      <c r="L221" t="s">
        <v>4627</v>
      </c>
      <c r="M221" t="s">
        <v>1442</v>
      </c>
      <c r="N221" t="s">
        <v>164</v>
      </c>
      <c r="O221" t="s">
        <v>124</v>
      </c>
      <c r="P221" t="s">
        <v>124</v>
      </c>
      <c r="Q221" t="s">
        <v>125</v>
      </c>
      <c r="R221" t="s">
        <v>4558</v>
      </c>
      <c r="S221" t="s">
        <v>4559</v>
      </c>
      <c r="T221" t="s">
        <v>4138</v>
      </c>
      <c r="U221" t="s">
        <v>4139</v>
      </c>
      <c r="V221" t="s">
        <v>624</v>
      </c>
      <c r="W221" t="s">
        <v>4140</v>
      </c>
      <c r="X221" t="s">
        <v>4141</v>
      </c>
      <c r="Y221" t="s">
        <v>4142</v>
      </c>
      <c r="Z221" t="s">
        <v>4628</v>
      </c>
      <c r="AA221" t="s">
        <v>4567</v>
      </c>
      <c r="AB221" t="s">
        <v>624</v>
      </c>
      <c r="AC221" t="s">
        <v>50</v>
      </c>
      <c r="AD221" t="s">
        <v>50</v>
      </c>
      <c r="AE221" t="s">
        <v>50</v>
      </c>
      <c r="AF221" t="s">
        <v>164</v>
      </c>
      <c r="AG221" t="s">
        <v>4629</v>
      </c>
      <c r="AH221" t="s">
        <v>164</v>
      </c>
      <c r="AI221" t="s">
        <v>4629</v>
      </c>
      <c r="AJ221" t="s">
        <v>164</v>
      </c>
      <c r="AK221" t="s">
        <v>4629</v>
      </c>
      <c r="AL221" t="s">
        <v>4146</v>
      </c>
    </row>
    <row r="222" spans="1:38" ht="11.25" customHeight="1">
      <c r="A222" t="s">
        <v>9</v>
      </c>
      <c r="B222" t="s">
        <v>36</v>
      </c>
      <c r="C222" t="s">
        <v>38</v>
      </c>
      <c r="D222" t="s">
        <v>9</v>
      </c>
      <c r="E222" t="s">
        <v>4630</v>
      </c>
      <c r="F222" t="s">
        <v>4148</v>
      </c>
      <c r="G222" t="s">
        <v>124</v>
      </c>
      <c r="H222" t="s">
        <v>124</v>
      </c>
      <c r="I222" t="s">
        <v>125</v>
      </c>
      <c r="J222" t="s">
        <v>4558</v>
      </c>
      <c r="K222" t="s">
        <v>4559</v>
      </c>
      <c r="L222" t="s">
        <v>4595</v>
      </c>
      <c r="M222" t="s">
        <v>1442</v>
      </c>
      <c r="N222" t="s">
        <v>164</v>
      </c>
      <c r="O222" t="s">
        <v>124</v>
      </c>
      <c r="P222" t="s">
        <v>124</v>
      </c>
      <c r="Q222" t="s">
        <v>125</v>
      </c>
      <c r="R222" t="s">
        <v>4558</v>
      </c>
      <c r="S222" t="s">
        <v>4559</v>
      </c>
      <c r="T222" t="s">
        <v>4165</v>
      </c>
      <c r="U222" t="s">
        <v>4168</v>
      </c>
      <c r="V222" t="s">
        <v>624</v>
      </c>
      <c r="W222" t="s">
        <v>4140</v>
      </c>
      <c r="X222" t="s">
        <v>4167</v>
      </c>
      <c r="Y222" t="s">
        <v>4168</v>
      </c>
      <c r="Z222" t="s">
        <v>4631</v>
      </c>
      <c r="AA222" t="s">
        <v>4632</v>
      </c>
      <c r="AB222" t="s">
        <v>624</v>
      </c>
      <c r="AC222" t="s">
        <v>6</v>
      </c>
      <c r="AD222" t="s">
        <v>50</v>
      </c>
      <c r="AE222" t="s">
        <v>6</v>
      </c>
      <c r="AF222" t="s">
        <v>9</v>
      </c>
      <c r="AG222" t="s">
        <v>9</v>
      </c>
      <c r="AH222" t="s">
        <v>4633</v>
      </c>
      <c r="AI222" t="s">
        <v>4633</v>
      </c>
      <c r="AJ222" t="s">
        <v>4633</v>
      </c>
      <c r="AK222" t="s">
        <v>4633</v>
      </c>
      <c r="AL222" t="s">
        <v>9</v>
      </c>
    </row>
    <row r="223" spans="1:38" ht="11.25" customHeight="1">
      <c r="A223" t="s">
        <v>9</v>
      </c>
      <c r="B223" t="s">
        <v>36</v>
      </c>
      <c r="C223" t="s">
        <v>38</v>
      </c>
      <c r="D223" t="s">
        <v>9</v>
      </c>
      <c r="E223" t="s">
        <v>4634</v>
      </c>
      <c r="F223" t="s">
        <v>4148</v>
      </c>
      <c r="G223" t="s">
        <v>124</v>
      </c>
      <c r="H223" t="s">
        <v>124</v>
      </c>
      <c r="I223" t="s">
        <v>125</v>
      </c>
      <c r="J223" t="s">
        <v>4558</v>
      </c>
      <c r="K223" t="s">
        <v>4559</v>
      </c>
      <c r="L223" t="s">
        <v>4595</v>
      </c>
      <c r="M223" t="s">
        <v>1442</v>
      </c>
      <c r="N223" t="s">
        <v>164</v>
      </c>
      <c r="O223" t="s">
        <v>124</v>
      </c>
      <c r="P223" t="s">
        <v>124</v>
      </c>
      <c r="Q223" t="s">
        <v>125</v>
      </c>
      <c r="R223" t="s">
        <v>4558</v>
      </c>
      <c r="S223" t="s">
        <v>4559</v>
      </c>
      <c r="T223" t="s">
        <v>4165</v>
      </c>
      <c r="U223" t="s">
        <v>4168</v>
      </c>
      <c r="V223" t="s">
        <v>624</v>
      </c>
      <c r="W223" t="s">
        <v>4140</v>
      </c>
      <c r="X223" t="s">
        <v>4167</v>
      </c>
      <c r="Y223" t="s">
        <v>4168</v>
      </c>
      <c r="Z223" t="s">
        <v>4631</v>
      </c>
      <c r="AA223" t="s">
        <v>4632</v>
      </c>
      <c r="AB223" t="s">
        <v>624</v>
      </c>
      <c r="AC223" t="s">
        <v>6</v>
      </c>
      <c r="AD223" t="s">
        <v>50</v>
      </c>
      <c r="AE223" t="s">
        <v>6</v>
      </c>
      <c r="AF223" t="s">
        <v>9</v>
      </c>
      <c r="AG223" t="s">
        <v>9</v>
      </c>
      <c r="AH223" t="s">
        <v>4633</v>
      </c>
      <c r="AI223" t="s">
        <v>4633</v>
      </c>
      <c r="AJ223" t="s">
        <v>4633</v>
      </c>
      <c r="AK223" t="s">
        <v>4633</v>
      </c>
      <c r="AL223" t="s">
        <v>9</v>
      </c>
    </row>
    <row r="224" spans="1:38" ht="11.25" customHeight="1">
      <c r="A224" t="s">
        <v>9</v>
      </c>
      <c r="B224" t="s">
        <v>36</v>
      </c>
      <c r="C224" t="s">
        <v>38</v>
      </c>
      <c r="D224" t="s">
        <v>9</v>
      </c>
      <c r="E224" t="s">
        <v>4635</v>
      </c>
      <c r="F224" t="s">
        <v>4148</v>
      </c>
      <c r="G224" t="s">
        <v>124</v>
      </c>
      <c r="H224" t="s">
        <v>124</v>
      </c>
      <c r="I224" t="s">
        <v>125</v>
      </c>
      <c r="J224" t="s">
        <v>4558</v>
      </c>
      <c r="K224" t="s">
        <v>4559</v>
      </c>
      <c r="L224" t="s">
        <v>4595</v>
      </c>
      <c r="M224" t="s">
        <v>1442</v>
      </c>
      <c r="N224" t="s">
        <v>164</v>
      </c>
      <c r="O224" t="s">
        <v>124</v>
      </c>
      <c r="P224" t="s">
        <v>124</v>
      </c>
      <c r="Q224" t="s">
        <v>125</v>
      </c>
      <c r="R224" t="s">
        <v>4558</v>
      </c>
      <c r="S224" t="s">
        <v>4559</v>
      </c>
      <c r="T224" t="s">
        <v>4165</v>
      </c>
      <c r="U224" t="s">
        <v>4168</v>
      </c>
      <c r="V224" t="s">
        <v>624</v>
      </c>
      <c r="W224" t="s">
        <v>4140</v>
      </c>
      <c r="X224" t="s">
        <v>4167</v>
      </c>
      <c r="Y224" t="s">
        <v>4168</v>
      </c>
      <c r="Z224" t="s">
        <v>4631</v>
      </c>
      <c r="AA224" t="s">
        <v>4632</v>
      </c>
      <c r="AB224" t="s">
        <v>624</v>
      </c>
      <c r="AC224" t="s">
        <v>6</v>
      </c>
      <c r="AD224" t="s">
        <v>50</v>
      </c>
      <c r="AE224" t="s">
        <v>6</v>
      </c>
      <c r="AF224" t="s">
        <v>9</v>
      </c>
      <c r="AG224" t="s">
        <v>9</v>
      </c>
      <c r="AH224" t="s">
        <v>4633</v>
      </c>
      <c r="AI224" t="s">
        <v>4633</v>
      </c>
      <c r="AJ224" t="s">
        <v>4633</v>
      </c>
      <c r="AK224" t="s">
        <v>4633</v>
      </c>
      <c r="AL224" t="s">
        <v>9</v>
      </c>
    </row>
    <row r="225" spans="1:38" ht="11.25" customHeight="1">
      <c r="A225" t="s">
        <v>9</v>
      </c>
      <c r="B225" t="s">
        <v>36</v>
      </c>
      <c r="C225" t="s">
        <v>38</v>
      </c>
      <c r="D225" t="s">
        <v>9</v>
      </c>
      <c r="E225" t="s">
        <v>4636</v>
      </c>
      <c r="F225" t="s">
        <v>4148</v>
      </c>
      <c r="G225" t="s">
        <v>124</v>
      </c>
      <c r="H225" t="s">
        <v>124</v>
      </c>
      <c r="I225" t="s">
        <v>125</v>
      </c>
      <c r="J225" t="s">
        <v>4558</v>
      </c>
      <c r="K225" t="s">
        <v>4559</v>
      </c>
      <c r="L225" t="s">
        <v>4595</v>
      </c>
      <c r="M225" t="s">
        <v>1442</v>
      </c>
      <c r="N225" t="s">
        <v>164</v>
      </c>
      <c r="O225" t="s">
        <v>124</v>
      </c>
      <c r="P225" t="s">
        <v>124</v>
      </c>
      <c r="Q225" t="s">
        <v>125</v>
      </c>
      <c r="R225" t="s">
        <v>4558</v>
      </c>
      <c r="S225" t="s">
        <v>4559</v>
      </c>
      <c r="T225" t="s">
        <v>4165</v>
      </c>
      <c r="U225" t="s">
        <v>4168</v>
      </c>
      <c r="V225" t="s">
        <v>624</v>
      </c>
      <c r="W225" t="s">
        <v>4140</v>
      </c>
      <c r="X225" t="s">
        <v>4167</v>
      </c>
      <c r="Y225" t="s">
        <v>4168</v>
      </c>
      <c r="Z225" t="s">
        <v>4631</v>
      </c>
      <c r="AA225" t="s">
        <v>4632</v>
      </c>
      <c r="AB225" t="s">
        <v>624</v>
      </c>
      <c r="AC225" t="s">
        <v>6</v>
      </c>
      <c r="AD225" t="s">
        <v>50</v>
      </c>
      <c r="AE225" t="s">
        <v>6</v>
      </c>
      <c r="AF225" t="s">
        <v>9</v>
      </c>
      <c r="AG225" t="s">
        <v>9</v>
      </c>
      <c r="AH225" t="s">
        <v>164</v>
      </c>
      <c r="AI225" t="s">
        <v>4437</v>
      </c>
      <c r="AJ225" t="s">
        <v>164</v>
      </c>
      <c r="AK225" t="s">
        <v>4437</v>
      </c>
      <c r="AL225" t="s">
        <v>9</v>
      </c>
    </row>
    <row r="226" spans="1:38" ht="11.25" customHeight="1">
      <c r="A226" t="s">
        <v>9</v>
      </c>
      <c r="B226" t="s">
        <v>36</v>
      </c>
      <c r="C226" t="s">
        <v>38</v>
      </c>
      <c r="D226" t="s">
        <v>9</v>
      </c>
      <c r="E226" t="s">
        <v>4637</v>
      </c>
      <c r="F226" t="s">
        <v>4148</v>
      </c>
      <c r="G226" t="s">
        <v>124</v>
      </c>
      <c r="H226" t="s">
        <v>124</v>
      </c>
      <c r="I226" t="s">
        <v>125</v>
      </c>
      <c r="J226" t="s">
        <v>4558</v>
      </c>
      <c r="K226" t="s">
        <v>4559</v>
      </c>
      <c r="L226" t="s">
        <v>4595</v>
      </c>
      <c r="M226" t="s">
        <v>1442</v>
      </c>
      <c r="N226" t="s">
        <v>164</v>
      </c>
      <c r="O226" t="s">
        <v>124</v>
      </c>
      <c r="P226" t="s">
        <v>124</v>
      </c>
      <c r="Q226" t="s">
        <v>125</v>
      </c>
      <c r="R226" t="s">
        <v>4558</v>
      </c>
      <c r="S226" t="s">
        <v>4559</v>
      </c>
      <c r="T226" t="s">
        <v>4165</v>
      </c>
      <c r="U226" t="s">
        <v>4168</v>
      </c>
      <c r="V226" t="s">
        <v>624</v>
      </c>
      <c r="W226" t="s">
        <v>4140</v>
      </c>
      <c r="X226" t="s">
        <v>4167</v>
      </c>
      <c r="Y226" t="s">
        <v>4168</v>
      </c>
      <c r="Z226" t="s">
        <v>4631</v>
      </c>
      <c r="AA226" t="s">
        <v>4632</v>
      </c>
      <c r="AB226" t="s">
        <v>624</v>
      </c>
      <c r="AC226" t="s">
        <v>6</v>
      </c>
      <c r="AD226" t="s">
        <v>50</v>
      </c>
      <c r="AE226" t="s">
        <v>6</v>
      </c>
      <c r="AF226" t="s">
        <v>9</v>
      </c>
      <c r="AG226" t="s">
        <v>9</v>
      </c>
      <c r="AH226" t="s">
        <v>4606</v>
      </c>
      <c r="AI226" t="s">
        <v>4606</v>
      </c>
      <c r="AJ226" t="s">
        <v>4606</v>
      </c>
      <c r="AK226" t="s">
        <v>4606</v>
      </c>
      <c r="AL226" t="s">
        <v>9</v>
      </c>
    </row>
    <row r="227" spans="1:38" ht="11.25" customHeight="1">
      <c r="A227" t="s">
        <v>9</v>
      </c>
      <c r="B227" t="s">
        <v>36</v>
      </c>
      <c r="C227" t="s">
        <v>38</v>
      </c>
      <c r="D227" t="s">
        <v>9</v>
      </c>
      <c r="E227" t="s">
        <v>4638</v>
      </c>
      <c r="F227" t="s">
        <v>4148</v>
      </c>
      <c r="G227" t="s">
        <v>124</v>
      </c>
      <c r="H227" t="s">
        <v>124</v>
      </c>
      <c r="I227" t="s">
        <v>125</v>
      </c>
      <c r="J227" t="s">
        <v>4558</v>
      </c>
      <c r="K227" t="s">
        <v>4559</v>
      </c>
      <c r="L227" t="s">
        <v>4595</v>
      </c>
      <c r="M227" t="s">
        <v>1442</v>
      </c>
      <c r="N227" t="s">
        <v>164</v>
      </c>
      <c r="O227" t="s">
        <v>124</v>
      </c>
      <c r="P227" t="s">
        <v>124</v>
      </c>
      <c r="Q227" t="s">
        <v>125</v>
      </c>
      <c r="R227" t="s">
        <v>4558</v>
      </c>
      <c r="S227" t="s">
        <v>4559</v>
      </c>
      <c r="T227" t="s">
        <v>4165</v>
      </c>
      <c r="U227" t="s">
        <v>4168</v>
      </c>
      <c r="V227" t="s">
        <v>624</v>
      </c>
      <c r="W227" t="s">
        <v>4140</v>
      </c>
      <c r="X227" t="s">
        <v>4167</v>
      </c>
      <c r="Y227" t="s">
        <v>4168</v>
      </c>
      <c r="Z227" t="s">
        <v>4631</v>
      </c>
      <c r="AA227" t="s">
        <v>4632</v>
      </c>
      <c r="AB227" t="s">
        <v>624</v>
      </c>
      <c r="AC227" t="s">
        <v>6</v>
      </c>
      <c r="AD227" t="s">
        <v>50</v>
      </c>
      <c r="AE227" t="s">
        <v>6</v>
      </c>
      <c r="AF227" t="s">
        <v>9</v>
      </c>
      <c r="AG227" t="s">
        <v>9</v>
      </c>
      <c r="AH227" t="s">
        <v>4606</v>
      </c>
      <c r="AI227" t="s">
        <v>4606</v>
      </c>
      <c r="AJ227" t="s">
        <v>4606</v>
      </c>
      <c r="AK227" t="s">
        <v>4606</v>
      </c>
      <c r="AL227" t="s">
        <v>9</v>
      </c>
    </row>
    <row r="228" spans="1:38" ht="11.25" customHeight="1">
      <c r="A228" t="s">
        <v>9</v>
      </c>
      <c r="B228" t="s">
        <v>36</v>
      </c>
      <c r="C228" t="s">
        <v>38</v>
      </c>
      <c r="D228" t="s">
        <v>9</v>
      </c>
      <c r="E228" t="s">
        <v>4639</v>
      </c>
      <c r="F228" t="s">
        <v>4148</v>
      </c>
      <c r="G228" t="s">
        <v>124</v>
      </c>
      <c r="H228" t="s">
        <v>124</v>
      </c>
      <c r="I228" t="s">
        <v>125</v>
      </c>
      <c r="J228" t="s">
        <v>4558</v>
      </c>
      <c r="K228" t="s">
        <v>4559</v>
      </c>
      <c r="L228" t="s">
        <v>4595</v>
      </c>
      <c r="M228" t="s">
        <v>1442</v>
      </c>
      <c r="N228" t="s">
        <v>164</v>
      </c>
      <c r="O228" t="s">
        <v>124</v>
      </c>
      <c r="P228" t="s">
        <v>124</v>
      </c>
      <c r="Q228" t="s">
        <v>125</v>
      </c>
      <c r="R228" t="s">
        <v>4558</v>
      </c>
      <c r="S228" t="s">
        <v>4559</v>
      </c>
      <c r="T228" t="s">
        <v>4165</v>
      </c>
      <c r="U228" t="s">
        <v>4168</v>
      </c>
      <c r="V228" t="s">
        <v>624</v>
      </c>
      <c r="W228" t="s">
        <v>4140</v>
      </c>
      <c r="X228" t="s">
        <v>4167</v>
      </c>
      <c r="Y228" t="s">
        <v>4168</v>
      </c>
      <c r="Z228" t="s">
        <v>4631</v>
      </c>
      <c r="AA228" t="s">
        <v>4632</v>
      </c>
      <c r="AB228" t="s">
        <v>624</v>
      </c>
      <c r="AC228" t="s">
        <v>6</v>
      </c>
      <c r="AD228" t="s">
        <v>50</v>
      </c>
      <c r="AE228" t="s">
        <v>6</v>
      </c>
      <c r="AF228" t="s">
        <v>9</v>
      </c>
      <c r="AG228" t="s">
        <v>9</v>
      </c>
      <c r="AH228" t="s">
        <v>4606</v>
      </c>
      <c r="AI228" t="s">
        <v>4606</v>
      </c>
      <c r="AJ228" t="s">
        <v>4606</v>
      </c>
      <c r="AK228" t="s">
        <v>4606</v>
      </c>
      <c r="AL228" t="s">
        <v>9</v>
      </c>
    </row>
    <row r="229" spans="1:38" ht="11.25" customHeight="1">
      <c r="A229" t="s">
        <v>9</v>
      </c>
      <c r="B229" t="s">
        <v>36</v>
      </c>
      <c r="C229" t="s">
        <v>38</v>
      </c>
      <c r="D229" t="s">
        <v>9</v>
      </c>
      <c r="E229" t="s">
        <v>4234</v>
      </c>
      <c r="F229" t="s">
        <v>1438</v>
      </c>
      <c r="G229" t="s">
        <v>124</v>
      </c>
      <c r="H229" t="s">
        <v>124</v>
      </c>
      <c r="I229" t="s">
        <v>125</v>
      </c>
      <c r="J229" t="s">
        <v>4558</v>
      </c>
      <c r="K229" t="s">
        <v>4559</v>
      </c>
      <c r="L229" t="s">
        <v>4575</v>
      </c>
      <c r="M229" t="s">
        <v>1442</v>
      </c>
      <c r="N229" t="s">
        <v>164</v>
      </c>
      <c r="O229" t="s">
        <v>124</v>
      </c>
      <c r="P229" t="s">
        <v>124</v>
      </c>
      <c r="Q229" t="s">
        <v>125</v>
      </c>
      <c r="R229" t="s">
        <v>4558</v>
      </c>
      <c r="S229" t="s">
        <v>4559</v>
      </c>
      <c r="T229" t="s">
        <v>4138</v>
      </c>
      <c r="U229" t="s">
        <v>4139</v>
      </c>
      <c r="V229" t="s">
        <v>624</v>
      </c>
      <c r="W229" t="s">
        <v>4140</v>
      </c>
      <c r="X229" t="s">
        <v>4141</v>
      </c>
      <c r="Y229" t="s">
        <v>4142</v>
      </c>
      <c r="Z229" t="s">
        <v>4640</v>
      </c>
      <c r="AA229" t="s">
        <v>4641</v>
      </c>
      <c r="AB229" t="s">
        <v>624</v>
      </c>
      <c r="AC229" t="s">
        <v>50</v>
      </c>
      <c r="AD229" t="s">
        <v>50</v>
      </c>
      <c r="AE229" t="s">
        <v>50</v>
      </c>
      <c r="AF229" t="s">
        <v>1550</v>
      </c>
      <c r="AG229" t="s">
        <v>4642</v>
      </c>
      <c r="AH229" t="s">
        <v>1550</v>
      </c>
      <c r="AI229" t="s">
        <v>4642</v>
      </c>
      <c r="AJ229" t="s">
        <v>1550</v>
      </c>
      <c r="AK229" t="s">
        <v>4642</v>
      </c>
      <c r="AL229" t="s">
        <v>4146</v>
      </c>
    </row>
    <row r="230" spans="1:38" ht="11.25" customHeight="1">
      <c r="A230" t="s">
        <v>9</v>
      </c>
      <c r="B230" t="s">
        <v>36</v>
      </c>
      <c r="C230" t="s">
        <v>38</v>
      </c>
      <c r="D230" t="s">
        <v>9</v>
      </c>
      <c r="E230" t="s">
        <v>4261</v>
      </c>
      <c r="F230" t="s">
        <v>1438</v>
      </c>
      <c r="G230" t="s">
        <v>124</v>
      </c>
      <c r="H230" t="s">
        <v>124</v>
      </c>
      <c r="I230" t="s">
        <v>125</v>
      </c>
      <c r="J230" t="s">
        <v>4558</v>
      </c>
      <c r="K230" t="s">
        <v>4559</v>
      </c>
      <c r="L230" t="s">
        <v>4615</v>
      </c>
      <c r="M230" t="s">
        <v>1442</v>
      </c>
      <c r="N230" t="s">
        <v>164</v>
      </c>
      <c r="O230" t="s">
        <v>124</v>
      </c>
      <c r="P230" t="s">
        <v>124</v>
      </c>
      <c r="Q230" t="s">
        <v>125</v>
      </c>
      <c r="R230" t="s">
        <v>4558</v>
      </c>
      <c r="S230" t="s">
        <v>4559</v>
      </c>
      <c r="T230" t="s">
        <v>4138</v>
      </c>
      <c r="U230" t="s">
        <v>4139</v>
      </c>
      <c r="V230" t="s">
        <v>624</v>
      </c>
      <c r="W230" t="s">
        <v>4140</v>
      </c>
      <c r="X230" t="s">
        <v>4141</v>
      </c>
      <c r="Y230" t="s">
        <v>4142</v>
      </c>
      <c r="Z230" t="s">
        <v>4616</v>
      </c>
      <c r="AA230" t="s">
        <v>4617</v>
      </c>
      <c r="AB230" t="s">
        <v>624</v>
      </c>
      <c r="AC230" t="s">
        <v>50</v>
      </c>
      <c r="AD230" t="s">
        <v>50</v>
      </c>
      <c r="AE230" t="s">
        <v>50</v>
      </c>
      <c r="AF230" t="s">
        <v>114</v>
      </c>
      <c r="AG230" t="s">
        <v>4618</v>
      </c>
      <c r="AH230" t="s">
        <v>114</v>
      </c>
      <c r="AI230" t="s">
        <v>4618</v>
      </c>
      <c r="AJ230" t="s">
        <v>114</v>
      </c>
      <c r="AK230" t="s">
        <v>4618</v>
      </c>
      <c r="AL230" t="s">
        <v>4146</v>
      </c>
    </row>
    <row r="231" spans="1:38" ht="11.25" customHeight="1">
      <c r="A231" t="s">
        <v>9</v>
      </c>
      <c r="B231" t="s">
        <v>36</v>
      </c>
      <c r="C231" t="s">
        <v>38</v>
      </c>
      <c r="D231" t="s">
        <v>9</v>
      </c>
      <c r="E231" t="s">
        <v>4248</v>
      </c>
      <c r="F231" t="s">
        <v>1438</v>
      </c>
      <c r="G231" t="s">
        <v>124</v>
      </c>
      <c r="H231" t="s">
        <v>124</v>
      </c>
      <c r="I231" t="s">
        <v>125</v>
      </c>
      <c r="J231" t="s">
        <v>4643</v>
      </c>
      <c r="K231" t="s">
        <v>4644</v>
      </c>
      <c r="L231" t="s">
        <v>4645</v>
      </c>
      <c r="M231" t="s">
        <v>1442</v>
      </c>
      <c r="N231" t="s">
        <v>164</v>
      </c>
      <c r="O231" t="s">
        <v>124</v>
      </c>
      <c r="P231" t="s">
        <v>124</v>
      </c>
      <c r="Q231" t="s">
        <v>125</v>
      </c>
      <c r="R231" t="s">
        <v>4643</v>
      </c>
      <c r="S231" t="s">
        <v>4644</v>
      </c>
      <c r="T231" t="s">
        <v>4165</v>
      </c>
      <c r="U231" t="s">
        <v>4166</v>
      </c>
      <c r="V231" t="s">
        <v>624</v>
      </c>
      <c r="W231" t="s">
        <v>4140</v>
      </c>
      <c r="X231" t="s">
        <v>4167</v>
      </c>
      <c r="Y231" t="s">
        <v>4168</v>
      </c>
      <c r="Z231" t="s">
        <v>4313</v>
      </c>
      <c r="AA231" t="s">
        <v>4646</v>
      </c>
      <c r="AB231" t="s">
        <v>624</v>
      </c>
      <c r="AC231" t="s">
        <v>50</v>
      </c>
      <c r="AD231" t="s">
        <v>50</v>
      </c>
      <c r="AE231" t="s">
        <v>50</v>
      </c>
      <c r="AF231" t="s">
        <v>4171</v>
      </c>
      <c r="AG231" t="s">
        <v>4647</v>
      </c>
      <c r="AH231" t="s">
        <v>4171</v>
      </c>
      <c r="AI231" t="s">
        <v>4647</v>
      </c>
      <c r="AJ231" t="s">
        <v>4171</v>
      </c>
      <c r="AK231" t="s">
        <v>4647</v>
      </c>
      <c r="AL231" t="s">
        <v>4146</v>
      </c>
    </row>
    <row r="232" spans="1:38" ht="11.25" customHeight="1">
      <c r="A232" t="s">
        <v>9</v>
      </c>
      <c r="B232" t="s">
        <v>36</v>
      </c>
      <c r="C232" t="s">
        <v>38</v>
      </c>
      <c r="D232" t="s">
        <v>9</v>
      </c>
      <c r="E232" t="s">
        <v>4648</v>
      </c>
      <c r="F232" t="s">
        <v>1438</v>
      </c>
      <c r="G232" t="s">
        <v>124</v>
      </c>
      <c r="H232" t="s">
        <v>124</v>
      </c>
      <c r="I232" t="s">
        <v>125</v>
      </c>
      <c r="J232" t="s">
        <v>4649</v>
      </c>
      <c r="K232" t="s">
        <v>4650</v>
      </c>
      <c r="L232" t="s">
        <v>4651</v>
      </c>
      <c r="M232" t="s">
        <v>1442</v>
      </c>
      <c r="N232" t="s">
        <v>164</v>
      </c>
      <c r="O232" t="s">
        <v>124</v>
      </c>
      <c r="P232" t="s">
        <v>124</v>
      </c>
      <c r="Q232" t="s">
        <v>125</v>
      </c>
      <c r="R232" t="s">
        <v>4649</v>
      </c>
      <c r="S232" t="s">
        <v>4650</v>
      </c>
      <c r="T232" t="s">
        <v>4165</v>
      </c>
      <c r="U232" t="s">
        <v>4168</v>
      </c>
      <c r="V232" t="s">
        <v>624</v>
      </c>
      <c r="W232" t="s">
        <v>4140</v>
      </c>
      <c r="X232" t="s">
        <v>4167</v>
      </c>
      <c r="Y232" t="s">
        <v>4168</v>
      </c>
      <c r="Z232" t="s">
        <v>4652</v>
      </c>
      <c r="AA232" t="s">
        <v>4598</v>
      </c>
      <c r="AB232" t="s">
        <v>624</v>
      </c>
      <c r="AC232" t="s">
        <v>50</v>
      </c>
      <c r="AD232" t="s">
        <v>50</v>
      </c>
      <c r="AE232" t="s">
        <v>50</v>
      </c>
      <c r="AF232" t="s">
        <v>4653</v>
      </c>
      <c r="AG232" t="s">
        <v>4331</v>
      </c>
      <c r="AH232" t="s">
        <v>4653</v>
      </c>
      <c r="AI232" t="s">
        <v>4331</v>
      </c>
      <c r="AJ232" t="s">
        <v>4653</v>
      </c>
      <c r="AK232" t="s">
        <v>4331</v>
      </c>
      <c r="AL232" t="s">
        <v>4146</v>
      </c>
    </row>
    <row r="233" spans="1:38" ht="11.25" customHeight="1">
      <c r="A233" t="s">
        <v>9</v>
      </c>
      <c r="B233" t="s">
        <v>36</v>
      </c>
      <c r="C233" t="s">
        <v>38</v>
      </c>
      <c r="D233" t="s">
        <v>9</v>
      </c>
      <c r="E233" t="s">
        <v>4263</v>
      </c>
      <c r="F233" t="s">
        <v>1438</v>
      </c>
      <c r="G233" t="s">
        <v>124</v>
      </c>
      <c r="H233" t="s">
        <v>124</v>
      </c>
      <c r="I233" t="s">
        <v>125</v>
      </c>
      <c r="J233" t="s">
        <v>4654</v>
      </c>
      <c r="K233" t="s">
        <v>4655</v>
      </c>
      <c r="L233" t="s">
        <v>4656</v>
      </c>
      <c r="M233" t="s">
        <v>1442</v>
      </c>
      <c r="N233" t="s">
        <v>164</v>
      </c>
      <c r="O233" t="s">
        <v>124</v>
      </c>
      <c r="P233" t="s">
        <v>124</v>
      </c>
      <c r="Q233" t="s">
        <v>125</v>
      </c>
      <c r="R233" t="s">
        <v>4654</v>
      </c>
      <c r="S233" t="s">
        <v>4655</v>
      </c>
      <c r="T233" t="s">
        <v>4138</v>
      </c>
      <c r="U233" t="s">
        <v>4139</v>
      </c>
      <c r="V233" t="s">
        <v>624</v>
      </c>
      <c r="W233" t="s">
        <v>4140</v>
      </c>
      <c r="X233" t="s">
        <v>4141</v>
      </c>
      <c r="Y233" t="s">
        <v>4142</v>
      </c>
      <c r="Z233" t="s">
        <v>4657</v>
      </c>
      <c r="AA233" t="s">
        <v>4658</v>
      </c>
      <c r="AB233" t="s">
        <v>624</v>
      </c>
      <c r="AC233" t="s">
        <v>50</v>
      </c>
      <c r="AD233" t="s">
        <v>50</v>
      </c>
      <c r="AE233" t="s">
        <v>50</v>
      </c>
      <c r="AF233" t="s">
        <v>1550</v>
      </c>
      <c r="AG233" t="s">
        <v>4659</v>
      </c>
      <c r="AH233" t="s">
        <v>1550</v>
      </c>
      <c r="AI233" t="s">
        <v>4659</v>
      </c>
      <c r="AJ233" t="s">
        <v>1550</v>
      </c>
      <c r="AK233" t="s">
        <v>4659</v>
      </c>
      <c r="AL233" t="s">
        <v>4146</v>
      </c>
    </row>
    <row r="234" spans="1:38" ht="11.25" customHeight="1">
      <c r="A234" t="s">
        <v>9</v>
      </c>
      <c r="B234" t="s">
        <v>36</v>
      </c>
      <c r="C234" t="s">
        <v>38</v>
      </c>
      <c r="D234" t="s">
        <v>9</v>
      </c>
      <c r="E234" t="s">
        <v>4660</v>
      </c>
      <c r="F234" t="s">
        <v>1438</v>
      </c>
      <c r="G234" t="s">
        <v>124</v>
      </c>
      <c r="H234" t="s">
        <v>124</v>
      </c>
      <c r="I234" t="s">
        <v>125</v>
      </c>
      <c r="J234" t="s">
        <v>4654</v>
      </c>
      <c r="K234" t="s">
        <v>4655</v>
      </c>
      <c r="L234" t="s">
        <v>4661</v>
      </c>
      <c r="M234" t="s">
        <v>1442</v>
      </c>
      <c r="N234" t="s">
        <v>164</v>
      </c>
      <c r="O234" t="s">
        <v>124</v>
      </c>
      <c r="P234" t="s">
        <v>124</v>
      </c>
      <c r="Q234" t="s">
        <v>125</v>
      </c>
      <c r="R234" t="s">
        <v>4654</v>
      </c>
      <c r="S234" t="s">
        <v>4655</v>
      </c>
      <c r="T234" t="s">
        <v>4165</v>
      </c>
      <c r="U234" t="s">
        <v>4166</v>
      </c>
      <c r="V234" t="s">
        <v>624</v>
      </c>
      <c r="W234" t="s">
        <v>4140</v>
      </c>
      <c r="X234" t="s">
        <v>4167</v>
      </c>
      <c r="Y234" t="s">
        <v>4168</v>
      </c>
      <c r="Z234" t="s">
        <v>4313</v>
      </c>
      <c r="AA234" t="s">
        <v>4592</v>
      </c>
      <c r="AB234" t="s">
        <v>624</v>
      </c>
      <c r="AC234" t="s">
        <v>50</v>
      </c>
      <c r="AD234" t="s">
        <v>50</v>
      </c>
      <c r="AE234" t="s">
        <v>50</v>
      </c>
      <c r="AF234" t="s">
        <v>78</v>
      </c>
      <c r="AG234" t="s">
        <v>4662</v>
      </c>
      <c r="AH234" t="s">
        <v>78</v>
      </c>
      <c r="AI234" t="s">
        <v>4662</v>
      </c>
      <c r="AJ234" t="s">
        <v>78</v>
      </c>
      <c r="AK234" t="s">
        <v>4662</v>
      </c>
      <c r="AL234" t="s">
        <v>4146</v>
      </c>
    </row>
    <row r="235" spans="1:38" ht="11.25" customHeight="1">
      <c r="A235" t="s">
        <v>9</v>
      </c>
      <c r="B235" t="s">
        <v>36</v>
      </c>
      <c r="C235" t="s">
        <v>38</v>
      </c>
      <c r="D235" t="s">
        <v>9</v>
      </c>
      <c r="E235" t="s">
        <v>4663</v>
      </c>
      <c r="F235" t="s">
        <v>4148</v>
      </c>
      <c r="G235" t="s">
        <v>124</v>
      </c>
      <c r="H235" t="s">
        <v>124</v>
      </c>
      <c r="I235" t="s">
        <v>125</v>
      </c>
      <c r="J235" t="s">
        <v>4654</v>
      </c>
      <c r="K235" t="s">
        <v>4655</v>
      </c>
      <c r="L235" t="s">
        <v>4661</v>
      </c>
      <c r="M235" t="s">
        <v>1442</v>
      </c>
      <c r="N235" t="s">
        <v>164</v>
      </c>
      <c r="O235" t="s">
        <v>124</v>
      </c>
      <c r="P235" t="s">
        <v>124</v>
      </c>
      <c r="Q235" t="s">
        <v>125</v>
      </c>
      <c r="R235" t="s">
        <v>4654</v>
      </c>
      <c r="S235" t="s">
        <v>4655</v>
      </c>
      <c r="T235" t="s">
        <v>4165</v>
      </c>
      <c r="U235" t="s">
        <v>4166</v>
      </c>
      <c r="V235" t="s">
        <v>624</v>
      </c>
      <c r="W235" t="s">
        <v>4140</v>
      </c>
      <c r="X235" t="s">
        <v>4167</v>
      </c>
      <c r="Y235" t="s">
        <v>4168</v>
      </c>
      <c r="Z235" t="s">
        <v>4313</v>
      </c>
      <c r="AA235" t="s">
        <v>4592</v>
      </c>
      <c r="AB235" t="s">
        <v>624</v>
      </c>
      <c r="AC235" t="s">
        <v>6</v>
      </c>
      <c r="AD235" t="s">
        <v>50</v>
      </c>
      <c r="AE235" t="s">
        <v>6</v>
      </c>
      <c r="AF235" t="s">
        <v>9</v>
      </c>
      <c r="AG235" t="s">
        <v>9</v>
      </c>
      <c r="AH235" t="s">
        <v>78</v>
      </c>
      <c r="AI235" t="s">
        <v>4662</v>
      </c>
      <c r="AJ235" t="s">
        <v>78</v>
      </c>
      <c r="AK235" t="s">
        <v>4662</v>
      </c>
      <c r="AL235" t="s">
        <v>9</v>
      </c>
    </row>
    <row r="236" spans="1:38" ht="11.25" customHeight="1">
      <c r="A236" t="s">
        <v>9</v>
      </c>
      <c r="B236" t="s">
        <v>36</v>
      </c>
      <c r="C236" t="s">
        <v>38</v>
      </c>
      <c r="D236" t="s">
        <v>9</v>
      </c>
      <c r="E236" t="s">
        <v>1471</v>
      </c>
      <c r="F236" t="s">
        <v>1438</v>
      </c>
      <c r="G236" t="s">
        <v>124</v>
      </c>
      <c r="H236" t="s">
        <v>124</v>
      </c>
      <c r="I236" t="s">
        <v>125</v>
      </c>
      <c r="J236" t="s">
        <v>4664</v>
      </c>
      <c r="K236" t="s">
        <v>4665</v>
      </c>
      <c r="L236" t="s">
        <v>4666</v>
      </c>
      <c r="M236" t="s">
        <v>1442</v>
      </c>
      <c r="N236" t="s">
        <v>164</v>
      </c>
      <c r="O236" t="s">
        <v>124</v>
      </c>
      <c r="P236" t="s">
        <v>124</v>
      </c>
      <c r="Q236" t="s">
        <v>125</v>
      </c>
      <c r="R236" t="s">
        <v>4664</v>
      </c>
      <c r="S236" t="s">
        <v>4665</v>
      </c>
      <c r="T236" t="s">
        <v>4165</v>
      </c>
      <c r="U236" t="s">
        <v>4166</v>
      </c>
      <c r="V236" t="s">
        <v>624</v>
      </c>
      <c r="W236" t="s">
        <v>4140</v>
      </c>
      <c r="X236" t="s">
        <v>4167</v>
      </c>
      <c r="Y236" t="s">
        <v>4168</v>
      </c>
      <c r="Z236" t="s">
        <v>4313</v>
      </c>
      <c r="AA236" t="s">
        <v>4592</v>
      </c>
      <c r="AB236" t="s">
        <v>624</v>
      </c>
      <c r="AC236" t="s">
        <v>50</v>
      </c>
      <c r="AD236" t="s">
        <v>50</v>
      </c>
      <c r="AE236" t="s">
        <v>50</v>
      </c>
      <c r="AF236" t="s">
        <v>1550</v>
      </c>
      <c r="AG236" t="s">
        <v>4667</v>
      </c>
      <c r="AH236" t="s">
        <v>1550</v>
      </c>
      <c r="AI236" t="s">
        <v>4667</v>
      </c>
      <c r="AJ236" t="s">
        <v>1550</v>
      </c>
      <c r="AK236" t="s">
        <v>4667</v>
      </c>
      <c r="AL236" t="s">
        <v>4146</v>
      </c>
    </row>
    <row r="237" spans="1:38" ht="11.25" customHeight="1">
      <c r="A237" t="s">
        <v>9</v>
      </c>
      <c r="B237" t="s">
        <v>36</v>
      </c>
      <c r="C237" t="s">
        <v>38</v>
      </c>
      <c r="D237" t="s">
        <v>9</v>
      </c>
      <c r="E237" t="s">
        <v>4163</v>
      </c>
      <c r="F237" t="s">
        <v>1438</v>
      </c>
      <c r="G237" t="s">
        <v>124</v>
      </c>
      <c r="H237" t="s">
        <v>124</v>
      </c>
      <c r="I237" t="s">
        <v>125</v>
      </c>
      <c r="J237" t="s">
        <v>4668</v>
      </c>
      <c r="K237" t="s">
        <v>4669</v>
      </c>
      <c r="L237" t="s">
        <v>4670</v>
      </c>
      <c r="M237" t="s">
        <v>1442</v>
      </c>
      <c r="N237" t="s">
        <v>164</v>
      </c>
      <c r="O237" t="s">
        <v>124</v>
      </c>
      <c r="P237" t="s">
        <v>124</v>
      </c>
      <c r="Q237" t="s">
        <v>125</v>
      </c>
      <c r="R237" t="s">
        <v>4668</v>
      </c>
      <c r="S237" t="s">
        <v>4669</v>
      </c>
      <c r="T237" t="s">
        <v>4165</v>
      </c>
      <c r="U237" t="s">
        <v>4166</v>
      </c>
      <c r="V237" t="s">
        <v>624</v>
      </c>
      <c r="W237" t="s">
        <v>4140</v>
      </c>
      <c r="X237" t="s">
        <v>4167</v>
      </c>
      <c r="Y237" t="s">
        <v>4168</v>
      </c>
      <c r="Z237" t="s">
        <v>4313</v>
      </c>
      <c r="AA237" t="s">
        <v>4592</v>
      </c>
      <c r="AB237" t="s">
        <v>624</v>
      </c>
      <c r="AC237" t="s">
        <v>50</v>
      </c>
      <c r="AD237" t="s">
        <v>50</v>
      </c>
      <c r="AE237" t="s">
        <v>50</v>
      </c>
      <c r="AF237" t="s">
        <v>79</v>
      </c>
      <c r="AG237" t="s">
        <v>4671</v>
      </c>
      <c r="AH237" t="s">
        <v>79</v>
      </c>
      <c r="AI237" t="s">
        <v>4671</v>
      </c>
      <c r="AJ237" t="s">
        <v>79</v>
      </c>
      <c r="AK237" t="s">
        <v>4671</v>
      </c>
      <c r="AL237" t="s">
        <v>4146</v>
      </c>
    </row>
    <row r="238" spans="1:38" ht="11.25" customHeight="1">
      <c r="A238" t="s">
        <v>9</v>
      </c>
      <c r="B238" t="s">
        <v>36</v>
      </c>
      <c r="C238" t="s">
        <v>38</v>
      </c>
      <c r="D238" t="s">
        <v>9</v>
      </c>
      <c r="E238" t="s">
        <v>4672</v>
      </c>
      <c r="F238" t="s">
        <v>1438</v>
      </c>
      <c r="G238" t="s">
        <v>124</v>
      </c>
      <c r="H238" t="s">
        <v>124</v>
      </c>
      <c r="I238" t="s">
        <v>125</v>
      </c>
      <c r="J238" t="s">
        <v>4673</v>
      </c>
      <c r="K238" t="s">
        <v>4674</v>
      </c>
      <c r="L238" t="s">
        <v>4675</v>
      </c>
      <c r="M238" t="s">
        <v>1442</v>
      </c>
      <c r="N238" t="s">
        <v>164</v>
      </c>
      <c r="O238" t="s">
        <v>124</v>
      </c>
      <c r="P238" t="s">
        <v>124</v>
      </c>
      <c r="Q238" t="s">
        <v>125</v>
      </c>
      <c r="R238" t="s">
        <v>4673</v>
      </c>
      <c r="S238" t="s">
        <v>4674</v>
      </c>
      <c r="T238" t="s">
        <v>4165</v>
      </c>
      <c r="U238" t="s">
        <v>4166</v>
      </c>
      <c r="V238" t="s">
        <v>624</v>
      </c>
      <c r="W238" t="s">
        <v>4140</v>
      </c>
      <c r="X238" t="s">
        <v>4167</v>
      </c>
      <c r="Y238" t="s">
        <v>4168</v>
      </c>
      <c r="Z238" t="s">
        <v>4313</v>
      </c>
      <c r="AA238" t="s">
        <v>4592</v>
      </c>
      <c r="AB238" t="s">
        <v>624</v>
      </c>
      <c r="AC238" t="s">
        <v>50</v>
      </c>
      <c r="AD238" t="s">
        <v>50</v>
      </c>
      <c r="AE238" t="s">
        <v>50</v>
      </c>
      <c r="AF238" t="s">
        <v>4391</v>
      </c>
      <c r="AG238" t="s">
        <v>4676</v>
      </c>
      <c r="AH238" t="s">
        <v>4391</v>
      </c>
      <c r="AI238" t="s">
        <v>4676</v>
      </c>
      <c r="AJ238" t="s">
        <v>4391</v>
      </c>
      <c r="AK238" t="s">
        <v>4676</v>
      </c>
      <c r="AL238" t="s">
        <v>4146</v>
      </c>
    </row>
    <row r="239" spans="1:38" ht="11.25" customHeight="1">
      <c r="A239" t="s">
        <v>9</v>
      </c>
      <c r="B239" t="s">
        <v>36</v>
      </c>
      <c r="C239" t="s">
        <v>38</v>
      </c>
      <c r="D239" t="s">
        <v>9</v>
      </c>
      <c r="E239" t="s">
        <v>4518</v>
      </c>
      <c r="F239" t="s">
        <v>1438</v>
      </c>
      <c r="G239" t="s">
        <v>124</v>
      </c>
      <c r="H239" t="s">
        <v>124</v>
      </c>
      <c r="I239" t="s">
        <v>125</v>
      </c>
      <c r="J239" t="s">
        <v>4677</v>
      </c>
      <c r="K239" t="s">
        <v>4678</v>
      </c>
      <c r="L239" t="s">
        <v>4679</v>
      </c>
      <c r="M239" t="s">
        <v>1442</v>
      </c>
      <c r="N239" t="s">
        <v>164</v>
      </c>
      <c r="O239" t="s">
        <v>124</v>
      </c>
      <c r="P239" t="s">
        <v>124</v>
      </c>
      <c r="Q239" t="s">
        <v>125</v>
      </c>
      <c r="R239" t="s">
        <v>4677</v>
      </c>
      <c r="S239" t="s">
        <v>4678</v>
      </c>
      <c r="T239" t="s">
        <v>4138</v>
      </c>
      <c r="U239" t="s">
        <v>4139</v>
      </c>
      <c r="V239" t="s">
        <v>624</v>
      </c>
      <c r="W239" t="s">
        <v>4140</v>
      </c>
      <c r="X239" t="s">
        <v>4141</v>
      </c>
      <c r="Y239" t="s">
        <v>4142</v>
      </c>
      <c r="Z239" t="s">
        <v>4680</v>
      </c>
      <c r="AA239" t="s">
        <v>4567</v>
      </c>
      <c r="AB239" t="s">
        <v>624</v>
      </c>
      <c r="AC239" t="s">
        <v>50</v>
      </c>
      <c r="AD239" t="s">
        <v>50</v>
      </c>
      <c r="AE239" t="s">
        <v>50</v>
      </c>
      <c r="AF239" t="s">
        <v>79</v>
      </c>
      <c r="AG239" t="s">
        <v>4681</v>
      </c>
      <c r="AH239" t="s">
        <v>79</v>
      </c>
      <c r="AI239" t="s">
        <v>4681</v>
      </c>
      <c r="AJ239" t="s">
        <v>79</v>
      </c>
      <c r="AK239" t="s">
        <v>4681</v>
      </c>
      <c r="AL239" t="s">
        <v>4146</v>
      </c>
    </row>
    <row r="240" spans="1:38" ht="11.25" customHeight="1">
      <c r="A240" t="s">
        <v>9</v>
      </c>
      <c r="B240" t="s">
        <v>36</v>
      </c>
      <c r="C240" t="s">
        <v>38</v>
      </c>
      <c r="D240" t="s">
        <v>9</v>
      </c>
      <c r="E240" t="s">
        <v>4682</v>
      </c>
      <c r="F240" t="s">
        <v>1438</v>
      </c>
      <c r="G240" t="s">
        <v>124</v>
      </c>
      <c r="H240" t="s">
        <v>124</v>
      </c>
      <c r="I240" t="s">
        <v>125</v>
      </c>
      <c r="J240" t="s">
        <v>4683</v>
      </c>
      <c r="K240" t="s">
        <v>4684</v>
      </c>
      <c r="L240" t="s">
        <v>4685</v>
      </c>
      <c r="M240" t="s">
        <v>1442</v>
      </c>
      <c r="N240" t="s">
        <v>164</v>
      </c>
      <c r="O240" t="s">
        <v>124</v>
      </c>
      <c r="P240" t="s">
        <v>124</v>
      </c>
      <c r="Q240" t="s">
        <v>125</v>
      </c>
      <c r="R240" t="s">
        <v>4683</v>
      </c>
      <c r="S240" t="s">
        <v>4684</v>
      </c>
      <c r="T240" t="s">
        <v>4165</v>
      </c>
      <c r="U240" t="s">
        <v>4166</v>
      </c>
      <c r="V240" t="s">
        <v>624</v>
      </c>
      <c r="W240" t="s">
        <v>4140</v>
      </c>
      <c r="X240" t="s">
        <v>4167</v>
      </c>
      <c r="Y240" t="s">
        <v>4168</v>
      </c>
      <c r="Z240" t="s">
        <v>4313</v>
      </c>
      <c r="AA240" t="s">
        <v>4592</v>
      </c>
      <c r="AB240" t="s">
        <v>624</v>
      </c>
      <c r="AC240" t="s">
        <v>50</v>
      </c>
      <c r="AD240" t="s">
        <v>50</v>
      </c>
      <c r="AE240" t="s">
        <v>50</v>
      </c>
      <c r="AF240" t="s">
        <v>1546</v>
      </c>
      <c r="AG240" t="s">
        <v>4686</v>
      </c>
      <c r="AH240" t="s">
        <v>1546</v>
      </c>
      <c r="AI240" t="s">
        <v>4686</v>
      </c>
      <c r="AJ240" t="s">
        <v>1546</v>
      </c>
      <c r="AK240" t="s">
        <v>4686</v>
      </c>
      <c r="AL240" t="s">
        <v>4146</v>
      </c>
    </row>
    <row r="241" spans="1:38" ht="11.25" customHeight="1">
      <c r="A241" t="s">
        <v>9</v>
      </c>
      <c r="B241" t="s">
        <v>36</v>
      </c>
      <c r="C241" t="s">
        <v>38</v>
      </c>
      <c r="D241" t="s">
        <v>9</v>
      </c>
      <c r="E241" t="s">
        <v>4687</v>
      </c>
      <c r="F241" t="s">
        <v>1438</v>
      </c>
      <c r="G241" t="s">
        <v>124</v>
      </c>
      <c r="H241" t="s">
        <v>124</v>
      </c>
      <c r="I241" t="s">
        <v>125</v>
      </c>
      <c r="J241" t="s">
        <v>4688</v>
      </c>
      <c r="K241" t="s">
        <v>4689</v>
      </c>
      <c r="L241" t="s">
        <v>4690</v>
      </c>
      <c r="M241" t="s">
        <v>1442</v>
      </c>
      <c r="N241" t="s">
        <v>164</v>
      </c>
      <c r="O241" t="s">
        <v>124</v>
      </c>
      <c r="P241" t="s">
        <v>124</v>
      </c>
      <c r="Q241" t="s">
        <v>125</v>
      </c>
      <c r="R241" t="s">
        <v>4688</v>
      </c>
      <c r="S241" t="s">
        <v>4689</v>
      </c>
      <c r="T241" t="s">
        <v>4165</v>
      </c>
      <c r="U241" t="s">
        <v>4166</v>
      </c>
      <c r="V241" t="s">
        <v>624</v>
      </c>
      <c r="W241" t="s">
        <v>4140</v>
      </c>
      <c r="X241" t="s">
        <v>4167</v>
      </c>
      <c r="Y241" t="s">
        <v>4168</v>
      </c>
      <c r="Z241" t="s">
        <v>4313</v>
      </c>
      <c r="AA241" t="s">
        <v>4592</v>
      </c>
      <c r="AB241" t="s">
        <v>624</v>
      </c>
      <c r="AC241" t="s">
        <v>50</v>
      </c>
      <c r="AD241" t="s">
        <v>50</v>
      </c>
      <c r="AE241" t="s">
        <v>50</v>
      </c>
      <c r="AF241" t="s">
        <v>1049</v>
      </c>
      <c r="AG241" t="s">
        <v>4691</v>
      </c>
      <c r="AH241" t="s">
        <v>1049</v>
      </c>
      <c r="AI241" t="s">
        <v>4691</v>
      </c>
      <c r="AJ241" t="s">
        <v>1049</v>
      </c>
      <c r="AK241" t="s">
        <v>4691</v>
      </c>
      <c r="AL241" t="s">
        <v>4146</v>
      </c>
    </row>
    <row r="242" spans="1:38" ht="11.25" customHeight="1">
      <c r="A242" t="s">
        <v>9</v>
      </c>
      <c r="B242" t="s">
        <v>36</v>
      </c>
      <c r="C242" t="s">
        <v>38</v>
      </c>
      <c r="D242" t="s">
        <v>9</v>
      </c>
      <c r="E242" t="s">
        <v>4174</v>
      </c>
      <c r="F242" t="s">
        <v>1438</v>
      </c>
      <c r="G242" t="s">
        <v>124</v>
      </c>
      <c r="H242" t="s">
        <v>124</v>
      </c>
      <c r="I242" t="s">
        <v>125</v>
      </c>
      <c r="J242" t="s">
        <v>4692</v>
      </c>
      <c r="K242" t="s">
        <v>4693</v>
      </c>
      <c r="L242" t="s">
        <v>4694</v>
      </c>
      <c r="M242" t="s">
        <v>1442</v>
      </c>
      <c r="N242" t="s">
        <v>164</v>
      </c>
      <c r="O242" t="s">
        <v>124</v>
      </c>
      <c r="P242" t="s">
        <v>124</v>
      </c>
      <c r="Q242" t="s">
        <v>125</v>
      </c>
      <c r="R242" t="s">
        <v>4692</v>
      </c>
      <c r="S242" t="s">
        <v>4693</v>
      </c>
      <c r="T242" t="s">
        <v>4165</v>
      </c>
      <c r="U242" t="s">
        <v>4166</v>
      </c>
      <c r="V242" t="s">
        <v>624</v>
      </c>
      <c r="W242" t="s">
        <v>4140</v>
      </c>
      <c r="X242" t="s">
        <v>4167</v>
      </c>
      <c r="Y242" t="s">
        <v>4168</v>
      </c>
      <c r="Z242" t="s">
        <v>4313</v>
      </c>
      <c r="AA242" t="s">
        <v>4592</v>
      </c>
      <c r="AB242" t="s">
        <v>624</v>
      </c>
      <c r="AC242" t="s">
        <v>50</v>
      </c>
      <c r="AD242" t="s">
        <v>50</v>
      </c>
      <c r="AE242" t="s">
        <v>50</v>
      </c>
      <c r="AF242" t="s">
        <v>4366</v>
      </c>
      <c r="AG242" t="s">
        <v>4695</v>
      </c>
      <c r="AH242" t="s">
        <v>4366</v>
      </c>
      <c r="AI242" t="s">
        <v>4695</v>
      </c>
      <c r="AJ242" t="s">
        <v>4366</v>
      </c>
      <c r="AK242" t="s">
        <v>4695</v>
      </c>
      <c r="AL242" t="s">
        <v>4146</v>
      </c>
    </row>
    <row r="243" spans="1:38" ht="11.25" customHeight="1">
      <c r="A243" t="s">
        <v>9</v>
      </c>
      <c r="B243" t="s">
        <v>36</v>
      </c>
      <c r="C243" t="s">
        <v>38</v>
      </c>
      <c r="D243" t="s">
        <v>9</v>
      </c>
      <c r="E243" t="s">
        <v>4182</v>
      </c>
      <c r="F243" t="s">
        <v>1438</v>
      </c>
      <c r="G243" t="s">
        <v>124</v>
      </c>
      <c r="H243" t="s">
        <v>124</v>
      </c>
      <c r="I243" t="s">
        <v>125</v>
      </c>
      <c r="J243" t="s">
        <v>4692</v>
      </c>
      <c r="K243" t="s">
        <v>4693</v>
      </c>
      <c r="L243" t="s">
        <v>4694</v>
      </c>
      <c r="M243" t="s">
        <v>1442</v>
      </c>
      <c r="N243" t="s">
        <v>164</v>
      </c>
      <c r="O243" t="s">
        <v>124</v>
      </c>
      <c r="P243" t="s">
        <v>124</v>
      </c>
      <c r="Q243" t="s">
        <v>125</v>
      </c>
      <c r="R243" t="s">
        <v>4692</v>
      </c>
      <c r="S243" t="s">
        <v>4693</v>
      </c>
      <c r="T243" t="s">
        <v>4165</v>
      </c>
      <c r="U243" t="s">
        <v>4166</v>
      </c>
      <c r="V243" t="s">
        <v>624</v>
      </c>
      <c r="W243" t="s">
        <v>4140</v>
      </c>
      <c r="X243" t="s">
        <v>4167</v>
      </c>
      <c r="Y243" t="s">
        <v>4168</v>
      </c>
      <c r="Z243" t="s">
        <v>4313</v>
      </c>
      <c r="AA243" t="s">
        <v>4696</v>
      </c>
      <c r="AB243" t="s">
        <v>624</v>
      </c>
      <c r="AC243" t="s">
        <v>50</v>
      </c>
      <c r="AD243" t="s">
        <v>50</v>
      </c>
      <c r="AE243" t="s">
        <v>50</v>
      </c>
      <c r="AF243" t="s">
        <v>164</v>
      </c>
      <c r="AG243" t="s">
        <v>4226</v>
      </c>
      <c r="AH243" t="s">
        <v>164</v>
      </c>
      <c r="AI243" t="s">
        <v>4226</v>
      </c>
      <c r="AJ243" t="s">
        <v>164</v>
      </c>
      <c r="AK243" t="s">
        <v>4226</v>
      </c>
      <c r="AL243" t="s">
        <v>4268</v>
      </c>
    </row>
    <row r="244" spans="1:38" ht="11.25" customHeight="1">
      <c r="A244" t="s">
        <v>9</v>
      </c>
      <c r="B244" t="s">
        <v>36</v>
      </c>
      <c r="C244" t="s">
        <v>38</v>
      </c>
      <c r="D244" t="s">
        <v>9</v>
      </c>
      <c r="E244" t="s">
        <v>4697</v>
      </c>
      <c r="F244" t="s">
        <v>1438</v>
      </c>
      <c r="G244" t="s">
        <v>124</v>
      </c>
      <c r="H244" t="s">
        <v>124</v>
      </c>
      <c r="I244" t="s">
        <v>125</v>
      </c>
      <c r="J244" t="s">
        <v>4698</v>
      </c>
      <c r="K244" t="s">
        <v>4699</v>
      </c>
      <c r="L244" t="s">
        <v>4208</v>
      </c>
      <c r="M244" t="s">
        <v>1442</v>
      </c>
      <c r="N244" t="s">
        <v>164</v>
      </c>
      <c r="O244" t="s">
        <v>124</v>
      </c>
      <c r="P244" t="s">
        <v>124</v>
      </c>
      <c r="Q244" t="s">
        <v>125</v>
      </c>
      <c r="R244" t="s">
        <v>4698</v>
      </c>
      <c r="S244" t="s">
        <v>4699</v>
      </c>
      <c r="T244" t="s">
        <v>4138</v>
      </c>
      <c r="U244" t="s">
        <v>4139</v>
      </c>
      <c r="V244" t="s">
        <v>624</v>
      </c>
      <c r="W244" t="s">
        <v>4140</v>
      </c>
      <c r="X244" t="s">
        <v>4141</v>
      </c>
      <c r="Y244" t="s">
        <v>4142</v>
      </c>
      <c r="Z244" t="s">
        <v>4700</v>
      </c>
      <c r="AA244" t="s">
        <v>4567</v>
      </c>
      <c r="AB244" t="s">
        <v>624</v>
      </c>
      <c r="AC244" t="s">
        <v>50</v>
      </c>
      <c r="AD244" t="s">
        <v>50</v>
      </c>
      <c r="AE244" t="s">
        <v>50</v>
      </c>
      <c r="AF244" t="s">
        <v>89</v>
      </c>
      <c r="AG244" t="s">
        <v>4701</v>
      </c>
      <c r="AH244" t="s">
        <v>89</v>
      </c>
      <c r="AI244" t="s">
        <v>4701</v>
      </c>
      <c r="AJ244" t="s">
        <v>89</v>
      </c>
      <c r="AK244" t="s">
        <v>4701</v>
      </c>
      <c r="AL244" t="s">
        <v>4146</v>
      </c>
    </row>
    <row r="245" spans="1:38" ht="11.25" customHeight="1">
      <c r="A245" t="s">
        <v>9</v>
      </c>
      <c r="B245" t="s">
        <v>36</v>
      </c>
      <c r="C245" t="s">
        <v>38</v>
      </c>
      <c r="D245" t="s">
        <v>9</v>
      </c>
      <c r="E245" t="s">
        <v>4228</v>
      </c>
      <c r="F245" t="s">
        <v>1438</v>
      </c>
      <c r="G245" t="s">
        <v>124</v>
      </c>
      <c r="H245" t="s">
        <v>124</v>
      </c>
      <c r="I245" t="s">
        <v>125</v>
      </c>
      <c r="J245" t="s">
        <v>4698</v>
      </c>
      <c r="K245" t="s">
        <v>4699</v>
      </c>
      <c r="L245" t="s">
        <v>4702</v>
      </c>
      <c r="M245" t="s">
        <v>1442</v>
      </c>
      <c r="N245" t="s">
        <v>164</v>
      </c>
      <c r="O245" t="s">
        <v>124</v>
      </c>
      <c r="P245" t="s">
        <v>124</v>
      </c>
      <c r="Q245" t="s">
        <v>125</v>
      </c>
      <c r="R245" t="s">
        <v>4698</v>
      </c>
      <c r="S245" t="s">
        <v>4699</v>
      </c>
      <c r="T245" t="s">
        <v>4165</v>
      </c>
      <c r="U245" t="s">
        <v>4166</v>
      </c>
      <c r="V245" t="s">
        <v>624</v>
      </c>
      <c r="W245" t="s">
        <v>4140</v>
      </c>
      <c r="X245" t="s">
        <v>4167</v>
      </c>
      <c r="Y245" t="s">
        <v>4168</v>
      </c>
      <c r="Z245" t="s">
        <v>4313</v>
      </c>
      <c r="AA245" t="s">
        <v>4592</v>
      </c>
      <c r="AB245" t="s">
        <v>624</v>
      </c>
      <c r="AC245" t="s">
        <v>50</v>
      </c>
      <c r="AD245" t="s">
        <v>50</v>
      </c>
      <c r="AE245" t="s">
        <v>50</v>
      </c>
      <c r="AF245" t="s">
        <v>355</v>
      </c>
      <c r="AG245" t="s">
        <v>4703</v>
      </c>
      <c r="AH245" t="s">
        <v>355</v>
      </c>
      <c r="AI245" t="s">
        <v>4703</v>
      </c>
      <c r="AJ245" t="s">
        <v>355</v>
      </c>
      <c r="AK245" t="s">
        <v>4703</v>
      </c>
      <c r="AL245" t="s">
        <v>4146</v>
      </c>
    </row>
    <row r="246" spans="1:38" ht="11.25" customHeight="1">
      <c r="A246" t="s">
        <v>9</v>
      </c>
      <c r="B246" t="s">
        <v>36</v>
      </c>
      <c r="C246" t="s">
        <v>38</v>
      </c>
      <c r="D246" t="s">
        <v>9</v>
      </c>
      <c r="E246" t="s">
        <v>4248</v>
      </c>
      <c r="F246" t="s">
        <v>1438</v>
      </c>
      <c r="G246" t="s">
        <v>3762</v>
      </c>
      <c r="H246" t="s">
        <v>3764</v>
      </c>
      <c r="I246" t="s">
        <v>3765</v>
      </c>
      <c r="J246" t="s">
        <v>4643</v>
      </c>
      <c r="K246" t="s">
        <v>4704</v>
      </c>
      <c r="L246" t="s">
        <v>4645</v>
      </c>
      <c r="M246" t="s">
        <v>1442</v>
      </c>
      <c r="N246" t="s">
        <v>164</v>
      </c>
      <c r="O246" t="s">
        <v>3762</v>
      </c>
      <c r="P246" t="s">
        <v>3764</v>
      </c>
      <c r="Q246" t="s">
        <v>3765</v>
      </c>
      <c r="R246" t="s">
        <v>4643</v>
      </c>
      <c r="S246" t="s">
        <v>4704</v>
      </c>
      <c r="T246" t="s">
        <v>4165</v>
      </c>
      <c r="U246" t="s">
        <v>4166</v>
      </c>
      <c r="V246" t="s">
        <v>624</v>
      </c>
      <c r="W246" t="s">
        <v>4140</v>
      </c>
      <c r="X246" t="s">
        <v>4167</v>
      </c>
      <c r="Y246" t="s">
        <v>4168</v>
      </c>
      <c r="Z246" t="s">
        <v>4313</v>
      </c>
      <c r="AA246" t="s">
        <v>4646</v>
      </c>
      <c r="AB246" t="s">
        <v>624</v>
      </c>
      <c r="AC246" t="s">
        <v>50</v>
      </c>
      <c r="AD246" t="s">
        <v>50</v>
      </c>
      <c r="AE246" t="s">
        <v>50</v>
      </c>
      <c r="AF246" t="s">
        <v>4171</v>
      </c>
      <c r="AG246" t="s">
        <v>4647</v>
      </c>
      <c r="AH246" t="s">
        <v>4171</v>
      </c>
      <c r="AI246" t="s">
        <v>4647</v>
      </c>
      <c r="AJ246" t="s">
        <v>4171</v>
      </c>
      <c r="AK246" t="s">
        <v>4647</v>
      </c>
      <c r="AL246" t="s">
        <v>4146</v>
      </c>
    </row>
    <row r="247" spans="1:38" ht="11.25" customHeight="1">
      <c r="A247" t="s">
        <v>9</v>
      </c>
      <c r="B247" t="s">
        <v>36</v>
      </c>
      <c r="C247" t="s">
        <v>38</v>
      </c>
      <c r="D247" t="s">
        <v>9</v>
      </c>
      <c r="E247" t="s">
        <v>1471</v>
      </c>
      <c r="F247" t="s">
        <v>1438</v>
      </c>
      <c r="G247" t="s">
        <v>3762</v>
      </c>
      <c r="H247" t="s">
        <v>3764</v>
      </c>
      <c r="I247" t="s">
        <v>3765</v>
      </c>
      <c r="J247" t="s">
        <v>4664</v>
      </c>
      <c r="K247" t="s">
        <v>4705</v>
      </c>
      <c r="L247" t="s">
        <v>4666</v>
      </c>
      <c r="M247" t="s">
        <v>1442</v>
      </c>
      <c r="N247" t="s">
        <v>164</v>
      </c>
      <c r="O247" t="s">
        <v>3762</v>
      </c>
      <c r="P247" t="s">
        <v>3764</v>
      </c>
      <c r="Q247" t="s">
        <v>3765</v>
      </c>
      <c r="R247" t="s">
        <v>4664</v>
      </c>
      <c r="S247" t="s">
        <v>4705</v>
      </c>
      <c r="T247" t="s">
        <v>4165</v>
      </c>
      <c r="U247" t="s">
        <v>4166</v>
      </c>
      <c r="V247" t="s">
        <v>624</v>
      </c>
      <c r="W247" t="s">
        <v>4140</v>
      </c>
      <c r="X247" t="s">
        <v>4167</v>
      </c>
      <c r="Y247" t="s">
        <v>4168</v>
      </c>
      <c r="Z247" t="s">
        <v>4313</v>
      </c>
      <c r="AA247" t="s">
        <v>4592</v>
      </c>
      <c r="AB247" t="s">
        <v>624</v>
      </c>
      <c r="AC247" t="s">
        <v>50</v>
      </c>
      <c r="AD247" t="s">
        <v>50</v>
      </c>
      <c r="AE247" t="s">
        <v>50</v>
      </c>
      <c r="AF247" t="s">
        <v>1550</v>
      </c>
      <c r="AG247" t="s">
        <v>4667</v>
      </c>
      <c r="AH247" t="s">
        <v>1550</v>
      </c>
      <c r="AI247" t="s">
        <v>4667</v>
      </c>
      <c r="AJ247" t="s">
        <v>1550</v>
      </c>
      <c r="AK247" t="s">
        <v>4667</v>
      </c>
      <c r="AL247" t="s">
        <v>4146</v>
      </c>
    </row>
    <row r="248" spans="1:38" ht="11.25" customHeight="1">
      <c r="A248" t="s">
        <v>9</v>
      </c>
      <c r="B248" t="s">
        <v>36</v>
      </c>
      <c r="C248" t="s">
        <v>38</v>
      </c>
      <c r="D248" t="s">
        <v>9</v>
      </c>
      <c r="E248" t="s">
        <v>4518</v>
      </c>
      <c r="F248" t="s">
        <v>1438</v>
      </c>
      <c r="G248" t="s">
        <v>3762</v>
      </c>
      <c r="H248" t="s">
        <v>3764</v>
      </c>
      <c r="I248" t="s">
        <v>3765</v>
      </c>
      <c r="J248" t="s">
        <v>4677</v>
      </c>
      <c r="K248" t="s">
        <v>4706</v>
      </c>
      <c r="L248" t="s">
        <v>4679</v>
      </c>
      <c r="M248" t="s">
        <v>1442</v>
      </c>
      <c r="N248" t="s">
        <v>164</v>
      </c>
      <c r="O248" t="s">
        <v>3762</v>
      </c>
      <c r="P248" t="s">
        <v>3764</v>
      </c>
      <c r="Q248" t="s">
        <v>3765</v>
      </c>
      <c r="R248" t="s">
        <v>4677</v>
      </c>
      <c r="S248" t="s">
        <v>4706</v>
      </c>
      <c r="T248" t="s">
        <v>4138</v>
      </c>
      <c r="U248" t="s">
        <v>4139</v>
      </c>
      <c r="V248" t="s">
        <v>624</v>
      </c>
      <c r="W248" t="s">
        <v>4140</v>
      </c>
      <c r="X248" t="s">
        <v>4141</v>
      </c>
      <c r="Y248" t="s">
        <v>4142</v>
      </c>
      <c r="Z248" t="s">
        <v>4680</v>
      </c>
      <c r="AA248" t="s">
        <v>4567</v>
      </c>
      <c r="AB248" t="s">
        <v>624</v>
      </c>
      <c r="AC248" t="s">
        <v>50</v>
      </c>
      <c r="AD248" t="s">
        <v>50</v>
      </c>
      <c r="AE248" t="s">
        <v>50</v>
      </c>
      <c r="AF248" t="s">
        <v>79</v>
      </c>
      <c r="AG248" t="s">
        <v>4681</v>
      </c>
      <c r="AH248" t="s">
        <v>79</v>
      </c>
      <c r="AI248" t="s">
        <v>4681</v>
      </c>
      <c r="AJ248" t="s">
        <v>79</v>
      </c>
      <c r="AK248" t="s">
        <v>4681</v>
      </c>
      <c r="AL248" t="s">
        <v>4146</v>
      </c>
    </row>
    <row r="249" spans="1:38" ht="11.25" customHeight="1">
      <c r="A249" t="s">
        <v>9</v>
      </c>
      <c r="B249" t="s">
        <v>36</v>
      </c>
      <c r="C249" t="s">
        <v>38</v>
      </c>
      <c r="D249" t="s">
        <v>9</v>
      </c>
      <c r="E249" t="s">
        <v>4174</v>
      </c>
      <c r="F249" t="s">
        <v>1438</v>
      </c>
      <c r="G249" t="s">
        <v>3762</v>
      </c>
      <c r="H249" t="s">
        <v>3767</v>
      </c>
      <c r="I249" t="s">
        <v>3768</v>
      </c>
      <c r="J249" t="s">
        <v>4692</v>
      </c>
      <c r="K249" t="s">
        <v>4707</v>
      </c>
      <c r="L249" t="s">
        <v>4694</v>
      </c>
      <c r="M249" t="s">
        <v>1442</v>
      </c>
      <c r="N249" t="s">
        <v>164</v>
      </c>
      <c r="O249" t="s">
        <v>3762</v>
      </c>
      <c r="P249" t="s">
        <v>3767</v>
      </c>
      <c r="Q249" t="s">
        <v>3768</v>
      </c>
      <c r="R249" t="s">
        <v>4692</v>
      </c>
      <c r="S249" t="s">
        <v>4707</v>
      </c>
      <c r="T249" t="s">
        <v>4165</v>
      </c>
      <c r="U249" t="s">
        <v>4166</v>
      </c>
      <c r="V249" t="s">
        <v>624</v>
      </c>
      <c r="W249" t="s">
        <v>4140</v>
      </c>
      <c r="X249" t="s">
        <v>4167</v>
      </c>
      <c r="Y249" t="s">
        <v>4168</v>
      </c>
      <c r="Z249" t="s">
        <v>4313</v>
      </c>
      <c r="AA249" t="s">
        <v>4592</v>
      </c>
      <c r="AB249" t="s">
        <v>624</v>
      </c>
      <c r="AC249" t="s">
        <v>50</v>
      </c>
      <c r="AD249" t="s">
        <v>50</v>
      </c>
      <c r="AE249" t="s">
        <v>50</v>
      </c>
      <c r="AF249" t="s">
        <v>4366</v>
      </c>
      <c r="AG249" t="s">
        <v>4695</v>
      </c>
      <c r="AH249" t="s">
        <v>4366</v>
      </c>
      <c r="AI249" t="s">
        <v>4695</v>
      </c>
      <c r="AJ249" t="s">
        <v>4366</v>
      </c>
      <c r="AK249" t="s">
        <v>4695</v>
      </c>
      <c r="AL249" t="s">
        <v>4146</v>
      </c>
    </row>
    <row r="250" spans="1:38" ht="11.25" customHeight="1">
      <c r="A250" t="s">
        <v>9</v>
      </c>
      <c r="B250" t="s">
        <v>36</v>
      </c>
      <c r="C250" t="s">
        <v>38</v>
      </c>
      <c r="D250" t="s">
        <v>9</v>
      </c>
      <c r="E250" t="s">
        <v>4182</v>
      </c>
      <c r="F250" t="s">
        <v>1438</v>
      </c>
      <c r="G250" t="s">
        <v>3762</v>
      </c>
      <c r="H250" t="s">
        <v>3767</v>
      </c>
      <c r="I250" t="s">
        <v>3768</v>
      </c>
      <c r="J250" t="s">
        <v>4692</v>
      </c>
      <c r="K250" t="s">
        <v>4707</v>
      </c>
      <c r="L250" t="s">
        <v>4694</v>
      </c>
      <c r="M250" t="s">
        <v>1442</v>
      </c>
      <c r="N250" t="s">
        <v>164</v>
      </c>
      <c r="O250" t="s">
        <v>3762</v>
      </c>
      <c r="P250" t="s">
        <v>3767</v>
      </c>
      <c r="Q250" t="s">
        <v>3768</v>
      </c>
      <c r="R250" t="s">
        <v>4692</v>
      </c>
      <c r="S250" t="s">
        <v>4707</v>
      </c>
      <c r="T250" t="s">
        <v>4165</v>
      </c>
      <c r="U250" t="s">
        <v>4166</v>
      </c>
      <c r="V250" t="s">
        <v>624</v>
      </c>
      <c r="W250" t="s">
        <v>4140</v>
      </c>
      <c r="X250" t="s">
        <v>4167</v>
      </c>
      <c r="Y250" t="s">
        <v>4168</v>
      </c>
      <c r="Z250" t="s">
        <v>4313</v>
      </c>
      <c r="AA250" t="s">
        <v>4696</v>
      </c>
      <c r="AB250" t="s">
        <v>624</v>
      </c>
      <c r="AC250" t="s">
        <v>50</v>
      </c>
      <c r="AD250" t="s">
        <v>50</v>
      </c>
      <c r="AE250" t="s">
        <v>50</v>
      </c>
      <c r="AF250" t="s">
        <v>164</v>
      </c>
      <c r="AG250" t="s">
        <v>4226</v>
      </c>
      <c r="AH250" t="s">
        <v>164</v>
      </c>
      <c r="AI250" t="s">
        <v>4226</v>
      </c>
      <c r="AJ250" t="s">
        <v>164</v>
      </c>
      <c r="AK250" t="s">
        <v>4226</v>
      </c>
      <c r="AL250" t="s">
        <v>4268</v>
      </c>
    </row>
    <row r="251" spans="1:38" ht="11.25" customHeight="1">
      <c r="A251" t="s">
        <v>9</v>
      </c>
      <c r="B251" t="s">
        <v>36</v>
      </c>
      <c r="C251" t="s">
        <v>38</v>
      </c>
      <c r="D251" t="s">
        <v>9</v>
      </c>
      <c r="E251" t="s">
        <v>4672</v>
      </c>
      <c r="F251" t="s">
        <v>1438</v>
      </c>
      <c r="G251" t="s">
        <v>3762</v>
      </c>
      <c r="H251" t="s">
        <v>3770</v>
      </c>
      <c r="I251" t="s">
        <v>3771</v>
      </c>
      <c r="J251" t="s">
        <v>4673</v>
      </c>
      <c r="K251" t="s">
        <v>4708</v>
      </c>
      <c r="L251" t="s">
        <v>4675</v>
      </c>
      <c r="M251" t="s">
        <v>1442</v>
      </c>
      <c r="N251" t="s">
        <v>164</v>
      </c>
      <c r="O251" t="s">
        <v>3762</v>
      </c>
      <c r="P251" t="s">
        <v>3770</v>
      </c>
      <c r="Q251" t="s">
        <v>3771</v>
      </c>
      <c r="R251" t="s">
        <v>4673</v>
      </c>
      <c r="S251" t="s">
        <v>4708</v>
      </c>
      <c r="T251" t="s">
        <v>4165</v>
      </c>
      <c r="U251" t="s">
        <v>4166</v>
      </c>
      <c r="V251" t="s">
        <v>624</v>
      </c>
      <c r="W251" t="s">
        <v>4140</v>
      </c>
      <c r="X251" t="s">
        <v>4167</v>
      </c>
      <c r="Y251" t="s">
        <v>4168</v>
      </c>
      <c r="Z251" t="s">
        <v>4313</v>
      </c>
      <c r="AA251" t="s">
        <v>4592</v>
      </c>
      <c r="AB251" t="s">
        <v>624</v>
      </c>
      <c r="AC251" t="s">
        <v>50</v>
      </c>
      <c r="AD251" t="s">
        <v>50</v>
      </c>
      <c r="AE251" t="s">
        <v>50</v>
      </c>
      <c r="AF251" t="s">
        <v>4391</v>
      </c>
      <c r="AG251" t="s">
        <v>4676</v>
      </c>
      <c r="AH251" t="s">
        <v>4391</v>
      </c>
      <c r="AI251" t="s">
        <v>4676</v>
      </c>
      <c r="AJ251" t="s">
        <v>4391</v>
      </c>
      <c r="AK251" t="s">
        <v>4676</v>
      </c>
      <c r="AL251" t="s">
        <v>4146</v>
      </c>
    </row>
    <row r="252" spans="1:38" ht="11.25" customHeight="1">
      <c r="A252" t="s">
        <v>9</v>
      </c>
      <c r="B252" t="s">
        <v>36</v>
      </c>
      <c r="C252" t="s">
        <v>38</v>
      </c>
      <c r="D252" t="s">
        <v>9</v>
      </c>
      <c r="E252" t="s">
        <v>4648</v>
      </c>
      <c r="F252" t="s">
        <v>1438</v>
      </c>
      <c r="G252" t="s">
        <v>3762</v>
      </c>
      <c r="H252" t="s">
        <v>3773</v>
      </c>
      <c r="I252" t="s">
        <v>3774</v>
      </c>
      <c r="J252" t="s">
        <v>4649</v>
      </c>
      <c r="K252" t="s">
        <v>4709</v>
      </c>
      <c r="L252" t="s">
        <v>4651</v>
      </c>
      <c r="M252" t="s">
        <v>1442</v>
      </c>
      <c r="N252" t="s">
        <v>164</v>
      </c>
      <c r="O252" t="s">
        <v>3762</v>
      </c>
      <c r="P252" t="s">
        <v>3773</v>
      </c>
      <c r="Q252" t="s">
        <v>3774</v>
      </c>
      <c r="R252" t="s">
        <v>4649</v>
      </c>
      <c r="S252" t="s">
        <v>4709</v>
      </c>
      <c r="T252" t="s">
        <v>4165</v>
      </c>
      <c r="U252" t="s">
        <v>4168</v>
      </c>
      <c r="V252" t="s">
        <v>624</v>
      </c>
      <c r="W252" t="s">
        <v>4140</v>
      </c>
      <c r="X252" t="s">
        <v>4167</v>
      </c>
      <c r="Y252" t="s">
        <v>4168</v>
      </c>
      <c r="Z252" t="s">
        <v>4652</v>
      </c>
      <c r="AA252" t="s">
        <v>4598</v>
      </c>
      <c r="AB252" t="s">
        <v>624</v>
      </c>
      <c r="AC252" t="s">
        <v>50</v>
      </c>
      <c r="AD252" t="s">
        <v>50</v>
      </c>
      <c r="AE252" t="s">
        <v>50</v>
      </c>
      <c r="AF252" t="s">
        <v>4653</v>
      </c>
      <c r="AG252" t="s">
        <v>4331</v>
      </c>
      <c r="AH252" t="s">
        <v>4653</v>
      </c>
      <c r="AI252" t="s">
        <v>4331</v>
      </c>
      <c r="AJ252" t="s">
        <v>4653</v>
      </c>
      <c r="AK252" t="s">
        <v>4331</v>
      </c>
      <c r="AL252" t="s">
        <v>4146</v>
      </c>
    </row>
    <row r="253" spans="1:38" ht="11.25" customHeight="1">
      <c r="A253" t="s">
        <v>9</v>
      </c>
      <c r="B253" t="s">
        <v>36</v>
      </c>
      <c r="C253" t="s">
        <v>38</v>
      </c>
      <c r="D253" t="s">
        <v>9</v>
      </c>
      <c r="E253" t="s">
        <v>4163</v>
      </c>
      <c r="F253" t="s">
        <v>1438</v>
      </c>
      <c r="G253" t="s">
        <v>3762</v>
      </c>
      <c r="H253" t="s">
        <v>3773</v>
      </c>
      <c r="I253" t="s">
        <v>3774</v>
      </c>
      <c r="J253" t="s">
        <v>4710</v>
      </c>
      <c r="K253" t="s">
        <v>4711</v>
      </c>
      <c r="L253" t="s">
        <v>4670</v>
      </c>
      <c r="M253" t="s">
        <v>1442</v>
      </c>
      <c r="N253" t="s">
        <v>164</v>
      </c>
      <c r="O253" t="s">
        <v>3762</v>
      </c>
      <c r="P253" t="s">
        <v>3773</v>
      </c>
      <c r="Q253" t="s">
        <v>3774</v>
      </c>
      <c r="R253" t="s">
        <v>4710</v>
      </c>
      <c r="S253" t="s">
        <v>4711</v>
      </c>
      <c r="T253" t="s">
        <v>4165</v>
      </c>
      <c r="U253" t="s">
        <v>4166</v>
      </c>
      <c r="V253" t="s">
        <v>624</v>
      </c>
      <c r="W253" t="s">
        <v>4140</v>
      </c>
      <c r="X253" t="s">
        <v>4167</v>
      </c>
      <c r="Y253" t="s">
        <v>4168</v>
      </c>
      <c r="Z253" t="s">
        <v>4313</v>
      </c>
      <c r="AA253" t="s">
        <v>4592</v>
      </c>
      <c r="AB253" t="s">
        <v>624</v>
      </c>
      <c r="AC253" t="s">
        <v>50</v>
      </c>
      <c r="AD253" t="s">
        <v>50</v>
      </c>
      <c r="AE253" t="s">
        <v>50</v>
      </c>
      <c r="AF253" t="s">
        <v>79</v>
      </c>
      <c r="AG253" t="s">
        <v>4671</v>
      </c>
      <c r="AH253" t="s">
        <v>79</v>
      </c>
      <c r="AI253" t="s">
        <v>4671</v>
      </c>
      <c r="AJ253" t="s">
        <v>79</v>
      </c>
      <c r="AK253" t="s">
        <v>4671</v>
      </c>
      <c r="AL253" t="s">
        <v>4146</v>
      </c>
    </row>
    <row r="254" spans="1:38" ht="11.25" customHeight="1">
      <c r="A254" t="s">
        <v>9</v>
      </c>
      <c r="B254" t="s">
        <v>36</v>
      </c>
      <c r="C254" t="s">
        <v>38</v>
      </c>
      <c r="D254" t="s">
        <v>9</v>
      </c>
      <c r="E254" t="s">
        <v>4263</v>
      </c>
      <c r="F254" t="s">
        <v>1438</v>
      </c>
      <c r="G254" t="s">
        <v>3762</v>
      </c>
      <c r="H254" t="s">
        <v>3779</v>
      </c>
      <c r="I254" t="s">
        <v>3780</v>
      </c>
      <c r="J254" t="s">
        <v>4712</v>
      </c>
      <c r="K254" t="s">
        <v>4713</v>
      </c>
      <c r="L254" t="s">
        <v>4656</v>
      </c>
      <c r="M254" t="s">
        <v>1442</v>
      </c>
      <c r="N254" t="s">
        <v>164</v>
      </c>
      <c r="O254" t="s">
        <v>3762</v>
      </c>
      <c r="P254" t="s">
        <v>3779</v>
      </c>
      <c r="Q254" t="s">
        <v>3780</v>
      </c>
      <c r="R254" t="s">
        <v>4712</v>
      </c>
      <c r="S254" t="s">
        <v>4713</v>
      </c>
      <c r="T254" t="s">
        <v>4138</v>
      </c>
      <c r="U254" t="s">
        <v>4139</v>
      </c>
      <c r="V254" t="s">
        <v>624</v>
      </c>
      <c r="W254" t="s">
        <v>4140</v>
      </c>
      <c r="X254" t="s">
        <v>4141</v>
      </c>
      <c r="Y254" t="s">
        <v>4142</v>
      </c>
      <c r="Z254" t="s">
        <v>4657</v>
      </c>
      <c r="AA254" t="s">
        <v>4658</v>
      </c>
      <c r="AB254" t="s">
        <v>624</v>
      </c>
      <c r="AC254" t="s">
        <v>50</v>
      </c>
      <c r="AD254" t="s">
        <v>50</v>
      </c>
      <c r="AE254" t="s">
        <v>50</v>
      </c>
      <c r="AF254" t="s">
        <v>1550</v>
      </c>
      <c r="AG254" t="s">
        <v>4659</v>
      </c>
      <c r="AH254" t="s">
        <v>1550</v>
      </c>
      <c r="AI254" t="s">
        <v>4659</v>
      </c>
      <c r="AJ254" t="s">
        <v>1550</v>
      </c>
      <c r="AK254" t="s">
        <v>4659</v>
      </c>
      <c r="AL254" t="s">
        <v>4146</v>
      </c>
    </row>
    <row r="255" spans="1:38" ht="11.25" customHeight="1">
      <c r="A255" t="s">
        <v>9</v>
      </c>
      <c r="B255" t="s">
        <v>36</v>
      </c>
      <c r="C255" t="s">
        <v>38</v>
      </c>
      <c r="D255" t="s">
        <v>9</v>
      </c>
      <c r="E255" t="s">
        <v>4660</v>
      </c>
      <c r="F255" t="s">
        <v>1438</v>
      </c>
      <c r="G255" t="s">
        <v>3762</v>
      </c>
      <c r="H255" t="s">
        <v>3779</v>
      </c>
      <c r="I255" t="s">
        <v>3780</v>
      </c>
      <c r="J255" t="s">
        <v>4712</v>
      </c>
      <c r="K255" t="s">
        <v>4713</v>
      </c>
      <c r="L255" t="s">
        <v>4661</v>
      </c>
      <c r="M255" t="s">
        <v>1442</v>
      </c>
      <c r="N255" t="s">
        <v>164</v>
      </c>
      <c r="O255" t="s">
        <v>3762</v>
      </c>
      <c r="P255" t="s">
        <v>3779</v>
      </c>
      <c r="Q255" t="s">
        <v>3780</v>
      </c>
      <c r="R255" t="s">
        <v>4712</v>
      </c>
      <c r="S255" t="s">
        <v>4713</v>
      </c>
      <c r="T255" t="s">
        <v>4165</v>
      </c>
      <c r="U255" t="s">
        <v>4166</v>
      </c>
      <c r="V255" t="s">
        <v>624</v>
      </c>
      <c r="W255" t="s">
        <v>4140</v>
      </c>
      <c r="X255" t="s">
        <v>4167</v>
      </c>
      <c r="Y255" t="s">
        <v>4168</v>
      </c>
      <c r="Z255" t="s">
        <v>4313</v>
      </c>
      <c r="AA255" t="s">
        <v>4592</v>
      </c>
      <c r="AB255" t="s">
        <v>624</v>
      </c>
      <c r="AC255" t="s">
        <v>50</v>
      </c>
      <c r="AD255" t="s">
        <v>50</v>
      </c>
      <c r="AE255" t="s">
        <v>50</v>
      </c>
      <c r="AF255" t="s">
        <v>78</v>
      </c>
      <c r="AG255" t="s">
        <v>4662</v>
      </c>
      <c r="AH255" t="s">
        <v>78</v>
      </c>
      <c r="AI255" t="s">
        <v>4662</v>
      </c>
      <c r="AJ255" t="s">
        <v>78</v>
      </c>
      <c r="AK255" t="s">
        <v>4662</v>
      </c>
      <c r="AL255" t="s">
        <v>4146</v>
      </c>
    </row>
    <row r="256" spans="1:38" ht="11.25" customHeight="1">
      <c r="A256" t="s">
        <v>9</v>
      </c>
      <c r="B256" t="s">
        <v>36</v>
      </c>
      <c r="C256" t="s">
        <v>38</v>
      </c>
      <c r="D256" t="s">
        <v>9</v>
      </c>
      <c r="E256" t="s">
        <v>4663</v>
      </c>
      <c r="F256" t="s">
        <v>4148</v>
      </c>
      <c r="G256" t="s">
        <v>3762</v>
      </c>
      <c r="H256" t="s">
        <v>3779</v>
      </c>
      <c r="I256" t="s">
        <v>3780</v>
      </c>
      <c r="J256" t="s">
        <v>4712</v>
      </c>
      <c r="K256" t="s">
        <v>4713</v>
      </c>
      <c r="L256" t="s">
        <v>4661</v>
      </c>
      <c r="M256" t="s">
        <v>1442</v>
      </c>
      <c r="N256" t="s">
        <v>164</v>
      </c>
      <c r="O256" t="s">
        <v>3762</v>
      </c>
      <c r="P256" t="s">
        <v>3779</v>
      </c>
      <c r="Q256" t="s">
        <v>3780</v>
      </c>
      <c r="R256" t="s">
        <v>4712</v>
      </c>
      <c r="S256" t="s">
        <v>4713</v>
      </c>
      <c r="T256" t="s">
        <v>4165</v>
      </c>
      <c r="U256" t="s">
        <v>4166</v>
      </c>
      <c r="V256" t="s">
        <v>624</v>
      </c>
      <c r="W256" t="s">
        <v>4140</v>
      </c>
      <c r="X256" t="s">
        <v>4167</v>
      </c>
      <c r="Y256" t="s">
        <v>4168</v>
      </c>
      <c r="Z256" t="s">
        <v>4313</v>
      </c>
      <c r="AA256" t="s">
        <v>4592</v>
      </c>
      <c r="AB256" t="s">
        <v>624</v>
      </c>
      <c r="AC256" t="s">
        <v>6</v>
      </c>
      <c r="AD256" t="s">
        <v>50</v>
      </c>
      <c r="AE256" t="s">
        <v>6</v>
      </c>
      <c r="AF256" t="s">
        <v>9</v>
      </c>
      <c r="AG256" t="s">
        <v>9</v>
      </c>
      <c r="AH256" t="s">
        <v>78</v>
      </c>
      <c r="AI256" t="s">
        <v>4662</v>
      </c>
      <c r="AJ256" t="s">
        <v>78</v>
      </c>
      <c r="AK256" t="s">
        <v>4662</v>
      </c>
      <c r="AL256" t="s">
        <v>9</v>
      </c>
    </row>
    <row r="257" spans="1:38" ht="11.25" customHeight="1">
      <c r="A257" t="s">
        <v>9</v>
      </c>
      <c r="B257" t="s">
        <v>36</v>
      </c>
      <c r="C257" t="s">
        <v>38</v>
      </c>
      <c r="D257" t="s">
        <v>9</v>
      </c>
      <c r="E257" t="s">
        <v>4697</v>
      </c>
      <c r="F257" t="s">
        <v>1438</v>
      </c>
      <c r="G257" t="s">
        <v>3762</v>
      </c>
      <c r="H257" t="s">
        <v>3779</v>
      </c>
      <c r="I257" t="s">
        <v>3780</v>
      </c>
      <c r="J257" t="s">
        <v>4698</v>
      </c>
      <c r="K257" t="s">
        <v>4714</v>
      </c>
      <c r="L257" t="s">
        <v>4208</v>
      </c>
      <c r="M257" t="s">
        <v>1442</v>
      </c>
      <c r="N257" t="s">
        <v>164</v>
      </c>
      <c r="O257" t="s">
        <v>3762</v>
      </c>
      <c r="P257" t="s">
        <v>3779</v>
      </c>
      <c r="Q257" t="s">
        <v>3780</v>
      </c>
      <c r="R257" t="s">
        <v>4698</v>
      </c>
      <c r="S257" t="s">
        <v>4714</v>
      </c>
      <c r="T257" t="s">
        <v>4138</v>
      </c>
      <c r="U257" t="s">
        <v>4139</v>
      </c>
      <c r="V257" t="s">
        <v>624</v>
      </c>
      <c r="W257" t="s">
        <v>4140</v>
      </c>
      <c r="X257" t="s">
        <v>4141</v>
      </c>
      <c r="Y257" t="s">
        <v>4142</v>
      </c>
      <c r="Z257" t="s">
        <v>4700</v>
      </c>
      <c r="AA257" t="s">
        <v>4567</v>
      </c>
      <c r="AB257" t="s">
        <v>624</v>
      </c>
      <c r="AC257" t="s">
        <v>50</v>
      </c>
      <c r="AD257" t="s">
        <v>50</v>
      </c>
      <c r="AE257" t="s">
        <v>50</v>
      </c>
      <c r="AF257" t="s">
        <v>89</v>
      </c>
      <c r="AG257" t="s">
        <v>4701</v>
      </c>
      <c r="AH257" t="s">
        <v>89</v>
      </c>
      <c r="AI257" t="s">
        <v>4701</v>
      </c>
      <c r="AJ257" t="s">
        <v>89</v>
      </c>
      <c r="AK257" t="s">
        <v>4701</v>
      </c>
      <c r="AL257" t="s">
        <v>4146</v>
      </c>
    </row>
    <row r="258" spans="1:38" ht="11.25" customHeight="1">
      <c r="A258" t="s">
        <v>9</v>
      </c>
      <c r="B258" t="s">
        <v>36</v>
      </c>
      <c r="C258" t="s">
        <v>38</v>
      </c>
      <c r="D258" t="s">
        <v>9</v>
      </c>
      <c r="E258" t="s">
        <v>4228</v>
      </c>
      <c r="F258" t="s">
        <v>1438</v>
      </c>
      <c r="G258" t="s">
        <v>3762</v>
      </c>
      <c r="H258" t="s">
        <v>3779</v>
      </c>
      <c r="I258" t="s">
        <v>3780</v>
      </c>
      <c r="J258" t="s">
        <v>4698</v>
      </c>
      <c r="K258" t="s">
        <v>4714</v>
      </c>
      <c r="L258" t="s">
        <v>4702</v>
      </c>
      <c r="M258" t="s">
        <v>1442</v>
      </c>
      <c r="N258" t="s">
        <v>164</v>
      </c>
      <c r="O258" t="s">
        <v>3762</v>
      </c>
      <c r="P258" t="s">
        <v>3779</v>
      </c>
      <c r="Q258" t="s">
        <v>3780</v>
      </c>
      <c r="R258" t="s">
        <v>4698</v>
      </c>
      <c r="S258" t="s">
        <v>4714</v>
      </c>
      <c r="T258" t="s">
        <v>4165</v>
      </c>
      <c r="U258" t="s">
        <v>4166</v>
      </c>
      <c r="V258" t="s">
        <v>624</v>
      </c>
      <c r="W258" t="s">
        <v>4140</v>
      </c>
      <c r="X258" t="s">
        <v>4167</v>
      </c>
      <c r="Y258" t="s">
        <v>4168</v>
      </c>
      <c r="Z258" t="s">
        <v>4313</v>
      </c>
      <c r="AA258" t="s">
        <v>4592</v>
      </c>
      <c r="AB258" t="s">
        <v>624</v>
      </c>
      <c r="AC258" t="s">
        <v>50</v>
      </c>
      <c r="AD258" t="s">
        <v>50</v>
      </c>
      <c r="AE258" t="s">
        <v>50</v>
      </c>
      <c r="AF258" t="s">
        <v>355</v>
      </c>
      <c r="AG258" t="s">
        <v>4703</v>
      </c>
      <c r="AH258" t="s">
        <v>355</v>
      </c>
      <c r="AI258" t="s">
        <v>4703</v>
      </c>
      <c r="AJ258" t="s">
        <v>355</v>
      </c>
      <c r="AK258" t="s">
        <v>4703</v>
      </c>
      <c r="AL258" t="s">
        <v>4146</v>
      </c>
    </row>
    <row r="259" spans="1:38" ht="11.25" customHeight="1">
      <c r="A259" t="s">
        <v>9</v>
      </c>
      <c r="B259" t="s">
        <v>36</v>
      </c>
      <c r="C259" t="s">
        <v>38</v>
      </c>
      <c r="D259" t="s">
        <v>9</v>
      </c>
      <c r="E259" t="s">
        <v>4682</v>
      </c>
      <c r="F259" t="s">
        <v>1438</v>
      </c>
      <c r="G259" t="s">
        <v>3762</v>
      </c>
      <c r="H259" t="s">
        <v>3782</v>
      </c>
      <c r="I259" t="s">
        <v>3783</v>
      </c>
      <c r="J259" t="s">
        <v>4683</v>
      </c>
      <c r="K259" t="s">
        <v>4715</v>
      </c>
      <c r="L259" t="s">
        <v>4685</v>
      </c>
      <c r="M259" t="s">
        <v>1442</v>
      </c>
      <c r="N259" t="s">
        <v>164</v>
      </c>
      <c r="O259" t="s">
        <v>3762</v>
      </c>
      <c r="P259" t="s">
        <v>3782</v>
      </c>
      <c r="Q259" t="s">
        <v>3783</v>
      </c>
      <c r="R259" t="s">
        <v>4683</v>
      </c>
      <c r="S259" t="s">
        <v>4715</v>
      </c>
      <c r="T259" t="s">
        <v>4165</v>
      </c>
      <c r="U259" t="s">
        <v>4166</v>
      </c>
      <c r="V259" t="s">
        <v>624</v>
      </c>
      <c r="W259" t="s">
        <v>4140</v>
      </c>
      <c r="X259" t="s">
        <v>4167</v>
      </c>
      <c r="Y259" t="s">
        <v>4168</v>
      </c>
      <c r="Z259" t="s">
        <v>4313</v>
      </c>
      <c r="AA259" t="s">
        <v>4592</v>
      </c>
      <c r="AB259" t="s">
        <v>624</v>
      </c>
      <c r="AC259" t="s">
        <v>50</v>
      </c>
      <c r="AD259" t="s">
        <v>50</v>
      </c>
      <c r="AE259" t="s">
        <v>50</v>
      </c>
      <c r="AF259" t="s">
        <v>1546</v>
      </c>
      <c r="AG259" t="s">
        <v>4686</v>
      </c>
      <c r="AH259" t="s">
        <v>1546</v>
      </c>
      <c r="AI259" t="s">
        <v>4686</v>
      </c>
      <c r="AJ259" t="s">
        <v>1546</v>
      </c>
      <c r="AK259" t="s">
        <v>4686</v>
      </c>
      <c r="AL259" t="s">
        <v>4146</v>
      </c>
    </row>
    <row r="260" spans="1:38" ht="11.25" customHeight="1">
      <c r="A260" t="s">
        <v>9</v>
      </c>
      <c r="B260" t="s">
        <v>36</v>
      </c>
      <c r="C260" t="s">
        <v>38</v>
      </c>
      <c r="D260" t="s">
        <v>9</v>
      </c>
      <c r="E260" t="s">
        <v>4687</v>
      </c>
      <c r="F260" t="s">
        <v>1438</v>
      </c>
      <c r="G260" t="s">
        <v>3762</v>
      </c>
      <c r="H260" t="s">
        <v>3785</v>
      </c>
      <c r="I260" t="s">
        <v>3786</v>
      </c>
      <c r="J260" t="s">
        <v>4688</v>
      </c>
      <c r="K260" t="s">
        <v>4716</v>
      </c>
      <c r="L260" t="s">
        <v>4690</v>
      </c>
      <c r="M260" t="s">
        <v>1442</v>
      </c>
      <c r="N260" t="s">
        <v>164</v>
      </c>
      <c r="O260" t="s">
        <v>3762</v>
      </c>
      <c r="P260" t="s">
        <v>3785</v>
      </c>
      <c r="Q260" t="s">
        <v>3786</v>
      </c>
      <c r="R260" t="s">
        <v>4688</v>
      </c>
      <c r="S260" t="s">
        <v>4716</v>
      </c>
      <c r="T260" t="s">
        <v>4165</v>
      </c>
      <c r="U260" t="s">
        <v>4166</v>
      </c>
      <c r="V260" t="s">
        <v>624</v>
      </c>
      <c r="W260" t="s">
        <v>4140</v>
      </c>
      <c r="X260" t="s">
        <v>4167</v>
      </c>
      <c r="Y260" t="s">
        <v>4168</v>
      </c>
      <c r="Z260" t="s">
        <v>4313</v>
      </c>
      <c r="AA260" t="s">
        <v>4592</v>
      </c>
      <c r="AB260" t="s">
        <v>624</v>
      </c>
      <c r="AC260" t="s">
        <v>50</v>
      </c>
      <c r="AD260" t="s">
        <v>50</v>
      </c>
      <c r="AE260" t="s">
        <v>50</v>
      </c>
      <c r="AF260" t="s">
        <v>1049</v>
      </c>
      <c r="AG260" t="s">
        <v>4691</v>
      </c>
      <c r="AH260" t="s">
        <v>1049</v>
      </c>
      <c r="AI260" t="s">
        <v>4691</v>
      </c>
      <c r="AJ260" t="s">
        <v>1049</v>
      </c>
      <c r="AK260" t="s">
        <v>4691</v>
      </c>
      <c r="AL260" t="s">
        <v>4146</v>
      </c>
    </row>
    <row r="261" spans="1:38" ht="11.25" customHeight="1">
      <c r="A261" t="s">
        <v>9</v>
      </c>
      <c r="B261" t="s">
        <v>36</v>
      </c>
      <c r="C261" t="s">
        <v>38</v>
      </c>
      <c r="D261" t="s">
        <v>9</v>
      </c>
      <c r="E261" t="s">
        <v>1437</v>
      </c>
      <c r="F261" t="s">
        <v>1438</v>
      </c>
      <c r="G261" t="s">
        <v>3762</v>
      </c>
      <c r="H261" t="s">
        <v>3789</v>
      </c>
      <c r="I261" t="s">
        <v>3790</v>
      </c>
      <c r="J261" t="s">
        <v>4558</v>
      </c>
      <c r="K261" t="s">
        <v>4717</v>
      </c>
      <c r="L261" t="s">
        <v>4560</v>
      </c>
      <c r="M261" t="s">
        <v>1442</v>
      </c>
      <c r="N261" t="s">
        <v>164</v>
      </c>
      <c r="O261" t="s">
        <v>3762</v>
      </c>
      <c r="P261" t="s">
        <v>3789</v>
      </c>
      <c r="Q261" t="s">
        <v>3790</v>
      </c>
      <c r="R261" t="s">
        <v>4558</v>
      </c>
      <c r="S261" t="s">
        <v>4717</v>
      </c>
      <c r="T261" t="s">
        <v>4138</v>
      </c>
      <c r="U261" t="s">
        <v>4139</v>
      </c>
      <c r="V261" t="s">
        <v>624</v>
      </c>
      <c r="W261" t="s">
        <v>4140</v>
      </c>
      <c r="X261" t="s">
        <v>4141</v>
      </c>
      <c r="Y261" t="s">
        <v>4142</v>
      </c>
      <c r="Z261" t="s">
        <v>4561</v>
      </c>
      <c r="AA261" t="s">
        <v>4562</v>
      </c>
      <c r="AB261" t="s">
        <v>624</v>
      </c>
      <c r="AC261" t="s">
        <v>50</v>
      </c>
      <c r="AD261" t="s">
        <v>50</v>
      </c>
      <c r="AE261" t="s">
        <v>50</v>
      </c>
      <c r="AF261" t="s">
        <v>4563</v>
      </c>
      <c r="AG261" t="s">
        <v>4564</v>
      </c>
      <c r="AH261" t="s">
        <v>4563</v>
      </c>
      <c r="AI261" t="s">
        <v>4564</v>
      </c>
      <c r="AJ261" t="s">
        <v>4563</v>
      </c>
      <c r="AK261" t="s">
        <v>4564</v>
      </c>
      <c r="AL261" t="s">
        <v>4146</v>
      </c>
    </row>
    <row r="262" spans="1:38" ht="11.25" customHeight="1">
      <c r="A262" t="s">
        <v>9</v>
      </c>
      <c r="B262" t="s">
        <v>36</v>
      </c>
      <c r="C262" t="s">
        <v>38</v>
      </c>
      <c r="D262" t="s">
        <v>9</v>
      </c>
      <c r="E262" t="s">
        <v>4147</v>
      </c>
      <c r="F262" t="s">
        <v>4148</v>
      </c>
      <c r="G262" t="s">
        <v>3762</v>
      </c>
      <c r="H262" t="s">
        <v>3789</v>
      </c>
      <c r="I262" t="s">
        <v>3790</v>
      </c>
      <c r="J262" t="s">
        <v>4558</v>
      </c>
      <c r="K262" t="s">
        <v>4717</v>
      </c>
      <c r="L262" t="s">
        <v>4560</v>
      </c>
      <c r="M262" t="s">
        <v>1442</v>
      </c>
      <c r="N262" t="s">
        <v>164</v>
      </c>
      <c r="O262" t="s">
        <v>3762</v>
      </c>
      <c r="P262" t="s">
        <v>3789</v>
      </c>
      <c r="Q262" t="s">
        <v>3790</v>
      </c>
      <c r="R262" t="s">
        <v>4558</v>
      </c>
      <c r="S262" t="s">
        <v>4717</v>
      </c>
      <c r="T262" t="s">
        <v>4138</v>
      </c>
      <c r="U262" t="s">
        <v>4139</v>
      </c>
      <c r="V262" t="s">
        <v>624</v>
      </c>
      <c r="W262" t="s">
        <v>4140</v>
      </c>
      <c r="X262" t="s">
        <v>4141</v>
      </c>
      <c r="Y262" t="s">
        <v>4142</v>
      </c>
      <c r="Z262" t="s">
        <v>4561</v>
      </c>
      <c r="AA262" t="s">
        <v>4562</v>
      </c>
      <c r="AB262" t="s">
        <v>624</v>
      </c>
      <c r="AC262" t="s">
        <v>6</v>
      </c>
      <c r="AD262" t="s">
        <v>50</v>
      </c>
      <c r="AE262" t="s">
        <v>6</v>
      </c>
      <c r="AF262" t="s">
        <v>9</v>
      </c>
      <c r="AG262" t="s">
        <v>9</v>
      </c>
      <c r="AH262" t="s">
        <v>4563</v>
      </c>
      <c r="AI262" t="s">
        <v>4564</v>
      </c>
      <c r="AJ262" t="s">
        <v>4563</v>
      </c>
      <c r="AK262" t="s">
        <v>4564</v>
      </c>
      <c r="AL262" t="s">
        <v>9</v>
      </c>
    </row>
    <row r="263" spans="1:38" ht="11.25" customHeight="1">
      <c r="A263" t="s">
        <v>9</v>
      </c>
      <c r="B263" t="s">
        <v>36</v>
      </c>
      <c r="C263" t="s">
        <v>38</v>
      </c>
      <c r="D263" t="s">
        <v>9</v>
      </c>
      <c r="E263" t="s">
        <v>4324</v>
      </c>
      <c r="F263" t="s">
        <v>1438</v>
      </c>
      <c r="G263" t="s">
        <v>3762</v>
      </c>
      <c r="H263" t="s">
        <v>3789</v>
      </c>
      <c r="I263" t="s">
        <v>3790</v>
      </c>
      <c r="J263" t="s">
        <v>4558</v>
      </c>
      <c r="K263" t="s">
        <v>4717</v>
      </c>
      <c r="L263" t="s">
        <v>4565</v>
      </c>
      <c r="M263" t="s">
        <v>1442</v>
      </c>
      <c r="N263" t="s">
        <v>164</v>
      </c>
      <c r="O263" t="s">
        <v>3762</v>
      </c>
      <c r="P263" t="s">
        <v>3789</v>
      </c>
      <c r="Q263" t="s">
        <v>3790</v>
      </c>
      <c r="R263" t="s">
        <v>4558</v>
      </c>
      <c r="S263" t="s">
        <v>4717</v>
      </c>
      <c r="T263" t="s">
        <v>4138</v>
      </c>
      <c r="U263" t="s">
        <v>4139</v>
      </c>
      <c r="V263" t="s">
        <v>624</v>
      </c>
      <c r="W263" t="s">
        <v>4140</v>
      </c>
      <c r="X263" t="s">
        <v>4141</v>
      </c>
      <c r="Y263" t="s">
        <v>4142</v>
      </c>
      <c r="Z263" t="s">
        <v>4566</v>
      </c>
      <c r="AA263" t="s">
        <v>4567</v>
      </c>
      <c r="AB263" t="s">
        <v>624</v>
      </c>
      <c r="AC263" t="s">
        <v>50</v>
      </c>
      <c r="AD263" t="s">
        <v>50</v>
      </c>
      <c r="AE263" t="s">
        <v>50</v>
      </c>
      <c r="AF263" t="s">
        <v>4366</v>
      </c>
      <c r="AG263" t="s">
        <v>4568</v>
      </c>
      <c r="AH263" t="s">
        <v>4366</v>
      </c>
      <c r="AI263" t="s">
        <v>4568</v>
      </c>
      <c r="AJ263" t="s">
        <v>4366</v>
      </c>
      <c r="AK263" t="s">
        <v>4568</v>
      </c>
      <c r="AL263" t="s">
        <v>4146</v>
      </c>
    </row>
    <row r="264" spans="1:38" ht="11.25" customHeight="1">
      <c r="A264" t="s">
        <v>9</v>
      </c>
      <c r="B264" t="s">
        <v>36</v>
      </c>
      <c r="C264" t="s">
        <v>38</v>
      </c>
      <c r="D264" t="s">
        <v>9</v>
      </c>
      <c r="E264" t="s">
        <v>4240</v>
      </c>
      <c r="F264" t="s">
        <v>1438</v>
      </c>
      <c r="G264" t="s">
        <v>3762</v>
      </c>
      <c r="H264" t="s">
        <v>3789</v>
      </c>
      <c r="I264" t="s">
        <v>3790</v>
      </c>
      <c r="J264" t="s">
        <v>4558</v>
      </c>
      <c r="K264" t="s">
        <v>4717</v>
      </c>
      <c r="L264" t="s">
        <v>4569</v>
      </c>
      <c r="M264" t="s">
        <v>1442</v>
      </c>
      <c r="N264" t="s">
        <v>164</v>
      </c>
      <c r="O264" t="s">
        <v>3762</v>
      </c>
      <c r="P264" t="s">
        <v>3789</v>
      </c>
      <c r="Q264" t="s">
        <v>3790</v>
      </c>
      <c r="R264" t="s">
        <v>4558</v>
      </c>
      <c r="S264" t="s">
        <v>4717</v>
      </c>
      <c r="T264" t="s">
        <v>4138</v>
      </c>
      <c r="U264" t="s">
        <v>4139</v>
      </c>
      <c r="V264" t="s">
        <v>624</v>
      </c>
      <c r="W264" t="s">
        <v>4140</v>
      </c>
      <c r="X264" t="s">
        <v>4141</v>
      </c>
      <c r="Y264" t="s">
        <v>4142</v>
      </c>
      <c r="Z264" t="s">
        <v>4570</v>
      </c>
      <c r="AA264" t="s">
        <v>4571</v>
      </c>
      <c r="AB264" t="s">
        <v>624</v>
      </c>
      <c r="AC264" t="s">
        <v>50</v>
      </c>
      <c r="AD264" t="s">
        <v>50</v>
      </c>
      <c r="AE264" t="s">
        <v>50</v>
      </c>
      <c r="AF264" t="s">
        <v>79</v>
      </c>
      <c r="AG264" t="s">
        <v>4572</v>
      </c>
      <c r="AH264" t="s">
        <v>79</v>
      </c>
      <c r="AI264" t="s">
        <v>4572</v>
      </c>
      <c r="AJ264" t="s">
        <v>79</v>
      </c>
      <c r="AK264" t="s">
        <v>4572</v>
      </c>
      <c r="AL264" t="s">
        <v>4146</v>
      </c>
    </row>
    <row r="265" spans="1:38" ht="11.25" customHeight="1">
      <c r="A265" t="s">
        <v>9</v>
      </c>
      <c r="B265" t="s">
        <v>36</v>
      </c>
      <c r="C265" t="s">
        <v>38</v>
      </c>
      <c r="D265" t="s">
        <v>9</v>
      </c>
      <c r="E265" t="s">
        <v>4247</v>
      </c>
      <c r="F265" t="s">
        <v>4148</v>
      </c>
      <c r="G265" t="s">
        <v>3762</v>
      </c>
      <c r="H265" t="s">
        <v>3789</v>
      </c>
      <c r="I265" t="s">
        <v>3790</v>
      </c>
      <c r="J265" t="s">
        <v>4558</v>
      </c>
      <c r="K265" t="s">
        <v>4717</v>
      </c>
      <c r="L265" t="s">
        <v>4569</v>
      </c>
      <c r="M265" t="s">
        <v>1442</v>
      </c>
      <c r="N265" t="s">
        <v>164</v>
      </c>
      <c r="O265" t="s">
        <v>3762</v>
      </c>
      <c r="P265" t="s">
        <v>3789</v>
      </c>
      <c r="Q265" t="s">
        <v>3790</v>
      </c>
      <c r="R265" t="s">
        <v>4558</v>
      </c>
      <c r="S265" t="s">
        <v>4717</v>
      </c>
      <c r="T265" t="s">
        <v>4138</v>
      </c>
      <c r="U265" t="s">
        <v>4139</v>
      </c>
      <c r="V265" t="s">
        <v>624</v>
      </c>
      <c r="W265" t="s">
        <v>4140</v>
      </c>
      <c r="X265" t="s">
        <v>4141</v>
      </c>
      <c r="Y265" t="s">
        <v>4142</v>
      </c>
      <c r="Z265" t="s">
        <v>4570</v>
      </c>
      <c r="AA265" t="s">
        <v>4571</v>
      </c>
      <c r="AB265" t="s">
        <v>624</v>
      </c>
      <c r="AC265" t="s">
        <v>6</v>
      </c>
      <c r="AD265" t="s">
        <v>50</v>
      </c>
      <c r="AE265" t="s">
        <v>6</v>
      </c>
      <c r="AF265" t="s">
        <v>9</v>
      </c>
      <c r="AG265" t="s">
        <v>9</v>
      </c>
      <c r="AH265" t="s">
        <v>79</v>
      </c>
      <c r="AI265" t="s">
        <v>4572</v>
      </c>
      <c r="AJ265" t="s">
        <v>79</v>
      </c>
      <c r="AK265" t="s">
        <v>4572</v>
      </c>
      <c r="AL265" t="s">
        <v>9</v>
      </c>
    </row>
    <row r="266" spans="1:38" ht="11.25" customHeight="1">
      <c r="A266" t="s">
        <v>9</v>
      </c>
      <c r="B266" t="s">
        <v>36</v>
      </c>
      <c r="C266" t="s">
        <v>38</v>
      </c>
      <c r="D266" t="s">
        <v>9</v>
      </c>
      <c r="E266" t="s">
        <v>1507</v>
      </c>
      <c r="F266" t="s">
        <v>1457</v>
      </c>
      <c r="G266" t="s">
        <v>3762</v>
      </c>
      <c r="H266" t="s">
        <v>3789</v>
      </c>
      <c r="I266" t="s">
        <v>3790</v>
      </c>
      <c r="J266" t="s">
        <v>4558</v>
      </c>
      <c r="K266" t="s">
        <v>4717</v>
      </c>
      <c r="L266" t="s">
        <v>4573</v>
      </c>
      <c r="M266" t="s">
        <v>1442</v>
      </c>
      <c r="N266" t="s">
        <v>164</v>
      </c>
      <c r="O266" t="s">
        <v>3762</v>
      </c>
      <c r="P266" t="s">
        <v>3789</v>
      </c>
      <c r="Q266" t="s">
        <v>3790</v>
      </c>
      <c r="R266" t="s">
        <v>4558</v>
      </c>
      <c r="S266" t="s">
        <v>4717</v>
      </c>
      <c r="T266" t="s">
        <v>4138</v>
      </c>
      <c r="U266" t="s">
        <v>4139</v>
      </c>
      <c r="V266" t="s">
        <v>624</v>
      </c>
      <c r="W266" t="s">
        <v>4140</v>
      </c>
      <c r="X266" t="s">
        <v>4141</v>
      </c>
      <c r="Y266" t="s">
        <v>4142</v>
      </c>
      <c r="Z266" t="s">
        <v>4574</v>
      </c>
      <c r="AA266" t="s">
        <v>4571</v>
      </c>
      <c r="AB266" t="s">
        <v>624</v>
      </c>
      <c r="AC266" t="s">
        <v>50</v>
      </c>
      <c r="AD266" t="s">
        <v>6</v>
      </c>
      <c r="AE266" t="s">
        <v>6</v>
      </c>
      <c r="AF266" t="s">
        <v>164</v>
      </c>
      <c r="AG266" t="s">
        <v>4438</v>
      </c>
      <c r="AH266" t="s">
        <v>9</v>
      </c>
      <c r="AI266" t="s">
        <v>9</v>
      </c>
      <c r="AJ266" t="s">
        <v>9</v>
      </c>
      <c r="AK266" t="s">
        <v>9</v>
      </c>
      <c r="AL266" t="s">
        <v>4146</v>
      </c>
    </row>
    <row r="267" spans="1:38" ht="11.25" customHeight="1">
      <c r="A267" t="s">
        <v>9</v>
      </c>
      <c r="B267" t="s">
        <v>36</v>
      </c>
      <c r="C267" t="s">
        <v>38</v>
      </c>
      <c r="D267" t="s">
        <v>9</v>
      </c>
      <c r="E267" t="s">
        <v>4269</v>
      </c>
      <c r="F267" t="s">
        <v>1438</v>
      </c>
      <c r="G267" t="s">
        <v>3762</v>
      </c>
      <c r="H267" t="s">
        <v>3789</v>
      </c>
      <c r="I267" t="s">
        <v>3790</v>
      </c>
      <c r="J267" t="s">
        <v>4558</v>
      </c>
      <c r="K267" t="s">
        <v>4717</v>
      </c>
      <c r="L267" t="s">
        <v>4575</v>
      </c>
      <c r="M267" t="s">
        <v>1442</v>
      </c>
      <c r="N267" t="s">
        <v>164</v>
      </c>
      <c r="O267" t="s">
        <v>3762</v>
      </c>
      <c r="P267" t="s">
        <v>3789</v>
      </c>
      <c r="Q267" t="s">
        <v>3790</v>
      </c>
      <c r="R267" t="s">
        <v>4558</v>
      </c>
      <c r="S267" t="s">
        <v>4717</v>
      </c>
      <c r="T267" t="s">
        <v>4138</v>
      </c>
      <c r="U267" t="s">
        <v>4139</v>
      </c>
      <c r="V267" t="s">
        <v>624</v>
      </c>
      <c r="W267" t="s">
        <v>4140</v>
      </c>
      <c r="X267" t="s">
        <v>4141</v>
      </c>
      <c r="Y267" t="s">
        <v>4142</v>
      </c>
      <c r="Z267" t="s">
        <v>4576</v>
      </c>
      <c r="AA267" t="s">
        <v>4571</v>
      </c>
      <c r="AB267" t="s">
        <v>624</v>
      </c>
      <c r="AC267" t="s">
        <v>50</v>
      </c>
      <c r="AD267" t="s">
        <v>50</v>
      </c>
      <c r="AE267" t="s">
        <v>50</v>
      </c>
      <c r="AF267" t="s">
        <v>1049</v>
      </c>
      <c r="AG267" t="s">
        <v>4577</v>
      </c>
      <c r="AH267" t="s">
        <v>1049</v>
      </c>
      <c r="AI267" t="s">
        <v>4577</v>
      </c>
      <c r="AJ267" t="s">
        <v>1049</v>
      </c>
      <c r="AK267" t="s">
        <v>4577</v>
      </c>
      <c r="AL267" t="s">
        <v>4146</v>
      </c>
    </row>
    <row r="268" spans="1:38" ht="11.25" customHeight="1">
      <c r="A268" t="s">
        <v>9</v>
      </c>
      <c r="B268" t="s">
        <v>36</v>
      </c>
      <c r="C268" t="s">
        <v>38</v>
      </c>
      <c r="D268" t="s">
        <v>9</v>
      </c>
      <c r="E268" t="s">
        <v>4578</v>
      </c>
      <c r="F268" t="s">
        <v>1438</v>
      </c>
      <c r="G268" t="s">
        <v>3762</v>
      </c>
      <c r="H268" t="s">
        <v>3789</v>
      </c>
      <c r="I268" t="s">
        <v>3790</v>
      </c>
      <c r="J268" t="s">
        <v>4558</v>
      </c>
      <c r="K268" t="s">
        <v>4717</v>
      </c>
      <c r="L268" t="s">
        <v>4354</v>
      </c>
      <c r="M268" t="s">
        <v>4579</v>
      </c>
      <c r="N268" t="s">
        <v>164</v>
      </c>
      <c r="O268" t="s">
        <v>3762</v>
      </c>
      <c r="P268" t="s">
        <v>3789</v>
      </c>
      <c r="Q268" t="s">
        <v>3790</v>
      </c>
      <c r="R268" t="s">
        <v>4558</v>
      </c>
      <c r="S268" t="s">
        <v>4717</v>
      </c>
      <c r="T268" t="s">
        <v>4138</v>
      </c>
      <c r="U268" t="s">
        <v>4166</v>
      </c>
      <c r="V268" t="s">
        <v>624</v>
      </c>
      <c r="W268" t="s">
        <v>4140</v>
      </c>
      <c r="X268" t="s">
        <v>4167</v>
      </c>
      <c r="Y268" t="s">
        <v>4168</v>
      </c>
      <c r="Z268" t="s">
        <v>4313</v>
      </c>
      <c r="AA268" t="s">
        <v>4580</v>
      </c>
      <c r="AB268" t="s">
        <v>624</v>
      </c>
      <c r="AC268" t="s">
        <v>50</v>
      </c>
      <c r="AD268" t="s">
        <v>50</v>
      </c>
      <c r="AE268" t="s">
        <v>50</v>
      </c>
      <c r="AF268" t="s">
        <v>4226</v>
      </c>
      <c r="AG268" t="s">
        <v>4581</v>
      </c>
      <c r="AH268" t="s">
        <v>4226</v>
      </c>
      <c r="AI268" t="s">
        <v>4581</v>
      </c>
      <c r="AJ268" t="s">
        <v>4226</v>
      </c>
      <c r="AK268" t="s">
        <v>4581</v>
      </c>
      <c r="AL268" t="s">
        <v>4146</v>
      </c>
    </row>
    <row r="269" spans="1:38" ht="11.25" customHeight="1">
      <c r="A269" t="s">
        <v>9</v>
      </c>
      <c r="B269" t="s">
        <v>36</v>
      </c>
      <c r="C269" t="s">
        <v>38</v>
      </c>
      <c r="D269" t="s">
        <v>9</v>
      </c>
      <c r="E269" t="s">
        <v>1449</v>
      </c>
      <c r="F269" t="s">
        <v>1438</v>
      </c>
      <c r="G269" t="s">
        <v>3762</v>
      </c>
      <c r="H269" t="s">
        <v>3789</v>
      </c>
      <c r="I269" t="s">
        <v>3790</v>
      </c>
      <c r="J269" t="s">
        <v>4558</v>
      </c>
      <c r="K269" t="s">
        <v>4717</v>
      </c>
      <c r="L269" t="s">
        <v>4582</v>
      </c>
      <c r="M269" t="s">
        <v>1442</v>
      </c>
      <c r="N269" t="s">
        <v>164</v>
      </c>
      <c r="O269" t="s">
        <v>3762</v>
      </c>
      <c r="P269" t="s">
        <v>3789</v>
      </c>
      <c r="Q269" t="s">
        <v>3790</v>
      </c>
      <c r="R269" t="s">
        <v>4558</v>
      </c>
      <c r="S269" t="s">
        <v>4717</v>
      </c>
      <c r="T269" t="s">
        <v>4138</v>
      </c>
      <c r="U269" t="s">
        <v>4139</v>
      </c>
      <c r="V269" t="s">
        <v>624</v>
      </c>
      <c r="W269" t="s">
        <v>4140</v>
      </c>
      <c r="X269" t="s">
        <v>4141</v>
      </c>
      <c r="Y269" t="s">
        <v>4142</v>
      </c>
      <c r="Z269" t="s">
        <v>4583</v>
      </c>
      <c r="AA269" t="s">
        <v>4584</v>
      </c>
      <c r="AB269" t="s">
        <v>624</v>
      </c>
      <c r="AC269" t="s">
        <v>50</v>
      </c>
      <c r="AD269" t="s">
        <v>50</v>
      </c>
      <c r="AE269" t="s">
        <v>50</v>
      </c>
      <c r="AF269" t="s">
        <v>100</v>
      </c>
      <c r="AG269" t="s">
        <v>4585</v>
      </c>
      <c r="AH269" t="s">
        <v>100</v>
      </c>
      <c r="AI269" t="s">
        <v>4585</v>
      </c>
      <c r="AJ269" t="s">
        <v>100</v>
      </c>
      <c r="AK269" t="s">
        <v>4585</v>
      </c>
      <c r="AL269" t="s">
        <v>4146</v>
      </c>
    </row>
    <row r="270" spans="1:38" ht="11.25" customHeight="1">
      <c r="A270" t="s">
        <v>9</v>
      </c>
      <c r="B270" t="s">
        <v>36</v>
      </c>
      <c r="C270" t="s">
        <v>38</v>
      </c>
      <c r="D270" t="s">
        <v>9</v>
      </c>
      <c r="E270" t="s">
        <v>4155</v>
      </c>
      <c r="F270" t="s">
        <v>4148</v>
      </c>
      <c r="G270" t="s">
        <v>3762</v>
      </c>
      <c r="H270" t="s">
        <v>3789</v>
      </c>
      <c r="I270" t="s">
        <v>3790</v>
      </c>
      <c r="J270" t="s">
        <v>4558</v>
      </c>
      <c r="K270" t="s">
        <v>4717</v>
      </c>
      <c r="L270" t="s">
        <v>4582</v>
      </c>
      <c r="M270" t="s">
        <v>1442</v>
      </c>
      <c r="N270" t="s">
        <v>164</v>
      </c>
      <c r="O270" t="s">
        <v>3762</v>
      </c>
      <c r="P270" t="s">
        <v>3789</v>
      </c>
      <c r="Q270" t="s">
        <v>3790</v>
      </c>
      <c r="R270" t="s">
        <v>4558</v>
      </c>
      <c r="S270" t="s">
        <v>4717</v>
      </c>
      <c r="T270" t="s">
        <v>4138</v>
      </c>
      <c r="U270" t="s">
        <v>4139</v>
      </c>
      <c r="V270" t="s">
        <v>624</v>
      </c>
      <c r="W270" t="s">
        <v>4140</v>
      </c>
      <c r="X270" t="s">
        <v>4141</v>
      </c>
      <c r="Y270" t="s">
        <v>4142</v>
      </c>
      <c r="Z270" t="s">
        <v>4583</v>
      </c>
      <c r="AA270" t="s">
        <v>4584</v>
      </c>
      <c r="AB270" t="s">
        <v>624</v>
      </c>
      <c r="AC270" t="s">
        <v>6</v>
      </c>
      <c r="AD270" t="s">
        <v>50</v>
      </c>
      <c r="AE270" t="s">
        <v>6</v>
      </c>
      <c r="AF270" t="s">
        <v>9</v>
      </c>
      <c r="AG270" t="s">
        <v>9</v>
      </c>
      <c r="AH270" t="s">
        <v>100</v>
      </c>
      <c r="AI270" t="s">
        <v>4585</v>
      </c>
      <c r="AJ270" t="s">
        <v>100</v>
      </c>
      <c r="AK270" t="s">
        <v>4585</v>
      </c>
      <c r="AL270" t="s">
        <v>9</v>
      </c>
    </row>
    <row r="271" spans="1:38" ht="11.25" customHeight="1">
      <c r="A271" t="s">
        <v>9</v>
      </c>
      <c r="B271" t="s">
        <v>36</v>
      </c>
      <c r="C271" t="s">
        <v>38</v>
      </c>
      <c r="D271" t="s">
        <v>9</v>
      </c>
      <c r="E271" t="s">
        <v>1456</v>
      </c>
      <c r="F271" t="s">
        <v>1438</v>
      </c>
      <c r="G271" t="s">
        <v>3762</v>
      </c>
      <c r="H271" t="s">
        <v>3789</v>
      </c>
      <c r="I271" t="s">
        <v>3790</v>
      </c>
      <c r="J271" t="s">
        <v>4558</v>
      </c>
      <c r="K271" t="s">
        <v>4717</v>
      </c>
      <c r="L271" t="s">
        <v>4586</v>
      </c>
      <c r="M271" t="s">
        <v>1442</v>
      </c>
      <c r="N271" t="s">
        <v>164</v>
      </c>
      <c r="O271" t="s">
        <v>3762</v>
      </c>
      <c r="P271" t="s">
        <v>3789</v>
      </c>
      <c r="Q271" t="s">
        <v>3790</v>
      </c>
      <c r="R271" t="s">
        <v>4558</v>
      </c>
      <c r="S271" t="s">
        <v>4717</v>
      </c>
      <c r="T271" t="s">
        <v>4138</v>
      </c>
      <c r="U271" t="s">
        <v>4139</v>
      </c>
      <c r="V271" t="s">
        <v>624</v>
      </c>
      <c r="W271" t="s">
        <v>4140</v>
      </c>
      <c r="X271" t="s">
        <v>4141</v>
      </c>
      <c r="Y271" t="s">
        <v>4142</v>
      </c>
      <c r="Z271" t="s">
        <v>4587</v>
      </c>
      <c r="AA271" t="s">
        <v>4588</v>
      </c>
      <c r="AB271" t="s">
        <v>624</v>
      </c>
      <c r="AC271" t="s">
        <v>50</v>
      </c>
      <c r="AD271" t="s">
        <v>50</v>
      </c>
      <c r="AE271" t="s">
        <v>50</v>
      </c>
      <c r="AF271" t="s">
        <v>1223</v>
      </c>
      <c r="AG271" t="s">
        <v>4589</v>
      </c>
      <c r="AH271" t="s">
        <v>1223</v>
      </c>
      <c r="AI271" t="s">
        <v>4589</v>
      </c>
      <c r="AJ271" t="s">
        <v>1223</v>
      </c>
      <c r="AK271" t="s">
        <v>4589</v>
      </c>
      <c r="AL271" t="s">
        <v>4146</v>
      </c>
    </row>
    <row r="272" spans="1:38" ht="11.25" customHeight="1">
      <c r="A272" t="s">
        <v>9</v>
      </c>
      <c r="B272" t="s">
        <v>36</v>
      </c>
      <c r="C272" t="s">
        <v>38</v>
      </c>
      <c r="D272" t="s">
        <v>9</v>
      </c>
      <c r="E272" t="s">
        <v>4196</v>
      </c>
      <c r="F272" t="s">
        <v>4148</v>
      </c>
      <c r="G272" t="s">
        <v>3762</v>
      </c>
      <c r="H272" t="s">
        <v>3789</v>
      </c>
      <c r="I272" t="s">
        <v>3790</v>
      </c>
      <c r="J272" t="s">
        <v>4558</v>
      </c>
      <c r="K272" t="s">
        <v>4717</v>
      </c>
      <c r="L272" t="s">
        <v>4586</v>
      </c>
      <c r="M272" t="s">
        <v>1442</v>
      </c>
      <c r="N272" t="s">
        <v>164</v>
      </c>
      <c r="O272" t="s">
        <v>3762</v>
      </c>
      <c r="P272" t="s">
        <v>3789</v>
      </c>
      <c r="Q272" t="s">
        <v>3790</v>
      </c>
      <c r="R272" t="s">
        <v>4558</v>
      </c>
      <c r="S272" t="s">
        <v>4717</v>
      </c>
      <c r="T272" t="s">
        <v>4138</v>
      </c>
      <c r="U272" t="s">
        <v>4139</v>
      </c>
      <c r="V272" t="s">
        <v>624</v>
      </c>
      <c r="W272" t="s">
        <v>4140</v>
      </c>
      <c r="X272" t="s">
        <v>4141</v>
      </c>
      <c r="Y272" t="s">
        <v>4142</v>
      </c>
      <c r="Z272" t="s">
        <v>4587</v>
      </c>
      <c r="AA272" t="s">
        <v>4588</v>
      </c>
      <c r="AB272" t="s">
        <v>624</v>
      </c>
      <c r="AC272" t="s">
        <v>6</v>
      </c>
      <c r="AD272" t="s">
        <v>50</v>
      </c>
      <c r="AE272" t="s">
        <v>6</v>
      </c>
      <c r="AF272" t="s">
        <v>9</v>
      </c>
      <c r="AG272" t="s">
        <v>9</v>
      </c>
      <c r="AH272" t="s">
        <v>1223</v>
      </c>
      <c r="AI272" t="s">
        <v>4589</v>
      </c>
      <c r="AJ272" t="s">
        <v>1223</v>
      </c>
      <c r="AK272" t="s">
        <v>4589</v>
      </c>
      <c r="AL272" t="s">
        <v>9</v>
      </c>
    </row>
    <row r="273" spans="1:38" ht="11.25" customHeight="1">
      <c r="A273" t="s">
        <v>9</v>
      </c>
      <c r="B273" t="s">
        <v>36</v>
      </c>
      <c r="C273" t="s">
        <v>38</v>
      </c>
      <c r="D273" t="s">
        <v>9</v>
      </c>
      <c r="E273" t="s">
        <v>4590</v>
      </c>
      <c r="F273" t="s">
        <v>1438</v>
      </c>
      <c r="G273" t="s">
        <v>3762</v>
      </c>
      <c r="H273" t="s">
        <v>3789</v>
      </c>
      <c r="I273" t="s">
        <v>3790</v>
      </c>
      <c r="J273" t="s">
        <v>4558</v>
      </c>
      <c r="K273" t="s">
        <v>4717</v>
      </c>
      <c r="L273" t="s">
        <v>4591</v>
      </c>
      <c r="M273" t="s">
        <v>1442</v>
      </c>
      <c r="N273" t="s">
        <v>164</v>
      </c>
      <c r="O273" t="s">
        <v>3762</v>
      </c>
      <c r="P273" t="s">
        <v>3789</v>
      </c>
      <c r="Q273" t="s">
        <v>3790</v>
      </c>
      <c r="R273" t="s">
        <v>4558</v>
      </c>
      <c r="S273" t="s">
        <v>4717</v>
      </c>
      <c r="T273" t="s">
        <v>4165</v>
      </c>
      <c r="U273" t="s">
        <v>4166</v>
      </c>
      <c r="V273" t="s">
        <v>624</v>
      </c>
      <c r="W273" t="s">
        <v>4140</v>
      </c>
      <c r="X273" t="s">
        <v>4167</v>
      </c>
      <c r="Y273" t="s">
        <v>4168</v>
      </c>
      <c r="Z273" t="s">
        <v>4313</v>
      </c>
      <c r="AA273" t="s">
        <v>4592</v>
      </c>
      <c r="AB273" t="s">
        <v>624</v>
      </c>
      <c r="AC273" t="s">
        <v>50</v>
      </c>
      <c r="AD273" t="s">
        <v>50</v>
      </c>
      <c r="AE273" t="s">
        <v>50</v>
      </c>
      <c r="AF273" t="s">
        <v>89</v>
      </c>
      <c r="AG273" t="s">
        <v>4593</v>
      </c>
      <c r="AH273" t="s">
        <v>89</v>
      </c>
      <c r="AI273" t="s">
        <v>4593</v>
      </c>
      <c r="AJ273" t="s">
        <v>89</v>
      </c>
      <c r="AK273" t="s">
        <v>4593</v>
      </c>
      <c r="AL273" t="s">
        <v>4146</v>
      </c>
    </row>
    <row r="274" spans="1:38" ht="11.25" customHeight="1">
      <c r="A274" t="s">
        <v>9</v>
      </c>
      <c r="B274" t="s">
        <v>36</v>
      </c>
      <c r="C274" t="s">
        <v>38</v>
      </c>
      <c r="D274" t="s">
        <v>9</v>
      </c>
      <c r="E274" t="s">
        <v>4594</v>
      </c>
      <c r="F274" t="s">
        <v>1438</v>
      </c>
      <c r="G274" t="s">
        <v>3762</v>
      </c>
      <c r="H274" t="s">
        <v>3789</v>
      </c>
      <c r="I274" t="s">
        <v>3790</v>
      </c>
      <c r="J274" t="s">
        <v>4558</v>
      </c>
      <c r="K274" t="s">
        <v>4717</v>
      </c>
      <c r="L274" t="s">
        <v>4595</v>
      </c>
      <c r="M274" t="s">
        <v>4596</v>
      </c>
      <c r="N274" t="s">
        <v>164</v>
      </c>
      <c r="O274" t="s">
        <v>3762</v>
      </c>
      <c r="P274" t="s">
        <v>3789</v>
      </c>
      <c r="Q274" t="s">
        <v>3790</v>
      </c>
      <c r="R274" t="s">
        <v>4558</v>
      </c>
      <c r="S274" t="s">
        <v>4717</v>
      </c>
      <c r="T274" t="s">
        <v>4165</v>
      </c>
      <c r="U274" t="s">
        <v>4166</v>
      </c>
      <c r="V274" t="s">
        <v>624</v>
      </c>
      <c r="W274" t="s">
        <v>4140</v>
      </c>
      <c r="X274" t="s">
        <v>4167</v>
      </c>
      <c r="Y274" t="s">
        <v>4168</v>
      </c>
      <c r="Z274" t="s">
        <v>4597</v>
      </c>
      <c r="AA274" t="s">
        <v>4598</v>
      </c>
      <c r="AB274" t="s">
        <v>624</v>
      </c>
      <c r="AC274" t="s">
        <v>50</v>
      </c>
      <c r="AD274" t="s">
        <v>50</v>
      </c>
      <c r="AE274" t="s">
        <v>50</v>
      </c>
      <c r="AF274" t="s">
        <v>1223</v>
      </c>
      <c r="AG274" t="s">
        <v>4599</v>
      </c>
      <c r="AH274" t="s">
        <v>1223</v>
      </c>
      <c r="AI274" t="s">
        <v>4600</v>
      </c>
      <c r="AJ274" t="s">
        <v>1223</v>
      </c>
      <c r="AK274" t="s">
        <v>4600</v>
      </c>
      <c r="AL274" t="s">
        <v>4146</v>
      </c>
    </row>
    <row r="275" spans="1:38" ht="11.25" customHeight="1">
      <c r="A275" t="s">
        <v>9</v>
      </c>
      <c r="B275" t="s">
        <v>36</v>
      </c>
      <c r="C275" t="s">
        <v>38</v>
      </c>
      <c r="D275" t="s">
        <v>9</v>
      </c>
      <c r="E275" t="s">
        <v>4601</v>
      </c>
      <c r="F275" t="s">
        <v>1438</v>
      </c>
      <c r="G275" t="s">
        <v>3762</v>
      </c>
      <c r="H275" t="s">
        <v>3789</v>
      </c>
      <c r="I275" t="s">
        <v>3790</v>
      </c>
      <c r="J275" t="s">
        <v>4558</v>
      </c>
      <c r="K275" t="s">
        <v>4717</v>
      </c>
      <c r="L275" t="s">
        <v>4602</v>
      </c>
      <c r="M275" t="s">
        <v>4603</v>
      </c>
      <c r="N275" t="s">
        <v>164</v>
      </c>
      <c r="O275" t="s">
        <v>3762</v>
      </c>
      <c r="P275" t="s">
        <v>3789</v>
      </c>
      <c r="Q275" t="s">
        <v>3790</v>
      </c>
      <c r="R275" t="s">
        <v>4558</v>
      </c>
      <c r="S275" t="s">
        <v>4717</v>
      </c>
      <c r="T275" t="s">
        <v>4165</v>
      </c>
      <c r="U275" t="s">
        <v>4166</v>
      </c>
      <c r="V275" t="s">
        <v>624</v>
      </c>
      <c r="W275" t="s">
        <v>4140</v>
      </c>
      <c r="X275" t="s">
        <v>4167</v>
      </c>
      <c r="Y275" t="s">
        <v>4168</v>
      </c>
      <c r="Z275" t="s">
        <v>4604</v>
      </c>
      <c r="AA275" t="s">
        <v>4605</v>
      </c>
      <c r="AB275" t="s">
        <v>624</v>
      </c>
      <c r="AC275" t="s">
        <v>50</v>
      </c>
      <c r="AD275" t="s">
        <v>50</v>
      </c>
      <c r="AE275" t="s">
        <v>50</v>
      </c>
      <c r="AF275" t="s">
        <v>4606</v>
      </c>
      <c r="AG275" t="s">
        <v>4607</v>
      </c>
      <c r="AH275" t="s">
        <v>4606</v>
      </c>
      <c r="AI275" t="s">
        <v>4608</v>
      </c>
      <c r="AJ275" t="s">
        <v>4606</v>
      </c>
      <c r="AK275" t="s">
        <v>4608</v>
      </c>
      <c r="AL275" t="s">
        <v>4146</v>
      </c>
    </row>
    <row r="276" spans="1:38" ht="11.25" customHeight="1">
      <c r="A276" t="s">
        <v>9</v>
      </c>
      <c r="B276" t="s">
        <v>36</v>
      </c>
      <c r="C276" t="s">
        <v>38</v>
      </c>
      <c r="D276" t="s">
        <v>9</v>
      </c>
      <c r="E276" t="s">
        <v>4609</v>
      </c>
      <c r="F276" t="s">
        <v>4148</v>
      </c>
      <c r="G276" t="s">
        <v>3762</v>
      </c>
      <c r="H276" t="s">
        <v>3789</v>
      </c>
      <c r="I276" t="s">
        <v>3790</v>
      </c>
      <c r="J276" t="s">
        <v>4558</v>
      </c>
      <c r="K276" t="s">
        <v>4717</v>
      </c>
      <c r="L276" t="s">
        <v>4602</v>
      </c>
      <c r="M276" t="s">
        <v>4603</v>
      </c>
      <c r="N276" t="s">
        <v>164</v>
      </c>
      <c r="O276" t="s">
        <v>3762</v>
      </c>
      <c r="P276" t="s">
        <v>3789</v>
      </c>
      <c r="Q276" t="s">
        <v>3790</v>
      </c>
      <c r="R276" t="s">
        <v>4558</v>
      </c>
      <c r="S276" t="s">
        <v>4717</v>
      </c>
      <c r="T276" t="s">
        <v>4165</v>
      </c>
      <c r="U276" t="s">
        <v>4166</v>
      </c>
      <c r="V276" t="s">
        <v>624</v>
      </c>
      <c r="W276" t="s">
        <v>4140</v>
      </c>
      <c r="X276" t="s">
        <v>4167</v>
      </c>
      <c r="Y276" t="s">
        <v>4168</v>
      </c>
      <c r="Z276" t="s">
        <v>4604</v>
      </c>
      <c r="AA276" t="s">
        <v>4605</v>
      </c>
      <c r="AB276" t="s">
        <v>624</v>
      </c>
      <c r="AC276" t="s">
        <v>6</v>
      </c>
      <c r="AD276" t="s">
        <v>50</v>
      </c>
      <c r="AE276" t="s">
        <v>6</v>
      </c>
      <c r="AF276" t="s">
        <v>9</v>
      </c>
      <c r="AG276" t="s">
        <v>9</v>
      </c>
      <c r="AH276" t="s">
        <v>4606</v>
      </c>
      <c r="AI276" t="s">
        <v>4608</v>
      </c>
      <c r="AJ276" t="s">
        <v>4606</v>
      </c>
      <c r="AK276" t="s">
        <v>4608</v>
      </c>
      <c r="AL276" t="s">
        <v>9</v>
      </c>
    </row>
    <row r="277" spans="1:38" ht="11.25" customHeight="1">
      <c r="A277" t="s">
        <v>9</v>
      </c>
      <c r="B277" t="s">
        <v>36</v>
      </c>
      <c r="C277" t="s">
        <v>38</v>
      </c>
      <c r="D277" t="s">
        <v>9</v>
      </c>
      <c r="E277" t="s">
        <v>4610</v>
      </c>
      <c r="F277" t="s">
        <v>4148</v>
      </c>
      <c r="G277" t="s">
        <v>3762</v>
      </c>
      <c r="H277" t="s">
        <v>3789</v>
      </c>
      <c r="I277" t="s">
        <v>3790</v>
      </c>
      <c r="J277" t="s">
        <v>4558</v>
      </c>
      <c r="K277" t="s">
        <v>4717</v>
      </c>
      <c r="L277" t="s">
        <v>4602</v>
      </c>
      <c r="M277" t="s">
        <v>4611</v>
      </c>
      <c r="N277" t="s">
        <v>164</v>
      </c>
      <c r="O277" t="s">
        <v>3762</v>
      </c>
      <c r="P277" t="s">
        <v>3789</v>
      </c>
      <c r="Q277" t="s">
        <v>3790</v>
      </c>
      <c r="R277" t="s">
        <v>4558</v>
      </c>
      <c r="S277" t="s">
        <v>4717</v>
      </c>
      <c r="T277" t="s">
        <v>4165</v>
      </c>
      <c r="U277" t="s">
        <v>4166</v>
      </c>
      <c r="V277" t="s">
        <v>624</v>
      </c>
      <c r="W277" t="s">
        <v>4140</v>
      </c>
      <c r="X277" t="s">
        <v>4167</v>
      </c>
      <c r="Y277" t="s">
        <v>4168</v>
      </c>
      <c r="Z277" t="s">
        <v>4604</v>
      </c>
      <c r="AA277" t="s">
        <v>4605</v>
      </c>
      <c r="AB277" t="s">
        <v>624</v>
      </c>
      <c r="AC277" t="s">
        <v>6</v>
      </c>
      <c r="AD277" t="s">
        <v>50</v>
      </c>
      <c r="AE277" t="s">
        <v>6</v>
      </c>
      <c r="AF277" t="s">
        <v>9</v>
      </c>
      <c r="AG277" t="s">
        <v>9</v>
      </c>
      <c r="AH277" t="s">
        <v>4606</v>
      </c>
      <c r="AI277" t="s">
        <v>4608</v>
      </c>
      <c r="AJ277" t="s">
        <v>4606</v>
      </c>
      <c r="AK277" t="s">
        <v>4608</v>
      </c>
      <c r="AL277" t="s">
        <v>9</v>
      </c>
    </row>
    <row r="278" spans="1:38" ht="11.25" customHeight="1">
      <c r="A278" t="s">
        <v>9</v>
      </c>
      <c r="B278" t="s">
        <v>36</v>
      </c>
      <c r="C278" t="s">
        <v>38</v>
      </c>
      <c r="D278" t="s">
        <v>9</v>
      </c>
      <c r="E278" t="s">
        <v>1500</v>
      </c>
      <c r="F278" t="s">
        <v>1438</v>
      </c>
      <c r="G278" t="s">
        <v>3762</v>
      </c>
      <c r="H278" t="s">
        <v>3789</v>
      </c>
      <c r="I278" t="s">
        <v>3790</v>
      </c>
      <c r="J278" t="s">
        <v>4558</v>
      </c>
      <c r="K278" t="s">
        <v>4717</v>
      </c>
      <c r="L278" t="s">
        <v>4612</v>
      </c>
      <c r="M278" t="s">
        <v>1442</v>
      </c>
      <c r="N278" t="s">
        <v>164</v>
      </c>
      <c r="O278" t="s">
        <v>3762</v>
      </c>
      <c r="P278" t="s">
        <v>3789</v>
      </c>
      <c r="Q278" t="s">
        <v>3790</v>
      </c>
      <c r="R278" t="s">
        <v>4558</v>
      </c>
      <c r="S278" t="s">
        <v>4717</v>
      </c>
      <c r="T278" t="s">
        <v>4138</v>
      </c>
      <c r="U278" t="s">
        <v>4139</v>
      </c>
      <c r="V278" t="s">
        <v>624</v>
      </c>
      <c r="W278" t="s">
        <v>4140</v>
      </c>
      <c r="X278" t="s">
        <v>4141</v>
      </c>
      <c r="Y278" t="s">
        <v>4142</v>
      </c>
      <c r="Z278" t="s">
        <v>4613</v>
      </c>
      <c r="AA278" t="s">
        <v>4567</v>
      </c>
      <c r="AB278" t="s">
        <v>624</v>
      </c>
      <c r="AC278" t="s">
        <v>50</v>
      </c>
      <c r="AD278" t="s">
        <v>50</v>
      </c>
      <c r="AE278" t="s">
        <v>50</v>
      </c>
      <c r="AF278" t="s">
        <v>1548</v>
      </c>
      <c r="AG278" t="s">
        <v>4614</v>
      </c>
      <c r="AH278" t="s">
        <v>1548</v>
      </c>
      <c r="AI278" t="s">
        <v>4614</v>
      </c>
      <c r="AJ278" t="s">
        <v>1548</v>
      </c>
      <c r="AK278" t="s">
        <v>4614</v>
      </c>
      <c r="AL278" t="s">
        <v>4146</v>
      </c>
    </row>
    <row r="279" spans="1:38" ht="11.25" customHeight="1">
      <c r="A279" t="s">
        <v>9</v>
      </c>
      <c r="B279" t="s">
        <v>36</v>
      </c>
      <c r="C279" t="s">
        <v>38</v>
      </c>
      <c r="D279" t="s">
        <v>9</v>
      </c>
      <c r="E279" t="s">
        <v>4201</v>
      </c>
      <c r="F279" t="s">
        <v>4148</v>
      </c>
      <c r="G279" t="s">
        <v>3762</v>
      </c>
      <c r="H279" t="s">
        <v>3789</v>
      </c>
      <c r="I279" t="s">
        <v>3790</v>
      </c>
      <c r="J279" t="s">
        <v>4558</v>
      </c>
      <c r="K279" t="s">
        <v>4717</v>
      </c>
      <c r="L279" t="s">
        <v>4612</v>
      </c>
      <c r="M279" t="s">
        <v>1442</v>
      </c>
      <c r="N279" t="s">
        <v>164</v>
      </c>
      <c r="O279" t="s">
        <v>3762</v>
      </c>
      <c r="P279" t="s">
        <v>3789</v>
      </c>
      <c r="Q279" t="s">
        <v>3790</v>
      </c>
      <c r="R279" t="s">
        <v>4558</v>
      </c>
      <c r="S279" t="s">
        <v>4717</v>
      </c>
      <c r="T279" t="s">
        <v>4138</v>
      </c>
      <c r="U279" t="s">
        <v>4139</v>
      </c>
      <c r="V279" t="s">
        <v>624</v>
      </c>
      <c r="W279" t="s">
        <v>4140</v>
      </c>
      <c r="X279" t="s">
        <v>4141</v>
      </c>
      <c r="Y279" t="s">
        <v>4142</v>
      </c>
      <c r="Z279" t="s">
        <v>4613</v>
      </c>
      <c r="AA279" t="s">
        <v>4567</v>
      </c>
      <c r="AB279" t="s">
        <v>624</v>
      </c>
      <c r="AC279" t="s">
        <v>6</v>
      </c>
      <c r="AD279" t="s">
        <v>50</v>
      </c>
      <c r="AE279" t="s">
        <v>6</v>
      </c>
      <c r="AF279" t="s">
        <v>9</v>
      </c>
      <c r="AG279" t="s">
        <v>9</v>
      </c>
      <c r="AH279" t="s">
        <v>1548</v>
      </c>
      <c r="AI279" t="s">
        <v>4614</v>
      </c>
      <c r="AJ279" t="s">
        <v>1548</v>
      </c>
      <c r="AK279" t="s">
        <v>4614</v>
      </c>
      <c r="AL279" t="s">
        <v>9</v>
      </c>
    </row>
    <row r="280" spans="1:38" ht="11.25" customHeight="1">
      <c r="A280" t="s">
        <v>9</v>
      </c>
      <c r="B280" t="s">
        <v>36</v>
      </c>
      <c r="C280" t="s">
        <v>38</v>
      </c>
      <c r="D280" t="s">
        <v>9</v>
      </c>
      <c r="E280" t="s">
        <v>4253</v>
      </c>
      <c r="F280" t="s">
        <v>4148</v>
      </c>
      <c r="G280" t="s">
        <v>3762</v>
      </c>
      <c r="H280" t="s">
        <v>3789</v>
      </c>
      <c r="I280" t="s">
        <v>3790</v>
      </c>
      <c r="J280" t="s">
        <v>4558</v>
      </c>
      <c r="K280" t="s">
        <v>4717</v>
      </c>
      <c r="L280" t="s">
        <v>4615</v>
      </c>
      <c r="M280" t="s">
        <v>1442</v>
      </c>
      <c r="N280" t="s">
        <v>164</v>
      </c>
      <c r="O280" t="s">
        <v>3762</v>
      </c>
      <c r="P280" t="s">
        <v>3789</v>
      </c>
      <c r="Q280" t="s">
        <v>3790</v>
      </c>
      <c r="R280" t="s">
        <v>4558</v>
      </c>
      <c r="S280" t="s">
        <v>4717</v>
      </c>
      <c r="T280" t="s">
        <v>4138</v>
      </c>
      <c r="U280" t="s">
        <v>4139</v>
      </c>
      <c r="V280" t="s">
        <v>624</v>
      </c>
      <c r="W280" t="s">
        <v>4140</v>
      </c>
      <c r="X280" t="s">
        <v>4141</v>
      </c>
      <c r="Y280" t="s">
        <v>4142</v>
      </c>
      <c r="Z280" t="s">
        <v>4616</v>
      </c>
      <c r="AA280" t="s">
        <v>4617</v>
      </c>
      <c r="AB280" t="s">
        <v>624</v>
      </c>
      <c r="AC280" t="s">
        <v>6</v>
      </c>
      <c r="AD280" t="s">
        <v>50</v>
      </c>
      <c r="AE280" t="s">
        <v>6</v>
      </c>
      <c r="AF280" t="s">
        <v>9</v>
      </c>
      <c r="AG280" t="s">
        <v>9</v>
      </c>
      <c r="AH280" t="s">
        <v>114</v>
      </c>
      <c r="AI280" t="s">
        <v>4618</v>
      </c>
      <c r="AJ280" t="s">
        <v>114</v>
      </c>
      <c r="AK280" t="s">
        <v>4618</v>
      </c>
      <c r="AL280" t="s">
        <v>9</v>
      </c>
    </row>
    <row r="281" spans="1:38" ht="11.25" customHeight="1">
      <c r="A281" t="s">
        <v>9</v>
      </c>
      <c r="B281" t="s">
        <v>36</v>
      </c>
      <c r="C281" t="s">
        <v>38</v>
      </c>
      <c r="D281" t="s">
        <v>9</v>
      </c>
      <c r="E281" t="s">
        <v>4202</v>
      </c>
      <c r="F281" t="s">
        <v>1438</v>
      </c>
      <c r="G281" t="s">
        <v>3762</v>
      </c>
      <c r="H281" t="s">
        <v>3789</v>
      </c>
      <c r="I281" t="s">
        <v>3790</v>
      </c>
      <c r="J281" t="s">
        <v>4558</v>
      </c>
      <c r="K281" t="s">
        <v>4717</v>
      </c>
      <c r="L281" t="s">
        <v>4619</v>
      </c>
      <c r="M281" t="s">
        <v>1442</v>
      </c>
      <c r="N281" t="s">
        <v>164</v>
      </c>
      <c r="O281" t="s">
        <v>3762</v>
      </c>
      <c r="P281" t="s">
        <v>3789</v>
      </c>
      <c r="Q281" t="s">
        <v>3790</v>
      </c>
      <c r="R281" t="s">
        <v>4558</v>
      </c>
      <c r="S281" t="s">
        <v>4717</v>
      </c>
      <c r="T281" t="s">
        <v>4138</v>
      </c>
      <c r="U281" t="s">
        <v>4139</v>
      </c>
      <c r="V281" t="s">
        <v>624</v>
      </c>
      <c r="W281" t="s">
        <v>4140</v>
      </c>
      <c r="X281" t="s">
        <v>4141</v>
      </c>
      <c r="Y281" t="s">
        <v>4142</v>
      </c>
      <c r="Z281" t="s">
        <v>4620</v>
      </c>
      <c r="AA281" t="s">
        <v>4571</v>
      </c>
      <c r="AB281" t="s">
        <v>624</v>
      </c>
      <c r="AC281" t="s">
        <v>50</v>
      </c>
      <c r="AD281" t="s">
        <v>50</v>
      </c>
      <c r="AE281" t="s">
        <v>50</v>
      </c>
      <c r="AF281" t="s">
        <v>4315</v>
      </c>
      <c r="AG281" t="s">
        <v>4621</v>
      </c>
      <c r="AH281" t="s">
        <v>4315</v>
      </c>
      <c r="AI281" t="s">
        <v>4621</v>
      </c>
      <c r="AJ281" t="s">
        <v>4315</v>
      </c>
      <c r="AK281" t="s">
        <v>4621</v>
      </c>
      <c r="AL281" t="s">
        <v>4146</v>
      </c>
    </row>
    <row r="282" spans="1:38" ht="11.25" customHeight="1">
      <c r="A282" t="s">
        <v>9</v>
      </c>
      <c r="B282" t="s">
        <v>36</v>
      </c>
      <c r="C282" t="s">
        <v>38</v>
      </c>
      <c r="D282" t="s">
        <v>9</v>
      </c>
      <c r="E282" t="s">
        <v>4622</v>
      </c>
      <c r="F282" t="s">
        <v>4148</v>
      </c>
      <c r="G282" t="s">
        <v>3762</v>
      </c>
      <c r="H282" t="s">
        <v>3789</v>
      </c>
      <c r="I282" t="s">
        <v>3790</v>
      </c>
      <c r="J282" t="s">
        <v>4558</v>
      </c>
      <c r="K282" t="s">
        <v>4717</v>
      </c>
      <c r="L282" t="s">
        <v>4619</v>
      </c>
      <c r="M282" t="s">
        <v>1442</v>
      </c>
      <c r="N282" t="s">
        <v>164</v>
      </c>
      <c r="O282" t="s">
        <v>3762</v>
      </c>
      <c r="P282" t="s">
        <v>3789</v>
      </c>
      <c r="Q282" t="s">
        <v>3790</v>
      </c>
      <c r="R282" t="s">
        <v>4558</v>
      </c>
      <c r="S282" t="s">
        <v>4717</v>
      </c>
      <c r="T282" t="s">
        <v>4138</v>
      </c>
      <c r="U282" t="s">
        <v>4139</v>
      </c>
      <c r="V282" t="s">
        <v>624</v>
      </c>
      <c r="W282" t="s">
        <v>4140</v>
      </c>
      <c r="X282" t="s">
        <v>4141</v>
      </c>
      <c r="Y282" t="s">
        <v>4142</v>
      </c>
      <c r="Z282" t="s">
        <v>4620</v>
      </c>
      <c r="AA282" t="s">
        <v>4571</v>
      </c>
      <c r="AB282" t="s">
        <v>624</v>
      </c>
      <c r="AC282" t="s">
        <v>6</v>
      </c>
      <c r="AD282" t="s">
        <v>50</v>
      </c>
      <c r="AE282" t="s">
        <v>6</v>
      </c>
      <c r="AF282" t="s">
        <v>9</v>
      </c>
      <c r="AG282" t="s">
        <v>9</v>
      </c>
      <c r="AH282" t="s">
        <v>4315</v>
      </c>
      <c r="AI282" t="s">
        <v>4621</v>
      </c>
      <c r="AJ282" t="s">
        <v>4315</v>
      </c>
      <c r="AK282" t="s">
        <v>4621</v>
      </c>
      <c r="AL282" t="s">
        <v>9</v>
      </c>
    </row>
    <row r="283" spans="1:38" ht="11.25" customHeight="1">
      <c r="A283" t="s">
        <v>9</v>
      </c>
      <c r="B283" t="s">
        <v>36</v>
      </c>
      <c r="C283" t="s">
        <v>38</v>
      </c>
      <c r="D283" t="s">
        <v>9</v>
      </c>
      <c r="E283" t="s">
        <v>1467</v>
      </c>
      <c r="F283" t="s">
        <v>1438</v>
      </c>
      <c r="G283" t="s">
        <v>3762</v>
      </c>
      <c r="H283" t="s">
        <v>3789</v>
      </c>
      <c r="I283" t="s">
        <v>3790</v>
      </c>
      <c r="J283" t="s">
        <v>4558</v>
      </c>
      <c r="K283" t="s">
        <v>4717</v>
      </c>
      <c r="L283" t="s">
        <v>4623</v>
      </c>
      <c r="M283" t="s">
        <v>1442</v>
      </c>
      <c r="N283" t="s">
        <v>164</v>
      </c>
      <c r="O283" t="s">
        <v>3762</v>
      </c>
      <c r="P283" t="s">
        <v>3789</v>
      </c>
      <c r="Q283" t="s">
        <v>3790</v>
      </c>
      <c r="R283" t="s">
        <v>4558</v>
      </c>
      <c r="S283" t="s">
        <v>4717</v>
      </c>
      <c r="T283" t="s">
        <v>4138</v>
      </c>
      <c r="U283" t="s">
        <v>4139</v>
      </c>
      <c r="V283" t="s">
        <v>624</v>
      </c>
      <c r="W283" t="s">
        <v>4140</v>
      </c>
      <c r="X283" t="s">
        <v>4141</v>
      </c>
      <c r="Y283" t="s">
        <v>4142</v>
      </c>
      <c r="Z283" t="s">
        <v>4624</v>
      </c>
      <c r="AA283" t="s">
        <v>4567</v>
      </c>
      <c r="AB283" t="s">
        <v>624</v>
      </c>
      <c r="AC283" t="s">
        <v>50</v>
      </c>
      <c r="AD283" t="s">
        <v>50</v>
      </c>
      <c r="AE283" t="s">
        <v>50</v>
      </c>
      <c r="AF283" t="s">
        <v>4625</v>
      </c>
      <c r="AG283" t="s">
        <v>4626</v>
      </c>
      <c r="AH283" t="s">
        <v>4625</v>
      </c>
      <c r="AI283" t="s">
        <v>4626</v>
      </c>
      <c r="AJ283" t="s">
        <v>4625</v>
      </c>
      <c r="AK283" t="s">
        <v>4626</v>
      </c>
      <c r="AL283" t="s">
        <v>4146</v>
      </c>
    </row>
    <row r="284" spans="1:38" ht="11.25" customHeight="1">
      <c r="A284" t="s">
        <v>9</v>
      </c>
      <c r="B284" t="s">
        <v>36</v>
      </c>
      <c r="C284" t="s">
        <v>38</v>
      </c>
      <c r="D284" t="s">
        <v>9</v>
      </c>
      <c r="E284" t="s">
        <v>4214</v>
      </c>
      <c r="F284" t="s">
        <v>4148</v>
      </c>
      <c r="G284" t="s">
        <v>3762</v>
      </c>
      <c r="H284" t="s">
        <v>3789</v>
      </c>
      <c r="I284" t="s">
        <v>3790</v>
      </c>
      <c r="J284" t="s">
        <v>4558</v>
      </c>
      <c r="K284" t="s">
        <v>4717</v>
      </c>
      <c r="L284" t="s">
        <v>4623</v>
      </c>
      <c r="M284" t="s">
        <v>1442</v>
      </c>
      <c r="N284" t="s">
        <v>164</v>
      </c>
      <c r="O284" t="s">
        <v>3762</v>
      </c>
      <c r="P284" t="s">
        <v>3789</v>
      </c>
      <c r="Q284" t="s">
        <v>3790</v>
      </c>
      <c r="R284" t="s">
        <v>4558</v>
      </c>
      <c r="S284" t="s">
        <v>4717</v>
      </c>
      <c r="T284" t="s">
        <v>4138</v>
      </c>
      <c r="U284" t="s">
        <v>4139</v>
      </c>
      <c r="V284" t="s">
        <v>624</v>
      </c>
      <c r="W284" t="s">
        <v>4140</v>
      </c>
      <c r="X284" t="s">
        <v>4141</v>
      </c>
      <c r="Y284" t="s">
        <v>4142</v>
      </c>
      <c r="Z284" t="s">
        <v>4624</v>
      </c>
      <c r="AA284" t="s">
        <v>4567</v>
      </c>
      <c r="AB284" t="s">
        <v>624</v>
      </c>
      <c r="AC284" t="s">
        <v>6</v>
      </c>
      <c r="AD284" t="s">
        <v>50</v>
      </c>
      <c r="AE284" t="s">
        <v>6</v>
      </c>
      <c r="AF284" t="s">
        <v>9</v>
      </c>
      <c r="AG284" t="s">
        <v>9</v>
      </c>
      <c r="AH284" t="s">
        <v>4625</v>
      </c>
      <c r="AI284" t="s">
        <v>4626</v>
      </c>
      <c r="AJ284" t="s">
        <v>4625</v>
      </c>
      <c r="AK284" t="s">
        <v>4626</v>
      </c>
      <c r="AL284" t="s">
        <v>9</v>
      </c>
    </row>
    <row r="285" spans="1:38" ht="11.25" customHeight="1">
      <c r="A285" t="s">
        <v>9</v>
      </c>
      <c r="B285" t="s">
        <v>36</v>
      </c>
      <c r="C285" t="s">
        <v>38</v>
      </c>
      <c r="D285" t="s">
        <v>9</v>
      </c>
      <c r="E285" t="s">
        <v>1461</v>
      </c>
      <c r="F285" t="s">
        <v>1438</v>
      </c>
      <c r="G285" t="s">
        <v>3762</v>
      </c>
      <c r="H285" t="s">
        <v>3789</v>
      </c>
      <c r="I285" t="s">
        <v>3790</v>
      </c>
      <c r="J285" t="s">
        <v>4558</v>
      </c>
      <c r="K285" t="s">
        <v>4717</v>
      </c>
      <c r="L285" t="s">
        <v>4627</v>
      </c>
      <c r="M285" t="s">
        <v>1442</v>
      </c>
      <c r="N285" t="s">
        <v>164</v>
      </c>
      <c r="O285" t="s">
        <v>3762</v>
      </c>
      <c r="P285" t="s">
        <v>3789</v>
      </c>
      <c r="Q285" t="s">
        <v>3790</v>
      </c>
      <c r="R285" t="s">
        <v>4558</v>
      </c>
      <c r="S285" t="s">
        <v>4717</v>
      </c>
      <c r="T285" t="s">
        <v>4138</v>
      </c>
      <c r="U285" t="s">
        <v>4139</v>
      </c>
      <c r="V285" t="s">
        <v>624</v>
      </c>
      <c r="W285" t="s">
        <v>4140</v>
      </c>
      <c r="X285" t="s">
        <v>4141</v>
      </c>
      <c r="Y285" t="s">
        <v>4142</v>
      </c>
      <c r="Z285" t="s">
        <v>4628</v>
      </c>
      <c r="AA285" t="s">
        <v>4567</v>
      </c>
      <c r="AB285" t="s">
        <v>624</v>
      </c>
      <c r="AC285" t="s">
        <v>50</v>
      </c>
      <c r="AD285" t="s">
        <v>50</v>
      </c>
      <c r="AE285" t="s">
        <v>50</v>
      </c>
      <c r="AF285" t="s">
        <v>164</v>
      </c>
      <c r="AG285" t="s">
        <v>4629</v>
      </c>
      <c r="AH285" t="s">
        <v>164</v>
      </c>
      <c r="AI285" t="s">
        <v>4629</v>
      </c>
      <c r="AJ285" t="s">
        <v>164</v>
      </c>
      <c r="AK285" t="s">
        <v>4629</v>
      </c>
      <c r="AL285" t="s">
        <v>4146</v>
      </c>
    </row>
    <row r="286" spans="1:38" ht="11.25" customHeight="1">
      <c r="A286" t="s">
        <v>9</v>
      </c>
      <c r="B286" t="s">
        <v>36</v>
      </c>
      <c r="C286" t="s">
        <v>38</v>
      </c>
      <c r="D286" t="s">
        <v>9</v>
      </c>
      <c r="E286" t="s">
        <v>4630</v>
      </c>
      <c r="F286" t="s">
        <v>4148</v>
      </c>
      <c r="G286" t="s">
        <v>3762</v>
      </c>
      <c r="H286" t="s">
        <v>3789</v>
      </c>
      <c r="I286" t="s">
        <v>3790</v>
      </c>
      <c r="J286" t="s">
        <v>4558</v>
      </c>
      <c r="K286" t="s">
        <v>4717</v>
      </c>
      <c r="L286" t="s">
        <v>4595</v>
      </c>
      <c r="M286" t="s">
        <v>1442</v>
      </c>
      <c r="N286" t="s">
        <v>164</v>
      </c>
      <c r="O286" t="s">
        <v>3762</v>
      </c>
      <c r="P286" t="s">
        <v>3789</v>
      </c>
      <c r="Q286" t="s">
        <v>3790</v>
      </c>
      <c r="R286" t="s">
        <v>4558</v>
      </c>
      <c r="S286" t="s">
        <v>4717</v>
      </c>
      <c r="T286" t="s">
        <v>4165</v>
      </c>
      <c r="U286" t="s">
        <v>4168</v>
      </c>
      <c r="V286" t="s">
        <v>624</v>
      </c>
      <c r="W286" t="s">
        <v>4140</v>
      </c>
      <c r="X286" t="s">
        <v>4167</v>
      </c>
      <c r="Y286" t="s">
        <v>4168</v>
      </c>
      <c r="Z286" t="s">
        <v>4631</v>
      </c>
      <c r="AA286" t="s">
        <v>4632</v>
      </c>
      <c r="AB286" t="s">
        <v>624</v>
      </c>
      <c r="AC286" t="s">
        <v>6</v>
      </c>
      <c r="AD286" t="s">
        <v>50</v>
      </c>
      <c r="AE286" t="s">
        <v>6</v>
      </c>
      <c r="AF286" t="s">
        <v>9</v>
      </c>
      <c r="AG286" t="s">
        <v>9</v>
      </c>
      <c r="AH286" t="s">
        <v>4633</v>
      </c>
      <c r="AI286" t="s">
        <v>4633</v>
      </c>
      <c r="AJ286" t="s">
        <v>4633</v>
      </c>
      <c r="AK286" t="s">
        <v>4633</v>
      </c>
      <c r="AL286" t="s">
        <v>9</v>
      </c>
    </row>
    <row r="287" spans="1:38" ht="11.25" customHeight="1">
      <c r="A287" t="s">
        <v>9</v>
      </c>
      <c r="B287" t="s">
        <v>36</v>
      </c>
      <c r="C287" t="s">
        <v>38</v>
      </c>
      <c r="D287" t="s">
        <v>9</v>
      </c>
      <c r="E287" t="s">
        <v>4634</v>
      </c>
      <c r="F287" t="s">
        <v>4148</v>
      </c>
      <c r="G287" t="s">
        <v>3762</v>
      </c>
      <c r="H287" t="s">
        <v>3789</v>
      </c>
      <c r="I287" t="s">
        <v>3790</v>
      </c>
      <c r="J287" t="s">
        <v>4558</v>
      </c>
      <c r="K287" t="s">
        <v>4717</v>
      </c>
      <c r="L287" t="s">
        <v>4595</v>
      </c>
      <c r="M287" t="s">
        <v>1442</v>
      </c>
      <c r="N287" t="s">
        <v>164</v>
      </c>
      <c r="O287" t="s">
        <v>3762</v>
      </c>
      <c r="P287" t="s">
        <v>3789</v>
      </c>
      <c r="Q287" t="s">
        <v>3790</v>
      </c>
      <c r="R287" t="s">
        <v>4558</v>
      </c>
      <c r="S287" t="s">
        <v>4717</v>
      </c>
      <c r="T287" t="s">
        <v>4165</v>
      </c>
      <c r="U287" t="s">
        <v>4168</v>
      </c>
      <c r="V287" t="s">
        <v>624</v>
      </c>
      <c r="W287" t="s">
        <v>4140</v>
      </c>
      <c r="X287" t="s">
        <v>4167</v>
      </c>
      <c r="Y287" t="s">
        <v>4168</v>
      </c>
      <c r="Z287" t="s">
        <v>4631</v>
      </c>
      <c r="AA287" t="s">
        <v>4632</v>
      </c>
      <c r="AB287" t="s">
        <v>624</v>
      </c>
      <c r="AC287" t="s">
        <v>6</v>
      </c>
      <c r="AD287" t="s">
        <v>50</v>
      </c>
      <c r="AE287" t="s">
        <v>6</v>
      </c>
      <c r="AF287" t="s">
        <v>9</v>
      </c>
      <c r="AG287" t="s">
        <v>9</v>
      </c>
      <c r="AH287" t="s">
        <v>4633</v>
      </c>
      <c r="AI287" t="s">
        <v>4633</v>
      </c>
      <c r="AJ287" t="s">
        <v>4633</v>
      </c>
      <c r="AK287" t="s">
        <v>4633</v>
      </c>
      <c r="AL287" t="s">
        <v>9</v>
      </c>
    </row>
    <row r="288" spans="1:38" ht="11.25" customHeight="1">
      <c r="A288" t="s">
        <v>9</v>
      </c>
      <c r="B288" t="s">
        <v>36</v>
      </c>
      <c r="C288" t="s">
        <v>38</v>
      </c>
      <c r="D288" t="s">
        <v>9</v>
      </c>
      <c r="E288" t="s">
        <v>4635</v>
      </c>
      <c r="F288" t="s">
        <v>4148</v>
      </c>
      <c r="G288" t="s">
        <v>3762</v>
      </c>
      <c r="H288" t="s">
        <v>3789</v>
      </c>
      <c r="I288" t="s">
        <v>3790</v>
      </c>
      <c r="J288" t="s">
        <v>4558</v>
      </c>
      <c r="K288" t="s">
        <v>4717</v>
      </c>
      <c r="L288" t="s">
        <v>4595</v>
      </c>
      <c r="M288" t="s">
        <v>1442</v>
      </c>
      <c r="N288" t="s">
        <v>164</v>
      </c>
      <c r="O288" t="s">
        <v>3762</v>
      </c>
      <c r="P288" t="s">
        <v>3789</v>
      </c>
      <c r="Q288" t="s">
        <v>3790</v>
      </c>
      <c r="R288" t="s">
        <v>4558</v>
      </c>
      <c r="S288" t="s">
        <v>4717</v>
      </c>
      <c r="T288" t="s">
        <v>4165</v>
      </c>
      <c r="U288" t="s">
        <v>4168</v>
      </c>
      <c r="V288" t="s">
        <v>624</v>
      </c>
      <c r="W288" t="s">
        <v>4140</v>
      </c>
      <c r="X288" t="s">
        <v>4167</v>
      </c>
      <c r="Y288" t="s">
        <v>4168</v>
      </c>
      <c r="Z288" t="s">
        <v>4631</v>
      </c>
      <c r="AA288" t="s">
        <v>4632</v>
      </c>
      <c r="AB288" t="s">
        <v>624</v>
      </c>
      <c r="AC288" t="s">
        <v>6</v>
      </c>
      <c r="AD288" t="s">
        <v>50</v>
      </c>
      <c r="AE288" t="s">
        <v>6</v>
      </c>
      <c r="AF288" t="s">
        <v>9</v>
      </c>
      <c r="AG288" t="s">
        <v>9</v>
      </c>
      <c r="AH288" t="s">
        <v>4633</v>
      </c>
      <c r="AI288" t="s">
        <v>4633</v>
      </c>
      <c r="AJ288" t="s">
        <v>4633</v>
      </c>
      <c r="AK288" t="s">
        <v>4633</v>
      </c>
      <c r="AL288" t="s">
        <v>9</v>
      </c>
    </row>
    <row r="289" spans="1:38" ht="11.25" customHeight="1">
      <c r="A289" t="s">
        <v>9</v>
      </c>
      <c r="B289" t="s">
        <v>36</v>
      </c>
      <c r="C289" t="s">
        <v>38</v>
      </c>
      <c r="D289" t="s">
        <v>9</v>
      </c>
      <c r="E289" t="s">
        <v>4636</v>
      </c>
      <c r="F289" t="s">
        <v>4148</v>
      </c>
      <c r="G289" t="s">
        <v>3762</v>
      </c>
      <c r="H289" t="s">
        <v>3789</v>
      </c>
      <c r="I289" t="s">
        <v>3790</v>
      </c>
      <c r="J289" t="s">
        <v>4558</v>
      </c>
      <c r="K289" t="s">
        <v>4717</v>
      </c>
      <c r="L289" t="s">
        <v>4595</v>
      </c>
      <c r="M289" t="s">
        <v>1442</v>
      </c>
      <c r="N289" t="s">
        <v>164</v>
      </c>
      <c r="O289" t="s">
        <v>3762</v>
      </c>
      <c r="P289" t="s">
        <v>3789</v>
      </c>
      <c r="Q289" t="s">
        <v>3790</v>
      </c>
      <c r="R289" t="s">
        <v>4558</v>
      </c>
      <c r="S289" t="s">
        <v>4717</v>
      </c>
      <c r="T289" t="s">
        <v>4165</v>
      </c>
      <c r="U289" t="s">
        <v>4168</v>
      </c>
      <c r="V289" t="s">
        <v>624</v>
      </c>
      <c r="W289" t="s">
        <v>4140</v>
      </c>
      <c r="X289" t="s">
        <v>4167</v>
      </c>
      <c r="Y289" t="s">
        <v>4168</v>
      </c>
      <c r="Z289" t="s">
        <v>4631</v>
      </c>
      <c r="AA289" t="s">
        <v>4632</v>
      </c>
      <c r="AB289" t="s">
        <v>624</v>
      </c>
      <c r="AC289" t="s">
        <v>6</v>
      </c>
      <c r="AD289" t="s">
        <v>50</v>
      </c>
      <c r="AE289" t="s">
        <v>6</v>
      </c>
      <c r="AF289" t="s">
        <v>9</v>
      </c>
      <c r="AG289" t="s">
        <v>9</v>
      </c>
      <c r="AH289" t="s">
        <v>164</v>
      </c>
      <c r="AI289" t="s">
        <v>4437</v>
      </c>
      <c r="AJ289" t="s">
        <v>164</v>
      </c>
      <c r="AK289" t="s">
        <v>4437</v>
      </c>
      <c r="AL289" t="s">
        <v>9</v>
      </c>
    </row>
    <row r="290" spans="1:38" ht="11.25" customHeight="1">
      <c r="A290" t="s">
        <v>9</v>
      </c>
      <c r="B290" t="s">
        <v>36</v>
      </c>
      <c r="C290" t="s">
        <v>38</v>
      </c>
      <c r="D290" t="s">
        <v>9</v>
      </c>
      <c r="E290" t="s">
        <v>4637</v>
      </c>
      <c r="F290" t="s">
        <v>4148</v>
      </c>
      <c r="G290" t="s">
        <v>3762</v>
      </c>
      <c r="H290" t="s">
        <v>3789</v>
      </c>
      <c r="I290" t="s">
        <v>3790</v>
      </c>
      <c r="J290" t="s">
        <v>4558</v>
      </c>
      <c r="K290" t="s">
        <v>4717</v>
      </c>
      <c r="L290" t="s">
        <v>4595</v>
      </c>
      <c r="M290" t="s">
        <v>1442</v>
      </c>
      <c r="N290" t="s">
        <v>164</v>
      </c>
      <c r="O290" t="s">
        <v>3762</v>
      </c>
      <c r="P290" t="s">
        <v>3789</v>
      </c>
      <c r="Q290" t="s">
        <v>3790</v>
      </c>
      <c r="R290" t="s">
        <v>4558</v>
      </c>
      <c r="S290" t="s">
        <v>4717</v>
      </c>
      <c r="T290" t="s">
        <v>4165</v>
      </c>
      <c r="U290" t="s">
        <v>4168</v>
      </c>
      <c r="V290" t="s">
        <v>624</v>
      </c>
      <c r="W290" t="s">
        <v>4140</v>
      </c>
      <c r="X290" t="s">
        <v>4167</v>
      </c>
      <c r="Y290" t="s">
        <v>4168</v>
      </c>
      <c r="Z290" t="s">
        <v>4631</v>
      </c>
      <c r="AA290" t="s">
        <v>4632</v>
      </c>
      <c r="AB290" t="s">
        <v>624</v>
      </c>
      <c r="AC290" t="s">
        <v>6</v>
      </c>
      <c r="AD290" t="s">
        <v>50</v>
      </c>
      <c r="AE290" t="s">
        <v>6</v>
      </c>
      <c r="AF290" t="s">
        <v>9</v>
      </c>
      <c r="AG290" t="s">
        <v>9</v>
      </c>
      <c r="AH290" t="s">
        <v>4606</v>
      </c>
      <c r="AI290" t="s">
        <v>4606</v>
      </c>
      <c r="AJ290" t="s">
        <v>4606</v>
      </c>
      <c r="AK290" t="s">
        <v>4606</v>
      </c>
      <c r="AL290" t="s">
        <v>9</v>
      </c>
    </row>
    <row r="291" spans="1:38" ht="11.25" customHeight="1">
      <c r="A291" t="s">
        <v>9</v>
      </c>
      <c r="B291" t="s">
        <v>36</v>
      </c>
      <c r="C291" t="s">
        <v>38</v>
      </c>
      <c r="D291" t="s">
        <v>9</v>
      </c>
      <c r="E291" t="s">
        <v>4638</v>
      </c>
      <c r="F291" t="s">
        <v>4148</v>
      </c>
      <c r="G291" t="s">
        <v>3762</v>
      </c>
      <c r="H291" t="s">
        <v>3789</v>
      </c>
      <c r="I291" t="s">
        <v>3790</v>
      </c>
      <c r="J291" t="s">
        <v>4558</v>
      </c>
      <c r="K291" t="s">
        <v>4717</v>
      </c>
      <c r="L291" t="s">
        <v>4595</v>
      </c>
      <c r="M291" t="s">
        <v>1442</v>
      </c>
      <c r="N291" t="s">
        <v>164</v>
      </c>
      <c r="O291" t="s">
        <v>3762</v>
      </c>
      <c r="P291" t="s">
        <v>3789</v>
      </c>
      <c r="Q291" t="s">
        <v>3790</v>
      </c>
      <c r="R291" t="s">
        <v>4558</v>
      </c>
      <c r="S291" t="s">
        <v>4717</v>
      </c>
      <c r="T291" t="s">
        <v>4165</v>
      </c>
      <c r="U291" t="s">
        <v>4168</v>
      </c>
      <c r="V291" t="s">
        <v>624</v>
      </c>
      <c r="W291" t="s">
        <v>4140</v>
      </c>
      <c r="X291" t="s">
        <v>4167</v>
      </c>
      <c r="Y291" t="s">
        <v>4168</v>
      </c>
      <c r="Z291" t="s">
        <v>4631</v>
      </c>
      <c r="AA291" t="s">
        <v>4632</v>
      </c>
      <c r="AB291" t="s">
        <v>624</v>
      </c>
      <c r="AC291" t="s">
        <v>6</v>
      </c>
      <c r="AD291" t="s">
        <v>50</v>
      </c>
      <c r="AE291" t="s">
        <v>6</v>
      </c>
      <c r="AF291" t="s">
        <v>9</v>
      </c>
      <c r="AG291" t="s">
        <v>9</v>
      </c>
      <c r="AH291" t="s">
        <v>4606</v>
      </c>
      <c r="AI291" t="s">
        <v>4606</v>
      </c>
      <c r="AJ291" t="s">
        <v>4606</v>
      </c>
      <c r="AK291" t="s">
        <v>4606</v>
      </c>
      <c r="AL291" t="s">
        <v>9</v>
      </c>
    </row>
    <row r="292" spans="1:38" ht="11.25" customHeight="1">
      <c r="A292" t="s">
        <v>9</v>
      </c>
      <c r="B292" t="s">
        <v>36</v>
      </c>
      <c r="C292" t="s">
        <v>38</v>
      </c>
      <c r="D292" t="s">
        <v>9</v>
      </c>
      <c r="E292" t="s">
        <v>4639</v>
      </c>
      <c r="F292" t="s">
        <v>4148</v>
      </c>
      <c r="G292" t="s">
        <v>3762</v>
      </c>
      <c r="H292" t="s">
        <v>3789</v>
      </c>
      <c r="I292" t="s">
        <v>3790</v>
      </c>
      <c r="J292" t="s">
        <v>4558</v>
      </c>
      <c r="K292" t="s">
        <v>4717</v>
      </c>
      <c r="L292" t="s">
        <v>4595</v>
      </c>
      <c r="M292" t="s">
        <v>1442</v>
      </c>
      <c r="N292" t="s">
        <v>164</v>
      </c>
      <c r="O292" t="s">
        <v>3762</v>
      </c>
      <c r="P292" t="s">
        <v>3789</v>
      </c>
      <c r="Q292" t="s">
        <v>3790</v>
      </c>
      <c r="R292" t="s">
        <v>4558</v>
      </c>
      <c r="S292" t="s">
        <v>4717</v>
      </c>
      <c r="T292" t="s">
        <v>4165</v>
      </c>
      <c r="U292" t="s">
        <v>4168</v>
      </c>
      <c r="V292" t="s">
        <v>624</v>
      </c>
      <c r="W292" t="s">
        <v>4140</v>
      </c>
      <c r="X292" t="s">
        <v>4167</v>
      </c>
      <c r="Y292" t="s">
        <v>4168</v>
      </c>
      <c r="Z292" t="s">
        <v>4631</v>
      </c>
      <c r="AA292" t="s">
        <v>4632</v>
      </c>
      <c r="AB292" t="s">
        <v>624</v>
      </c>
      <c r="AC292" t="s">
        <v>6</v>
      </c>
      <c r="AD292" t="s">
        <v>50</v>
      </c>
      <c r="AE292" t="s">
        <v>6</v>
      </c>
      <c r="AF292" t="s">
        <v>9</v>
      </c>
      <c r="AG292" t="s">
        <v>9</v>
      </c>
      <c r="AH292" t="s">
        <v>4606</v>
      </c>
      <c r="AI292" t="s">
        <v>4606</v>
      </c>
      <c r="AJ292" t="s">
        <v>4606</v>
      </c>
      <c r="AK292" t="s">
        <v>4606</v>
      </c>
      <c r="AL292" t="s">
        <v>9</v>
      </c>
    </row>
    <row r="293" spans="1:38" ht="11.25" customHeight="1">
      <c r="A293" t="s">
        <v>9</v>
      </c>
      <c r="B293" t="s">
        <v>36</v>
      </c>
      <c r="C293" t="s">
        <v>38</v>
      </c>
      <c r="D293" t="s">
        <v>9</v>
      </c>
      <c r="E293" t="s">
        <v>4234</v>
      </c>
      <c r="F293" t="s">
        <v>1438</v>
      </c>
      <c r="G293" t="s">
        <v>3762</v>
      </c>
      <c r="H293" t="s">
        <v>3789</v>
      </c>
      <c r="I293" t="s">
        <v>3790</v>
      </c>
      <c r="J293" t="s">
        <v>4558</v>
      </c>
      <c r="K293" t="s">
        <v>4717</v>
      </c>
      <c r="L293" t="s">
        <v>4575</v>
      </c>
      <c r="M293" t="s">
        <v>1442</v>
      </c>
      <c r="N293" t="s">
        <v>164</v>
      </c>
      <c r="O293" t="s">
        <v>3762</v>
      </c>
      <c r="P293" t="s">
        <v>3789</v>
      </c>
      <c r="Q293" t="s">
        <v>3790</v>
      </c>
      <c r="R293" t="s">
        <v>4558</v>
      </c>
      <c r="S293" t="s">
        <v>4717</v>
      </c>
      <c r="T293" t="s">
        <v>4138</v>
      </c>
      <c r="U293" t="s">
        <v>4139</v>
      </c>
      <c r="V293" t="s">
        <v>624</v>
      </c>
      <c r="W293" t="s">
        <v>4140</v>
      </c>
      <c r="X293" t="s">
        <v>4141</v>
      </c>
      <c r="Y293" t="s">
        <v>4142</v>
      </c>
      <c r="Z293" t="s">
        <v>4640</v>
      </c>
      <c r="AA293" t="s">
        <v>4641</v>
      </c>
      <c r="AB293" t="s">
        <v>624</v>
      </c>
      <c r="AC293" t="s">
        <v>50</v>
      </c>
      <c r="AD293" t="s">
        <v>50</v>
      </c>
      <c r="AE293" t="s">
        <v>50</v>
      </c>
      <c r="AF293" t="s">
        <v>1550</v>
      </c>
      <c r="AG293" t="s">
        <v>4642</v>
      </c>
      <c r="AH293" t="s">
        <v>1550</v>
      </c>
      <c r="AI293" t="s">
        <v>4642</v>
      </c>
      <c r="AJ293" t="s">
        <v>1550</v>
      </c>
      <c r="AK293" t="s">
        <v>4642</v>
      </c>
      <c r="AL293" t="s">
        <v>4146</v>
      </c>
    </row>
    <row r="294" spans="1:38" ht="11.25" customHeight="1">
      <c r="A294" t="s">
        <v>9</v>
      </c>
      <c r="B294" t="s">
        <v>36</v>
      </c>
      <c r="C294" t="s">
        <v>38</v>
      </c>
      <c r="D294" t="s">
        <v>9</v>
      </c>
      <c r="E294" t="s">
        <v>4261</v>
      </c>
      <c r="F294" t="s">
        <v>1438</v>
      </c>
      <c r="G294" t="s">
        <v>3762</v>
      </c>
      <c r="H294" t="s">
        <v>3789</v>
      </c>
      <c r="I294" t="s">
        <v>3790</v>
      </c>
      <c r="J294" t="s">
        <v>4558</v>
      </c>
      <c r="K294" t="s">
        <v>4717</v>
      </c>
      <c r="L294" t="s">
        <v>4615</v>
      </c>
      <c r="M294" t="s">
        <v>1442</v>
      </c>
      <c r="N294" t="s">
        <v>164</v>
      </c>
      <c r="O294" t="s">
        <v>3762</v>
      </c>
      <c r="P294" t="s">
        <v>3789</v>
      </c>
      <c r="Q294" t="s">
        <v>3790</v>
      </c>
      <c r="R294" t="s">
        <v>4558</v>
      </c>
      <c r="S294" t="s">
        <v>4717</v>
      </c>
      <c r="T294" t="s">
        <v>4138</v>
      </c>
      <c r="U294" t="s">
        <v>4139</v>
      </c>
      <c r="V294" t="s">
        <v>624</v>
      </c>
      <c r="W294" t="s">
        <v>4140</v>
      </c>
      <c r="X294" t="s">
        <v>4141</v>
      </c>
      <c r="Y294" t="s">
        <v>4142</v>
      </c>
      <c r="Z294" t="s">
        <v>4616</v>
      </c>
      <c r="AA294" t="s">
        <v>4617</v>
      </c>
      <c r="AB294" t="s">
        <v>624</v>
      </c>
      <c r="AC294" t="s">
        <v>50</v>
      </c>
      <c r="AD294" t="s">
        <v>50</v>
      </c>
      <c r="AE294" t="s">
        <v>50</v>
      </c>
      <c r="AF294" t="s">
        <v>114</v>
      </c>
      <c r="AG294" t="s">
        <v>4618</v>
      </c>
      <c r="AH294" t="s">
        <v>114</v>
      </c>
      <c r="AI294" t="s">
        <v>4618</v>
      </c>
      <c r="AJ294" t="s">
        <v>114</v>
      </c>
      <c r="AK294" t="s">
        <v>4618</v>
      </c>
      <c r="AL294" t="s">
        <v>4146</v>
      </c>
    </row>
    <row r="295" spans="1:38" ht="11.25" customHeight="1">
      <c r="A295" t="s">
        <v>9</v>
      </c>
      <c r="B295" t="s">
        <v>36</v>
      </c>
      <c r="C295" t="s">
        <v>38</v>
      </c>
      <c r="D295" t="s">
        <v>9</v>
      </c>
      <c r="E295" t="s">
        <v>1437</v>
      </c>
      <c r="F295" t="s">
        <v>1438</v>
      </c>
      <c r="G295" t="s">
        <v>128</v>
      </c>
      <c r="H295" t="s">
        <v>128</v>
      </c>
      <c r="I295" t="s">
        <v>129</v>
      </c>
      <c r="J295" t="s">
        <v>1495</v>
      </c>
      <c r="K295" t="s">
        <v>1496</v>
      </c>
      <c r="L295" t="s">
        <v>4718</v>
      </c>
      <c r="M295" t="s">
        <v>4719</v>
      </c>
      <c r="N295" t="s">
        <v>164</v>
      </c>
      <c r="O295" t="s">
        <v>128</v>
      </c>
      <c r="P295" t="s">
        <v>128</v>
      </c>
      <c r="Q295" t="s">
        <v>129</v>
      </c>
      <c r="R295" t="s">
        <v>1495</v>
      </c>
      <c r="S295" t="s">
        <v>1496</v>
      </c>
      <c r="T295" t="s">
        <v>4165</v>
      </c>
      <c r="U295" t="s">
        <v>4720</v>
      </c>
      <c r="V295" t="s">
        <v>624</v>
      </c>
      <c r="W295" t="s">
        <v>4140</v>
      </c>
      <c r="X295" t="s">
        <v>4721</v>
      </c>
      <c r="Y295" t="s">
        <v>4720</v>
      </c>
      <c r="Z295" t="s">
        <v>4722</v>
      </c>
      <c r="AA295" t="s">
        <v>4723</v>
      </c>
      <c r="AB295" t="s">
        <v>624</v>
      </c>
      <c r="AC295" t="s">
        <v>50</v>
      </c>
      <c r="AD295" t="s">
        <v>50</v>
      </c>
      <c r="AE295" t="s">
        <v>50</v>
      </c>
      <c r="AF295" t="s">
        <v>4493</v>
      </c>
      <c r="AG295" t="s">
        <v>4724</v>
      </c>
      <c r="AH295" t="s">
        <v>4493</v>
      </c>
      <c r="AI295" t="s">
        <v>4724</v>
      </c>
      <c r="AJ295" t="s">
        <v>4493</v>
      </c>
      <c r="AK295" t="s">
        <v>4724</v>
      </c>
      <c r="AL295" t="s">
        <v>4146</v>
      </c>
    </row>
    <row r="296" spans="1:38" ht="11.25" customHeight="1">
      <c r="A296" t="s">
        <v>9</v>
      </c>
      <c r="B296" t="s">
        <v>36</v>
      </c>
      <c r="C296" t="s">
        <v>38</v>
      </c>
      <c r="D296" t="s">
        <v>9</v>
      </c>
      <c r="E296" t="s">
        <v>1494</v>
      </c>
      <c r="F296" t="s">
        <v>1457</v>
      </c>
      <c r="G296" t="s">
        <v>128</v>
      </c>
      <c r="H296" t="s">
        <v>128</v>
      </c>
      <c r="I296" t="s">
        <v>129</v>
      </c>
      <c r="J296" t="s">
        <v>1495</v>
      </c>
      <c r="K296" t="s">
        <v>1496</v>
      </c>
      <c r="L296" t="s">
        <v>1497</v>
      </c>
      <c r="M296" t="s">
        <v>1498</v>
      </c>
      <c r="N296" t="s">
        <v>164</v>
      </c>
      <c r="O296" t="s">
        <v>128</v>
      </c>
      <c r="P296" t="s">
        <v>128</v>
      </c>
      <c r="Q296" t="s">
        <v>129</v>
      </c>
      <c r="R296" t="s">
        <v>1495</v>
      </c>
      <c r="S296" t="s">
        <v>1496</v>
      </c>
      <c r="T296" t="s">
        <v>4165</v>
      </c>
      <c r="U296" t="s">
        <v>4720</v>
      </c>
      <c r="V296" t="s">
        <v>624</v>
      </c>
      <c r="W296" t="s">
        <v>4140</v>
      </c>
      <c r="X296" t="s">
        <v>4721</v>
      </c>
      <c r="Y296" t="s">
        <v>4720</v>
      </c>
      <c r="Z296" t="s">
        <v>4725</v>
      </c>
      <c r="AA296" t="s">
        <v>4723</v>
      </c>
      <c r="AB296" t="s">
        <v>624</v>
      </c>
      <c r="AC296" t="s">
        <v>50</v>
      </c>
      <c r="AD296" t="s">
        <v>6</v>
      </c>
      <c r="AE296" t="s">
        <v>6</v>
      </c>
      <c r="AF296" t="s">
        <v>89</v>
      </c>
      <c r="AG296" t="s">
        <v>4171</v>
      </c>
      <c r="AH296" t="s">
        <v>9</v>
      </c>
      <c r="AI296" t="s">
        <v>9</v>
      </c>
      <c r="AJ296" t="s">
        <v>9</v>
      </c>
      <c r="AK296" t="s">
        <v>9</v>
      </c>
      <c r="AL296" t="s">
        <v>4268</v>
      </c>
    </row>
    <row r="297" spans="1:38" ht="11.25" customHeight="1">
      <c r="A297" t="s">
        <v>9</v>
      </c>
      <c r="B297" t="s">
        <v>36</v>
      </c>
      <c r="C297" t="s">
        <v>38</v>
      </c>
      <c r="D297" t="s">
        <v>9</v>
      </c>
      <c r="E297" t="s">
        <v>4726</v>
      </c>
      <c r="F297" t="s">
        <v>1457</v>
      </c>
      <c r="G297" t="s">
        <v>128</v>
      </c>
      <c r="H297" t="s">
        <v>128</v>
      </c>
      <c r="I297" t="s">
        <v>129</v>
      </c>
      <c r="J297" t="s">
        <v>1495</v>
      </c>
      <c r="K297" t="s">
        <v>1496</v>
      </c>
      <c r="L297" t="s">
        <v>4198</v>
      </c>
      <c r="M297" t="s">
        <v>4727</v>
      </c>
      <c r="N297" t="s">
        <v>164</v>
      </c>
      <c r="O297" t="s">
        <v>128</v>
      </c>
      <c r="P297" t="s">
        <v>128</v>
      </c>
      <c r="Q297" t="s">
        <v>129</v>
      </c>
      <c r="R297" t="s">
        <v>1495</v>
      </c>
      <c r="S297" t="s">
        <v>1496</v>
      </c>
      <c r="T297" t="s">
        <v>4165</v>
      </c>
      <c r="U297" t="s">
        <v>4720</v>
      </c>
      <c r="V297" t="s">
        <v>624</v>
      </c>
      <c r="W297" t="s">
        <v>4140</v>
      </c>
      <c r="X297" t="s">
        <v>4721</v>
      </c>
      <c r="Y297" t="s">
        <v>4720</v>
      </c>
      <c r="Z297" t="s">
        <v>4725</v>
      </c>
      <c r="AA297" t="s">
        <v>4723</v>
      </c>
      <c r="AB297" t="s">
        <v>624</v>
      </c>
      <c r="AC297" t="s">
        <v>50</v>
      </c>
      <c r="AD297" t="s">
        <v>6</v>
      </c>
      <c r="AE297" t="s">
        <v>6</v>
      </c>
      <c r="AF297" t="s">
        <v>89</v>
      </c>
      <c r="AG297" t="s">
        <v>4171</v>
      </c>
      <c r="AH297" t="s">
        <v>9</v>
      </c>
      <c r="AI297" t="s">
        <v>9</v>
      </c>
      <c r="AJ297" t="s">
        <v>9</v>
      </c>
      <c r="AK297" t="s">
        <v>9</v>
      </c>
      <c r="AL297" t="s">
        <v>4268</v>
      </c>
    </row>
    <row r="298" spans="1:38" ht="11.25" customHeight="1">
      <c r="A298" t="s">
        <v>9</v>
      </c>
      <c r="B298" t="s">
        <v>36</v>
      </c>
      <c r="C298" t="s">
        <v>38</v>
      </c>
      <c r="D298" t="s">
        <v>9</v>
      </c>
      <c r="E298" t="s">
        <v>4324</v>
      </c>
      <c r="F298" t="s">
        <v>1438</v>
      </c>
      <c r="G298" t="s">
        <v>132</v>
      </c>
      <c r="H298" t="s">
        <v>132</v>
      </c>
      <c r="I298" t="s">
        <v>133</v>
      </c>
      <c r="J298" t="s">
        <v>4728</v>
      </c>
      <c r="K298" t="s">
        <v>4729</v>
      </c>
      <c r="L298" t="s">
        <v>4307</v>
      </c>
      <c r="M298" t="s">
        <v>1442</v>
      </c>
      <c r="N298" t="s">
        <v>164</v>
      </c>
      <c r="O298" t="s">
        <v>132</v>
      </c>
      <c r="P298" t="s">
        <v>132</v>
      </c>
      <c r="Q298" t="s">
        <v>133</v>
      </c>
      <c r="R298" t="s">
        <v>4728</v>
      </c>
      <c r="S298" t="s">
        <v>4729</v>
      </c>
      <c r="T298" t="s">
        <v>4165</v>
      </c>
      <c r="U298" t="s">
        <v>4166</v>
      </c>
      <c r="V298" t="s">
        <v>624</v>
      </c>
      <c r="W298" t="s">
        <v>4140</v>
      </c>
      <c r="X298" t="s">
        <v>4167</v>
      </c>
      <c r="Y298" t="s">
        <v>4168</v>
      </c>
      <c r="Z298" t="s">
        <v>4730</v>
      </c>
      <c r="AA298" t="s">
        <v>4731</v>
      </c>
      <c r="AB298" t="s">
        <v>624</v>
      </c>
      <c r="AC298" t="s">
        <v>50</v>
      </c>
      <c r="AD298" t="s">
        <v>50</v>
      </c>
      <c r="AE298" t="s">
        <v>50</v>
      </c>
      <c r="AF298" t="s">
        <v>1049</v>
      </c>
      <c r="AG298" t="s">
        <v>4732</v>
      </c>
      <c r="AH298" t="s">
        <v>1049</v>
      </c>
      <c r="AI298" t="s">
        <v>4732</v>
      </c>
      <c r="AJ298" t="s">
        <v>1049</v>
      </c>
      <c r="AK298" t="s">
        <v>4732</v>
      </c>
      <c r="AL298" t="s">
        <v>4146</v>
      </c>
    </row>
    <row r="299" spans="1:38" ht="11.25" customHeight="1">
      <c r="A299" t="s">
        <v>9</v>
      </c>
      <c r="B299" t="s">
        <v>36</v>
      </c>
      <c r="C299" t="s">
        <v>38</v>
      </c>
      <c r="D299" t="s">
        <v>9</v>
      </c>
      <c r="E299" t="s">
        <v>4240</v>
      </c>
      <c r="F299" t="s">
        <v>1438</v>
      </c>
      <c r="G299" t="s">
        <v>132</v>
      </c>
      <c r="H299" t="s">
        <v>132</v>
      </c>
      <c r="I299" t="s">
        <v>133</v>
      </c>
      <c r="J299" t="s">
        <v>4728</v>
      </c>
      <c r="K299" t="s">
        <v>4729</v>
      </c>
      <c r="L299" t="s">
        <v>4733</v>
      </c>
      <c r="M299" t="s">
        <v>4193</v>
      </c>
      <c r="N299" t="s">
        <v>164</v>
      </c>
      <c r="O299" t="s">
        <v>132</v>
      </c>
      <c r="P299" t="s">
        <v>132</v>
      </c>
      <c r="Q299" t="s">
        <v>133</v>
      </c>
      <c r="R299" t="s">
        <v>4728</v>
      </c>
      <c r="S299" t="s">
        <v>4729</v>
      </c>
      <c r="T299" t="s">
        <v>4165</v>
      </c>
      <c r="U299" t="s">
        <v>4166</v>
      </c>
      <c r="V299" t="s">
        <v>624</v>
      </c>
      <c r="W299" t="s">
        <v>4140</v>
      </c>
      <c r="X299" t="s">
        <v>4167</v>
      </c>
      <c r="Y299" t="s">
        <v>4168</v>
      </c>
      <c r="Z299" t="s">
        <v>4730</v>
      </c>
      <c r="AA299" t="s">
        <v>4731</v>
      </c>
      <c r="AB299" t="s">
        <v>624</v>
      </c>
      <c r="AC299" t="s">
        <v>50</v>
      </c>
      <c r="AD299" t="s">
        <v>50</v>
      </c>
      <c r="AE299" t="s">
        <v>50</v>
      </c>
      <c r="AF299" t="s">
        <v>4734</v>
      </c>
      <c r="AG299" t="s">
        <v>4438</v>
      </c>
      <c r="AH299" t="s">
        <v>4734</v>
      </c>
      <c r="AI299" t="s">
        <v>4438</v>
      </c>
      <c r="AJ299" t="s">
        <v>4734</v>
      </c>
      <c r="AK299" t="s">
        <v>4438</v>
      </c>
      <c r="AL299" t="s">
        <v>4146</v>
      </c>
    </row>
    <row r="300" spans="1:38" ht="11.25" customHeight="1">
      <c r="A300" t="s">
        <v>9</v>
      </c>
      <c r="B300" t="s">
        <v>36</v>
      </c>
      <c r="C300" t="s">
        <v>38</v>
      </c>
      <c r="D300" t="s">
        <v>9</v>
      </c>
      <c r="E300" t="s">
        <v>1507</v>
      </c>
      <c r="F300" t="s">
        <v>1438</v>
      </c>
      <c r="G300" t="s">
        <v>132</v>
      </c>
      <c r="H300" t="s">
        <v>132</v>
      </c>
      <c r="I300" t="s">
        <v>133</v>
      </c>
      <c r="J300" t="s">
        <v>4728</v>
      </c>
      <c r="K300" t="s">
        <v>4729</v>
      </c>
      <c r="L300" t="s">
        <v>4733</v>
      </c>
      <c r="M300" t="s">
        <v>1442</v>
      </c>
      <c r="N300" t="s">
        <v>164</v>
      </c>
      <c r="O300" t="s">
        <v>132</v>
      </c>
      <c r="P300" t="s">
        <v>132</v>
      </c>
      <c r="Q300" t="s">
        <v>133</v>
      </c>
      <c r="R300" t="s">
        <v>4728</v>
      </c>
      <c r="S300" t="s">
        <v>4729</v>
      </c>
      <c r="T300" t="s">
        <v>4165</v>
      </c>
      <c r="U300" t="s">
        <v>4166</v>
      </c>
      <c r="V300" t="s">
        <v>624</v>
      </c>
      <c r="W300" t="s">
        <v>4140</v>
      </c>
      <c r="X300" t="s">
        <v>4167</v>
      </c>
      <c r="Y300" t="s">
        <v>4168</v>
      </c>
      <c r="Z300" t="s">
        <v>4730</v>
      </c>
      <c r="AA300" t="s">
        <v>4731</v>
      </c>
      <c r="AB300" t="s">
        <v>624</v>
      </c>
      <c r="AC300" t="s">
        <v>50</v>
      </c>
      <c r="AD300" t="s">
        <v>50</v>
      </c>
      <c r="AE300" t="s">
        <v>50</v>
      </c>
      <c r="AF300" t="s">
        <v>4734</v>
      </c>
      <c r="AG300" t="s">
        <v>4735</v>
      </c>
      <c r="AH300" t="s">
        <v>4734</v>
      </c>
      <c r="AI300" t="s">
        <v>4735</v>
      </c>
      <c r="AJ300" t="s">
        <v>4734</v>
      </c>
      <c r="AK300" t="s">
        <v>4735</v>
      </c>
      <c r="AL300" t="s">
        <v>4146</v>
      </c>
    </row>
    <row r="301" spans="1:38" ht="11.25" customHeight="1">
      <c r="A301" t="s">
        <v>9</v>
      </c>
      <c r="B301" t="s">
        <v>36</v>
      </c>
      <c r="C301" t="s">
        <v>38</v>
      </c>
      <c r="D301" t="s">
        <v>9</v>
      </c>
      <c r="E301" t="s">
        <v>4518</v>
      </c>
      <c r="F301" t="s">
        <v>1438</v>
      </c>
      <c r="G301" t="s">
        <v>132</v>
      </c>
      <c r="H301" t="s">
        <v>132</v>
      </c>
      <c r="I301" t="s">
        <v>133</v>
      </c>
      <c r="J301" t="s">
        <v>4728</v>
      </c>
      <c r="K301" t="s">
        <v>4729</v>
      </c>
      <c r="L301" t="s">
        <v>4736</v>
      </c>
      <c r="M301" t="s">
        <v>1442</v>
      </c>
      <c r="N301" t="s">
        <v>164</v>
      </c>
      <c r="O301" t="s">
        <v>132</v>
      </c>
      <c r="P301" t="s">
        <v>132</v>
      </c>
      <c r="Q301" t="s">
        <v>133</v>
      </c>
      <c r="R301" t="s">
        <v>4728</v>
      </c>
      <c r="S301" t="s">
        <v>4729</v>
      </c>
      <c r="T301" t="s">
        <v>4165</v>
      </c>
      <c r="U301" t="s">
        <v>4166</v>
      </c>
      <c r="V301" t="s">
        <v>624</v>
      </c>
      <c r="W301" t="s">
        <v>4140</v>
      </c>
      <c r="X301" t="s">
        <v>4167</v>
      </c>
      <c r="Y301" t="s">
        <v>4168</v>
      </c>
      <c r="Z301" t="s">
        <v>4737</v>
      </c>
      <c r="AA301" t="s">
        <v>4738</v>
      </c>
      <c r="AB301" t="s">
        <v>624</v>
      </c>
      <c r="AC301" t="s">
        <v>50</v>
      </c>
      <c r="AD301" t="s">
        <v>50</v>
      </c>
      <c r="AE301" t="s">
        <v>50</v>
      </c>
      <c r="AF301" t="s">
        <v>2126</v>
      </c>
      <c r="AG301" t="s">
        <v>4739</v>
      </c>
      <c r="AH301" t="s">
        <v>2126</v>
      </c>
      <c r="AI301" t="s">
        <v>4739</v>
      </c>
      <c r="AJ301" t="s">
        <v>2126</v>
      </c>
      <c r="AK301" t="s">
        <v>4739</v>
      </c>
      <c r="AL301" t="s">
        <v>4146</v>
      </c>
    </row>
    <row r="302" spans="1:38" ht="11.25" customHeight="1">
      <c r="A302" t="s">
        <v>9</v>
      </c>
      <c r="B302" t="s">
        <v>36</v>
      </c>
      <c r="C302" t="s">
        <v>38</v>
      </c>
      <c r="D302" t="s">
        <v>9</v>
      </c>
      <c r="E302" t="s">
        <v>4740</v>
      </c>
      <c r="F302" t="s">
        <v>4148</v>
      </c>
      <c r="G302" t="s">
        <v>132</v>
      </c>
      <c r="H302" t="s">
        <v>132</v>
      </c>
      <c r="I302" t="s">
        <v>133</v>
      </c>
      <c r="J302" t="s">
        <v>4728</v>
      </c>
      <c r="K302" t="s">
        <v>4729</v>
      </c>
      <c r="L302" t="s">
        <v>4736</v>
      </c>
      <c r="M302" t="s">
        <v>1442</v>
      </c>
      <c r="N302" t="s">
        <v>164</v>
      </c>
      <c r="O302" t="s">
        <v>132</v>
      </c>
      <c r="P302" t="s">
        <v>132</v>
      </c>
      <c r="Q302" t="s">
        <v>133</v>
      </c>
      <c r="R302" t="s">
        <v>4728</v>
      </c>
      <c r="S302" t="s">
        <v>4729</v>
      </c>
      <c r="T302" t="s">
        <v>4165</v>
      </c>
      <c r="U302" t="s">
        <v>4166</v>
      </c>
      <c r="V302" t="s">
        <v>624</v>
      </c>
      <c r="W302" t="s">
        <v>4140</v>
      </c>
      <c r="X302" t="s">
        <v>4167</v>
      </c>
      <c r="Y302" t="s">
        <v>4168</v>
      </c>
      <c r="Z302" t="s">
        <v>4737</v>
      </c>
      <c r="AA302" t="s">
        <v>4738</v>
      </c>
      <c r="AB302" t="s">
        <v>624</v>
      </c>
      <c r="AC302" t="s">
        <v>6</v>
      </c>
      <c r="AD302" t="s">
        <v>50</v>
      </c>
      <c r="AE302" t="s">
        <v>6</v>
      </c>
      <c r="AF302" t="s">
        <v>9</v>
      </c>
      <c r="AG302" t="s">
        <v>9</v>
      </c>
      <c r="AH302" t="s">
        <v>2126</v>
      </c>
      <c r="AI302" t="s">
        <v>4739</v>
      </c>
      <c r="AJ302" t="s">
        <v>2126</v>
      </c>
      <c r="AK302" t="s">
        <v>4739</v>
      </c>
      <c r="AL302" t="s">
        <v>9</v>
      </c>
    </row>
    <row r="303" spans="1:38" ht="11.25" customHeight="1">
      <c r="A303" t="s">
        <v>9</v>
      </c>
      <c r="B303" t="s">
        <v>36</v>
      </c>
      <c r="C303" t="s">
        <v>38</v>
      </c>
      <c r="D303" t="s">
        <v>9</v>
      </c>
      <c r="E303" t="s">
        <v>4741</v>
      </c>
      <c r="F303" t="s">
        <v>4148</v>
      </c>
      <c r="G303" t="s">
        <v>132</v>
      </c>
      <c r="H303" t="s">
        <v>132</v>
      </c>
      <c r="I303" t="s">
        <v>133</v>
      </c>
      <c r="J303" t="s">
        <v>4728</v>
      </c>
      <c r="K303" t="s">
        <v>4729</v>
      </c>
      <c r="L303" t="s">
        <v>4736</v>
      </c>
      <c r="M303" t="s">
        <v>1442</v>
      </c>
      <c r="N303" t="s">
        <v>164</v>
      </c>
      <c r="O303" t="s">
        <v>132</v>
      </c>
      <c r="P303" t="s">
        <v>132</v>
      </c>
      <c r="Q303" t="s">
        <v>133</v>
      </c>
      <c r="R303" t="s">
        <v>4728</v>
      </c>
      <c r="S303" t="s">
        <v>4729</v>
      </c>
      <c r="T303" t="s">
        <v>4165</v>
      </c>
      <c r="U303" t="s">
        <v>4166</v>
      </c>
      <c r="V303" t="s">
        <v>624</v>
      </c>
      <c r="W303" t="s">
        <v>4140</v>
      </c>
      <c r="X303" t="s">
        <v>4167</v>
      </c>
      <c r="Y303" t="s">
        <v>4168</v>
      </c>
      <c r="Z303" t="s">
        <v>4737</v>
      </c>
      <c r="AA303" t="s">
        <v>4738</v>
      </c>
      <c r="AB303" t="s">
        <v>624</v>
      </c>
      <c r="AC303" t="s">
        <v>6</v>
      </c>
      <c r="AD303" t="s">
        <v>50</v>
      </c>
      <c r="AE303" t="s">
        <v>6</v>
      </c>
      <c r="AF303" t="s">
        <v>9</v>
      </c>
      <c r="AG303" t="s">
        <v>9</v>
      </c>
      <c r="AH303" t="s">
        <v>2126</v>
      </c>
      <c r="AI303" t="s">
        <v>4739</v>
      </c>
      <c r="AJ303" t="s">
        <v>2126</v>
      </c>
      <c r="AK303" t="s">
        <v>4739</v>
      </c>
      <c r="AL303" t="s">
        <v>9</v>
      </c>
    </row>
    <row r="304" spans="1:38" ht="11.25" customHeight="1">
      <c r="A304" t="s">
        <v>9</v>
      </c>
      <c r="B304" t="s">
        <v>36</v>
      </c>
      <c r="C304" t="s">
        <v>38</v>
      </c>
      <c r="D304" t="s">
        <v>9</v>
      </c>
      <c r="E304" t="s">
        <v>4742</v>
      </c>
      <c r="F304" t="s">
        <v>4148</v>
      </c>
      <c r="G304" t="s">
        <v>132</v>
      </c>
      <c r="H304" t="s">
        <v>132</v>
      </c>
      <c r="I304" t="s">
        <v>133</v>
      </c>
      <c r="J304" t="s">
        <v>4728</v>
      </c>
      <c r="K304" t="s">
        <v>4729</v>
      </c>
      <c r="L304" t="s">
        <v>1464</v>
      </c>
      <c r="M304" t="s">
        <v>4743</v>
      </c>
      <c r="N304" t="s">
        <v>164</v>
      </c>
      <c r="O304" t="s">
        <v>132</v>
      </c>
      <c r="P304" t="s">
        <v>132</v>
      </c>
      <c r="Q304" t="s">
        <v>133</v>
      </c>
      <c r="R304" t="s">
        <v>4728</v>
      </c>
      <c r="S304" t="s">
        <v>4729</v>
      </c>
      <c r="T304" t="s">
        <v>4165</v>
      </c>
      <c r="U304" t="s">
        <v>4166</v>
      </c>
      <c r="V304" t="s">
        <v>624</v>
      </c>
      <c r="W304" t="s">
        <v>4140</v>
      </c>
      <c r="X304" t="s">
        <v>4167</v>
      </c>
      <c r="Y304" t="s">
        <v>4168</v>
      </c>
      <c r="Z304" t="s">
        <v>4744</v>
      </c>
      <c r="AA304" t="s">
        <v>4745</v>
      </c>
      <c r="AB304" t="s">
        <v>624</v>
      </c>
      <c r="AC304" t="s">
        <v>6</v>
      </c>
      <c r="AD304" t="s">
        <v>50</v>
      </c>
      <c r="AE304" t="s">
        <v>6</v>
      </c>
      <c r="AF304" t="s">
        <v>9</v>
      </c>
      <c r="AG304" t="s">
        <v>9</v>
      </c>
      <c r="AH304" t="s">
        <v>3761</v>
      </c>
      <c r="AI304" t="s">
        <v>4746</v>
      </c>
      <c r="AJ304" t="s">
        <v>3761</v>
      </c>
      <c r="AK304" t="s">
        <v>4746</v>
      </c>
      <c r="AL304" t="s">
        <v>9</v>
      </c>
    </row>
    <row r="305" spans="1:38" ht="11.25" customHeight="1">
      <c r="A305" t="s">
        <v>9</v>
      </c>
      <c r="B305" t="s">
        <v>36</v>
      </c>
      <c r="C305" t="s">
        <v>38</v>
      </c>
      <c r="D305" t="s">
        <v>9</v>
      </c>
      <c r="E305" t="s">
        <v>4747</v>
      </c>
      <c r="F305" t="s">
        <v>4148</v>
      </c>
      <c r="G305" t="s">
        <v>132</v>
      </c>
      <c r="H305" t="s">
        <v>132</v>
      </c>
      <c r="I305" t="s">
        <v>133</v>
      </c>
      <c r="J305" t="s">
        <v>4728</v>
      </c>
      <c r="K305" t="s">
        <v>4729</v>
      </c>
      <c r="L305" t="s">
        <v>1464</v>
      </c>
      <c r="M305" t="s">
        <v>4743</v>
      </c>
      <c r="N305" t="s">
        <v>164</v>
      </c>
      <c r="O305" t="s">
        <v>132</v>
      </c>
      <c r="P305" t="s">
        <v>132</v>
      </c>
      <c r="Q305" t="s">
        <v>133</v>
      </c>
      <c r="R305" t="s">
        <v>4728</v>
      </c>
      <c r="S305" t="s">
        <v>4729</v>
      </c>
      <c r="T305" t="s">
        <v>4165</v>
      </c>
      <c r="U305" t="s">
        <v>4166</v>
      </c>
      <c r="V305" t="s">
        <v>624</v>
      </c>
      <c r="W305" t="s">
        <v>4140</v>
      </c>
      <c r="X305" t="s">
        <v>4167</v>
      </c>
      <c r="Y305" t="s">
        <v>4168</v>
      </c>
      <c r="Z305" t="s">
        <v>4744</v>
      </c>
      <c r="AA305" t="s">
        <v>4745</v>
      </c>
      <c r="AB305" t="s">
        <v>624</v>
      </c>
      <c r="AC305" t="s">
        <v>6</v>
      </c>
      <c r="AD305" t="s">
        <v>50</v>
      </c>
      <c r="AE305" t="s">
        <v>6</v>
      </c>
      <c r="AF305" t="s">
        <v>9</v>
      </c>
      <c r="AG305" t="s">
        <v>9</v>
      </c>
      <c r="AH305" t="s">
        <v>3761</v>
      </c>
      <c r="AI305" t="s">
        <v>4746</v>
      </c>
      <c r="AJ305" t="s">
        <v>3761</v>
      </c>
      <c r="AK305" t="s">
        <v>4746</v>
      </c>
      <c r="AL305" t="s">
        <v>9</v>
      </c>
    </row>
    <row r="306" spans="1:38" ht="11.25" customHeight="1">
      <c r="A306" t="s">
        <v>9</v>
      </c>
      <c r="B306" t="s">
        <v>36</v>
      </c>
      <c r="C306" t="s">
        <v>38</v>
      </c>
      <c r="D306" t="s">
        <v>9</v>
      </c>
      <c r="E306" t="s">
        <v>4578</v>
      </c>
      <c r="F306" t="s">
        <v>1438</v>
      </c>
      <c r="G306" t="s">
        <v>132</v>
      </c>
      <c r="H306" t="s">
        <v>132</v>
      </c>
      <c r="I306" t="s">
        <v>133</v>
      </c>
      <c r="J306" t="s">
        <v>4728</v>
      </c>
      <c r="K306" t="s">
        <v>4729</v>
      </c>
      <c r="L306" t="s">
        <v>4748</v>
      </c>
      <c r="M306" t="s">
        <v>1442</v>
      </c>
      <c r="N306" t="s">
        <v>164</v>
      </c>
      <c r="O306" t="s">
        <v>132</v>
      </c>
      <c r="P306" t="s">
        <v>132</v>
      </c>
      <c r="Q306" t="s">
        <v>133</v>
      </c>
      <c r="R306" t="s">
        <v>4728</v>
      </c>
      <c r="S306" t="s">
        <v>4729</v>
      </c>
      <c r="T306" t="s">
        <v>4165</v>
      </c>
      <c r="U306" t="s">
        <v>4166</v>
      </c>
      <c r="V306" t="s">
        <v>624</v>
      </c>
      <c r="W306" t="s">
        <v>4140</v>
      </c>
      <c r="X306" t="s">
        <v>4167</v>
      </c>
      <c r="Y306" t="s">
        <v>4168</v>
      </c>
      <c r="Z306" t="s">
        <v>4749</v>
      </c>
      <c r="AA306" t="s">
        <v>4750</v>
      </c>
      <c r="AB306" t="s">
        <v>624</v>
      </c>
      <c r="AC306" t="s">
        <v>50</v>
      </c>
      <c r="AD306" t="s">
        <v>50</v>
      </c>
      <c r="AE306" t="s">
        <v>50</v>
      </c>
      <c r="AF306" t="s">
        <v>4533</v>
      </c>
      <c r="AG306" t="s">
        <v>4751</v>
      </c>
      <c r="AH306" t="s">
        <v>4533</v>
      </c>
      <c r="AI306" t="s">
        <v>4751</v>
      </c>
      <c r="AJ306" t="s">
        <v>4533</v>
      </c>
      <c r="AK306" t="s">
        <v>4751</v>
      </c>
      <c r="AL306" t="s">
        <v>4146</v>
      </c>
    </row>
    <row r="307" spans="1:38" ht="11.25" customHeight="1">
      <c r="A307" t="s">
        <v>9</v>
      </c>
      <c r="B307" t="s">
        <v>36</v>
      </c>
      <c r="C307" t="s">
        <v>38</v>
      </c>
      <c r="D307" t="s">
        <v>9</v>
      </c>
      <c r="E307" t="s">
        <v>1449</v>
      </c>
      <c r="F307" t="s">
        <v>1438</v>
      </c>
      <c r="G307" t="s">
        <v>132</v>
      </c>
      <c r="H307" t="s">
        <v>132</v>
      </c>
      <c r="I307" t="s">
        <v>133</v>
      </c>
      <c r="J307" t="s">
        <v>4728</v>
      </c>
      <c r="K307" t="s">
        <v>4729</v>
      </c>
      <c r="L307" t="s">
        <v>1468</v>
      </c>
      <c r="M307" t="s">
        <v>1442</v>
      </c>
      <c r="N307" t="s">
        <v>164</v>
      </c>
      <c r="O307" t="s">
        <v>132</v>
      </c>
      <c r="P307" t="s">
        <v>132</v>
      </c>
      <c r="Q307" t="s">
        <v>133</v>
      </c>
      <c r="R307" t="s">
        <v>4728</v>
      </c>
      <c r="S307" t="s">
        <v>4729</v>
      </c>
      <c r="T307" t="s">
        <v>4138</v>
      </c>
      <c r="U307" t="s">
        <v>4139</v>
      </c>
      <c r="V307" t="s">
        <v>624</v>
      </c>
      <c r="W307" t="s">
        <v>4140</v>
      </c>
      <c r="X307" t="s">
        <v>4141</v>
      </c>
      <c r="Y307" t="s">
        <v>4142</v>
      </c>
      <c r="Z307" t="s">
        <v>4752</v>
      </c>
      <c r="AA307" t="s">
        <v>4753</v>
      </c>
      <c r="AB307" t="s">
        <v>624</v>
      </c>
      <c r="AC307" t="s">
        <v>50</v>
      </c>
      <c r="AD307" t="s">
        <v>50</v>
      </c>
      <c r="AE307" t="s">
        <v>50</v>
      </c>
      <c r="AF307" t="s">
        <v>1550</v>
      </c>
      <c r="AG307" t="s">
        <v>4754</v>
      </c>
      <c r="AH307" t="s">
        <v>1550</v>
      </c>
      <c r="AI307" t="s">
        <v>4754</v>
      </c>
      <c r="AJ307" t="s">
        <v>1550</v>
      </c>
      <c r="AK307" t="s">
        <v>4754</v>
      </c>
      <c r="AL307" t="s">
        <v>4146</v>
      </c>
    </row>
    <row r="308" spans="1:38" ht="11.25" customHeight="1">
      <c r="A308" t="s">
        <v>9</v>
      </c>
      <c r="B308" t="s">
        <v>36</v>
      </c>
      <c r="C308" t="s">
        <v>38</v>
      </c>
      <c r="D308" t="s">
        <v>9</v>
      </c>
      <c r="E308" t="s">
        <v>1456</v>
      </c>
      <c r="F308" t="s">
        <v>1438</v>
      </c>
      <c r="G308" t="s">
        <v>132</v>
      </c>
      <c r="H308" t="s">
        <v>132</v>
      </c>
      <c r="I308" t="s">
        <v>133</v>
      </c>
      <c r="J308" t="s">
        <v>4728</v>
      </c>
      <c r="K308" t="s">
        <v>4729</v>
      </c>
      <c r="L308" t="s">
        <v>4612</v>
      </c>
      <c r="M308" t="s">
        <v>1442</v>
      </c>
      <c r="N308" t="s">
        <v>164</v>
      </c>
      <c r="O308" t="s">
        <v>132</v>
      </c>
      <c r="P308" t="s">
        <v>132</v>
      </c>
      <c r="Q308" t="s">
        <v>133</v>
      </c>
      <c r="R308" t="s">
        <v>4728</v>
      </c>
      <c r="S308" t="s">
        <v>4729</v>
      </c>
      <c r="T308" t="s">
        <v>4138</v>
      </c>
      <c r="U308" t="s">
        <v>4139</v>
      </c>
      <c r="V308" t="s">
        <v>624</v>
      </c>
      <c r="W308" t="s">
        <v>4140</v>
      </c>
      <c r="X308" t="s">
        <v>4141</v>
      </c>
      <c r="Y308" t="s">
        <v>4142</v>
      </c>
      <c r="Z308" t="s">
        <v>4755</v>
      </c>
      <c r="AA308" t="s">
        <v>4756</v>
      </c>
      <c r="AB308" t="s">
        <v>624</v>
      </c>
      <c r="AC308" t="s">
        <v>50</v>
      </c>
      <c r="AD308" t="s">
        <v>50</v>
      </c>
      <c r="AE308" t="s">
        <v>50</v>
      </c>
      <c r="AF308" t="s">
        <v>1550</v>
      </c>
      <c r="AG308" t="s">
        <v>4757</v>
      </c>
      <c r="AH308" t="s">
        <v>1550</v>
      </c>
      <c r="AI308" t="s">
        <v>4757</v>
      </c>
      <c r="AJ308" t="s">
        <v>1550</v>
      </c>
      <c r="AK308" t="s">
        <v>4757</v>
      </c>
      <c r="AL308" t="s">
        <v>4146</v>
      </c>
    </row>
    <row r="309" spans="1:38" ht="11.25" customHeight="1">
      <c r="A309" t="s">
        <v>9</v>
      </c>
      <c r="B309" t="s">
        <v>36</v>
      </c>
      <c r="C309" t="s">
        <v>38</v>
      </c>
      <c r="D309" t="s">
        <v>9</v>
      </c>
      <c r="E309" t="s">
        <v>4408</v>
      </c>
      <c r="F309" t="s">
        <v>4148</v>
      </c>
      <c r="G309" t="s">
        <v>132</v>
      </c>
      <c r="H309" t="s">
        <v>132</v>
      </c>
      <c r="I309" t="s">
        <v>133</v>
      </c>
      <c r="J309" t="s">
        <v>4728</v>
      </c>
      <c r="K309" t="s">
        <v>4729</v>
      </c>
      <c r="L309" t="s">
        <v>4612</v>
      </c>
      <c r="M309" t="s">
        <v>1442</v>
      </c>
      <c r="N309" t="s">
        <v>164</v>
      </c>
      <c r="O309" t="s">
        <v>132</v>
      </c>
      <c r="P309" t="s">
        <v>132</v>
      </c>
      <c r="Q309" t="s">
        <v>133</v>
      </c>
      <c r="R309" t="s">
        <v>4728</v>
      </c>
      <c r="S309" t="s">
        <v>4729</v>
      </c>
      <c r="T309" t="s">
        <v>4138</v>
      </c>
      <c r="U309" t="s">
        <v>4139</v>
      </c>
      <c r="V309" t="s">
        <v>624</v>
      </c>
      <c r="W309" t="s">
        <v>4140</v>
      </c>
      <c r="X309" t="s">
        <v>4141</v>
      </c>
      <c r="Y309" t="s">
        <v>4142</v>
      </c>
      <c r="Z309" t="s">
        <v>4755</v>
      </c>
      <c r="AA309" t="s">
        <v>4756</v>
      </c>
      <c r="AB309" t="s">
        <v>624</v>
      </c>
      <c r="AC309" t="s">
        <v>6</v>
      </c>
      <c r="AD309" t="s">
        <v>50</v>
      </c>
      <c r="AE309" t="s">
        <v>6</v>
      </c>
      <c r="AF309" t="s">
        <v>9</v>
      </c>
      <c r="AG309" t="s">
        <v>9</v>
      </c>
      <c r="AH309" t="s">
        <v>1550</v>
      </c>
      <c r="AI309" t="s">
        <v>4757</v>
      </c>
      <c r="AJ309" t="s">
        <v>1550</v>
      </c>
      <c r="AK309" t="s">
        <v>4757</v>
      </c>
      <c r="AL309" t="s">
        <v>9</v>
      </c>
    </row>
    <row r="310" spans="1:38" ht="11.25" customHeight="1">
      <c r="A310" t="s">
        <v>9</v>
      </c>
      <c r="B310" t="s">
        <v>36</v>
      </c>
      <c r="C310" t="s">
        <v>38</v>
      </c>
      <c r="D310" t="s">
        <v>9</v>
      </c>
      <c r="E310" t="s">
        <v>1500</v>
      </c>
      <c r="F310" t="s">
        <v>1438</v>
      </c>
      <c r="G310" t="s">
        <v>132</v>
      </c>
      <c r="H310" t="s">
        <v>132</v>
      </c>
      <c r="I310" t="s">
        <v>133</v>
      </c>
      <c r="J310" t="s">
        <v>4728</v>
      </c>
      <c r="K310" t="s">
        <v>4729</v>
      </c>
      <c r="L310" t="s">
        <v>4758</v>
      </c>
      <c r="M310" t="s">
        <v>1442</v>
      </c>
      <c r="N310" t="s">
        <v>164</v>
      </c>
      <c r="O310" t="s">
        <v>132</v>
      </c>
      <c r="P310" t="s">
        <v>132</v>
      </c>
      <c r="Q310" t="s">
        <v>133</v>
      </c>
      <c r="R310" t="s">
        <v>4728</v>
      </c>
      <c r="S310" t="s">
        <v>4729</v>
      </c>
      <c r="T310" t="s">
        <v>4165</v>
      </c>
      <c r="U310" t="s">
        <v>4166</v>
      </c>
      <c r="V310" t="s">
        <v>624</v>
      </c>
      <c r="W310" t="s">
        <v>4140</v>
      </c>
      <c r="X310" t="s">
        <v>4167</v>
      </c>
      <c r="Y310" t="s">
        <v>4168</v>
      </c>
      <c r="Z310" t="s">
        <v>4730</v>
      </c>
      <c r="AA310" t="s">
        <v>4731</v>
      </c>
      <c r="AB310" t="s">
        <v>624</v>
      </c>
      <c r="AC310" t="s">
        <v>50</v>
      </c>
      <c r="AD310" t="s">
        <v>50</v>
      </c>
      <c r="AE310" t="s">
        <v>50</v>
      </c>
      <c r="AF310" t="s">
        <v>138</v>
      </c>
      <c r="AG310" t="s">
        <v>4759</v>
      </c>
      <c r="AH310" t="s">
        <v>138</v>
      </c>
      <c r="AI310" t="s">
        <v>4759</v>
      </c>
      <c r="AJ310" t="s">
        <v>138</v>
      </c>
      <c r="AK310" t="s">
        <v>4759</v>
      </c>
      <c r="AL310" t="s">
        <v>4146</v>
      </c>
    </row>
    <row r="311" spans="1:38" ht="11.25" customHeight="1">
      <c r="A311" t="s">
        <v>9</v>
      </c>
      <c r="B311" t="s">
        <v>36</v>
      </c>
      <c r="C311" t="s">
        <v>38</v>
      </c>
      <c r="D311" t="s">
        <v>9</v>
      </c>
      <c r="E311" t="s">
        <v>4202</v>
      </c>
      <c r="F311" t="s">
        <v>1438</v>
      </c>
      <c r="G311" t="s">
        <v>132</v>
      </c>
      <c r="H311" t="s">
        <v>132</v>
      </c>
      <c r="I311" t="s">
        <v>133</v>
      </c>
      <c r="J311" t="s">
        <v>4728</v>
      </c>
      <c r="K311" t="s">
        <v>4729</v>
      </c>
      <c r="L311" t="s">
        <v>4760</v>
      </c>
      <c r="M311" t="s">
        <v>1442</v>
      </c>
      <c r="N311" t="s">
        <v>164</v>
      </c>
      <c r="O311" t="s">
        <v>132</v>
      </c>
      <c r="P311" t="s">
        <v>132</v>
      </c>
      <c r="Q311" t="s">
        <v>133</v>
      </c>
      <c r="R311" t="s">
        <v>4728</v>
      </c>
      <c r="S311" t="s">
        <v>4729</v>
      </c>
      <c r="T311" t="s">
        <v>4165</v>
      </c>
      <c r="U311" t="s">
        <v>4168</v>
      </c>
      <c r="V311" t="s">
        <v>624</v>
      </c>
      <c r="W311" t="s">
        <v>4140</v>
      </c>
      <c r="X311" t="s">
        <v>4167</v>
      </c>
      <c r="Y311" t="s">
        <v>4168</v>
      </c>
      <c r="Z311" t="s">
        <v>4761</v>
      </c>
      <c r="AA311" t="s">
        <v>4598</v>
      </c>
      <c r="AB311" t="s">
        <v>624</v>
      </c>
      <c r="AC311" t="s">
        <v>50</v>
      </c>
      <c r="AD311" t="s">
        <v>50</v>
      </c>
      <c r="AE311" t="s">
        <v>50</v>
      </c>
      <c r="AF311" t="s">
        <v>4762</v>
      </c>
      <c r="AG311" t="s">
        <v>4516</v>
      </c>
      <c r="AH311" t="s">
        <v>4762</v>
      </c>
      <c r="AI311" t="s">
        <v>4516</v>
      </c>
      <c r="AJ311" t="s">
        <v>4762</v>
      </c>
      <c r="AK311" t="s">
        <v>4516</v>
      </c>
      <c r="AL311" t="s">
        <v>4146</v>
      </c>
    </row>
    <row r="312" spans="1:38" ht="11.25" customHeight="1">
      <c r="A312" t="s">
        <v>9</v>
      </c>
      <c r="B312" t="s">
        <v>36</v>
      </c>
      <c r="C312" t="s">
        <v>38</v>
      </c>
      <c r="D312" t="s">
        <v>9</v>
      </c>
      <c r="E312" t="s">
        <v>1467</v>
      </c>
      <c r="F312" t="s">
        <v>1438</v>
      </c>
      <c r="G312" t="s">
        <v>132</v>
      </c>
      <c r="H312" t="s">
        <v>132</v>
      </c>
      <c r="I312" t="s">
        <v>133</v>
      </c>
      <c r="J312" t="s">
        <v>4728</v>
      </c>
      <c r="K312" t="s">
        <v>4729</v>
      </c>
      <c r="L312" t="s">
        <v>4447</v>
      </c>
      <c r="M312" t="s">
        <v>421</v>
      </c>
      <c r="N312" t="s">
        <v>164</v>
      </c>
      <c r="O312" t="s">
        <v>132</v>
      </c>
      <c r="P312" t="s">
        <v>132</v>
      </c>
      <c r="Q312" t="s">
        <v>133</v>
      </c>
      <c r="R312" t="s">
        <v>4728</v>
      </c>
      <c r="S312" t="s">
        <v>4729</v>
      </c>
      <c r="T312" t="s">
        <v>4165</v>
      </c>
      <c r="U312" t="s">
        <v>4166</v>
      </c>
      <c r="V312" t="s">
        <v>624</v>
      </c>
      <c r="W312" t="s">
        <v>4140</v>
      </c>
      <c r="X312" t="s">
        <v>4167</v>
      </c>
      <c r="Y312" t="s">
        <v>4168</v>
      </c>
      <c r="Z312" t="s">
        <v>4763</v>
      </c>
      <c r="AA312" t="s">
        <v>4598</v>
      </c>
      <c r="AB312" t="s">
        <v>624</v>
      </c>
      <c r="AC312" t="s">
        <v>50</v>
      </c>
      <c r="AD312" t="s">
        <v>50</v>
      </c>
      <c r="AE312" t="s">
        <v>50</v>
      </c>
      <c r="AF312" t="s">
        <v>79</v>
      </c>
      <c r="AG312" t="s">
        <v>4764</v>
      </c>
      <c r="AH312" t="s">
        <v>79</v>
      </c>
      <c r="AI312" t="s">
        <v>4764</v>
      </c>
      <c r="AJ312" t="s">
        <v>79</v>
      </c>
      <c r="AK312" t="s">
        <v>4764</v>
      </c>
      <c r="AL312" t="s">
        <v>4146</v>
      </c>
    </row>
    <row r="313" spans="1:38" ht="11.25" customHeight="1">
      <c r="A313" t="s">
        <v>9</v>
      </c>
      <c r="B313" t="s">
        <v>36</v>
      </c>
      <c r="C313" t="s">
        <v>38</v>
      </c>
      <c r="D313" t="s">
        <v>9</v>
      </c>
      <c r="E313" t="s">
        <v>1471</v>
      </c>
      <c r="F313" t="s">
        <v>1438</v>
      </c>
      <c r="G313" t="s">
        <v>132</v>
      </c>
      <c r="H313" t="s">
        <v>132</v>
      </c>
      <c r="I313" t="s">
        <v>133</v>
      </c>
      <c r="J313" t="s">
        <v>4728</v>
      </c>
      <c r="K313" t="s">
        <v>4729</v>
      </c>
      <c r="L313" t="s">
        <v>4765</v>
      </c>
      <c r="M313" t="s">
        <v>1442</v>
      </c>
      <c r="N313" t="s">
        <v>164</v>
      </c>
      <c r="O313" t="s">
        <v>132</v>
      </c>
      <c r="P313" t="s">
        <v>132</v>
      </c>
      <c r="Q313" t="s">
        <v>133</v>
      </c>
      <c r="R313" t="s">
        <v>4728</v>
      </c>
      <c r="S313" t="s">
        <v>4729</v>
      </c>
      <c r="T313" t="s">
        <v>4165</v>
      </c>
      <c r="U313" t="s">
        <v>4166</v>
      </c>
      <c r="V313" t="s">
        <v>624</v>
      </c>
      <c r="W313" t="s">
        <v>4140</v>
      </c>
      <c r="X313" t="s">
        <v>4167</v>
      </c>
      <c r="Y313" t="s">
        <v>4168</v>
      </c>
      <c r="Z313" t="s">
        <v>4730</v>
      </c>
      <c r="AA313" t="s">
        <v>4731</v>
      </c>
      <c r="AB313" t="s">
        <v>624</v>
      </c>
      <c r="AC313" t="s">
        <v>50</v>
      </c>
      <c r="AD313" t="s">
        <v>50</v>
      </c>
      <c r="AE313" t="s">
        <v>50</v>
      </c>
      <c r="AF313" t="s">
        <v>4766</v>
      </c>
      <c r="AG313" t="s">
        <v>4767</v>
      </c>
      <c r="AH313" t="s">
        <v>4766</v>
      </c>
      <c r="AI313" t="s">
        <v>4767</v>
      </c>
      <c r="AJ313" t="s">
        <v>4766</v>
      </c>
      <c r="AK313" t="s">
        <v>4767</v>
      </c>
      <c r="AL313" t="s">
        <v>4146</v>
      </c>
    </row>
    <row r="314" spans="1:38" ht="11.25" customHeight="1">
      <c r="A314" t="s">
        <v>9</v>
      </c>
      <c r="B314" t="s">
        <v>36</v>
      </c>
      <c r="C314" t="s">
        <v>38</v>
      </c>
      <c r="D314" t="s">
        <v>9</v>
      </c>
      <c r="E314" t="s">
        <v>4768</v>
      </c>
      <c r="F314" t="s">
        <v>4148</v>
      </c>
      <c r="G314" t="s">
        <v>132</v>
      </c>
      <c r="H314" t="s">
        <v>132</v>
      </c>
      <c r="I314" t="s">
        <v>133</v>
      </c>
      <c r="J314" t="s">
        <v>4728</v>
      </c>
      <c r="K314" t="s">
        <v>4729</v>
      </c>
      <c r="L314" t="s">
        <v>4765</v>
      </c>
      <c r="M314" t="s">
        <v>1442</v>
      </c>
      <c r="N314" t="s">
        <v>164</v>
      </c>
      <c r="O314" t="s">
        <v>132</v>
      </c>
      <c r="P314" t="s">
        <v>132</v>
      </c>
      <c r="Q314" t="s">
        <v>133</v>
      </c>
      <c r="R314" t="s">
        <v>4728</v>
      </c>
      <c r="S314" t="s">
        <v>4729</v>
      </c>
      <c r="T314" t="s">
        <v>4165</v>
      </c>
      <c r="U314" t="s">
        <v>4166</v>
      </c>
      <c r="V314" t="s">
        <v>624</v>
      </c>
      <c r="W314" t="s">
        <v>4140</v>
      </c>
      <c r="X314" t="s">
        <v>4167</v>
      </c>
      <c r="Y314" t="s">
        <v>4168</v>
      </c>
      <c r="Z314" t="s">
        <v>4730</v>
      </c>
      <c r="AA314" t="s">
        <v>4731</v>
      </c>
      <c r="AB314" t="s">
        <v>624</v>
      </c>
      <c r="AC314" t="s">
        <v>6</v>
      </c>
      <c r="AD314" t="s">
        <v>50</v>
      </c>
      <c r="AE314" t="s">
        <v>6</v>
      </c>
      <c r="AF314" t="s">
        <v>9</v>
      </c>
      <c r="AG314" t="s">
        <v>9</v>
      </c>
      <c r="AH314" t="s">
        <v>4766</v>
      </c>
      <c r="AI314" t="s">
        <v>4767</v>
      </c>
      <c r="AJ314" t="s">
        <v>4766</v>
      </c>
      <c r="AK314" t="s">
        <v>4767</v>
      </c>
      <c r="AL314" t="s">
        <v>9</v>
      </c>
    </row>
    <row r="315" spans="1:38" ht="11.25" customHeight="1">
      <c r="A315" t="s">
        <v>9</v>
      </c>
      <c r="B315" t="s">
        <v>36</v>
      </c>
      <c r="C315" t="s">
        <v>38</v>
      </c>
      <c r="D315" t="s">
        <v>9</v>
      </c>
      <c r="E315" t="s">
        <v>1461</v>
      </c>
      <c r="F315" t="s">
        <v>1438</v>
      </c>
      <c r="G315" t="s">
        <v>132</v>
      </c>
      <c r="H315" t="s">
        <v>132</v>
      </c>
      <c r="I315" t="s">
        <v>133</v>
      </c>
      <c r="J315" t="s">
        <v>4728</v>
      </c>
      <c r="K315" t="s">
        <v>4729</v>
      </c>
      <c r="L315" t="s">
        <v>4361</v>
      </c>
      <c r="M315" t="s">
        <v>1442</v>
      </c>
      <c r="N315" t="s">
        <v>164</v>
      </c>
      <c r="O315" t="s">
        <v>132</v>
      </c>
      <c r="P315" t="s">
        <v>132</v>
      </c>
      <c r="Q315" t="s">
        <v>133</v>
      </c>
      <c r="R315" t="s">
        <v>4728</v>
      </c>
      <c r="S315" t="s">
        <v>4729</v>
      </c>
      <c r="T315" t="s">
        <v>4165</v>
      </c>
      <c r="U315" t="s">
        <v>4166</v>
      </c>
      <c r="V315" t="s">
        <v>624</v>
      </c>
      <c r="W315" t="s">
        <v>4140</v>
      </c>
      <c r="X315" t="s">
        <v>4167</v>
      </c>
      <c r="Y315" t="s">
        <v>4168</v>
      </c>
      <c r="Z315" t="s">
        <v>4730</v>
      </c>
      <c r="AA315" t="s">
        <v>4731</v>
      </c>
      <c r="AB315" t="s">
        <v>624</v>
      </c>
      <c r="AC315" t="s">
        <v>50</v>
      </c>
      <c r="AD315" t="s">
        <v>50</v>
      </c>
      <c r="AE315" t="s">
        <v>50</v>
      </c>
      <c r="AF315" t="s">
        <v>4418</v>
      </c>
      <c r="AG315" t="s">
        <v>4769</v>
      </c>
      <c r="AH315" t="s">
        <v>4418</v>
      </c>
      <c r="AI315" t="s">
        <v>4769</v>
      </c>
      <c r="AJ315" t="s">
        <v>4418</v>
      </c>
      <c r="AK315" t="s">
        <v>4769</v>
      </c>
      <c r="AL315" t="s">
        <v>4146</v>
      </c>
    </row>
    <row r="316" spans="1:38" ht="11.25" customHeight="1">
      <c r="A316" t="s">
        <v>9</v>
      </c>
      <c r="B316" t="s">
        <v>36</v>
      </c>
      <c r="C316" t="s">
        <v>38</v>
      </c>
      <c r="D316" t="s">
        <v>9</v>
      </c>
      <c r="E316" t="s">
        <v>4234</v>
      </c>
      <c r="F316" t="s">
        <v>1438</v>
      </c>
      <c r="G316" t="s">
        <v>132</v>
      </c>
      <c r="H316" t="s">
        <v>132</v>
      </c>
      <c r="I316" t="s">
        <v>133</v>
      </c>
      <c r="J316" t="s">
        <v>4728</v>
      </c>
      <c r="K316" t="s">
        <v>4729</v>
      </c>
      <c r="L316" t="s">
        <v>4733</v>
      </c>
      <c r="M316" t="s">
        <v>1442</v>
      </c>
      <c r="N316" t="s">
        <v>164</v>
      </c>
      <c r="O316" t="s">
        <v>132</v>
      </c>
      <c r="P316" t="s">
        <v>132</v>
      </c>
      <c r="Q316" t="s">
        <v>133</v>
      </c>
      <c r="R316" t="s">
        <v>4728</v>
      </c>
      <c r="S316" t="s">
        <v>4729</v>
      </c>
      <c r="T316" t="s">
        <v>4165</v>
      </c>
      <c r="U316" t="s">
        <v>4166</v>
      </c>
      <c r="V316" t="s">
        <v>624</v>
      </c>
      <c r="W316" t="s">
        <v>4140</v>
      </c>
      <c r="X316" t="s">
        <v>4167</v>
      </c>
      <c r="Y316" t="s">
        <v>4168</v>
      </c>
      <c r="Z316" t="s">
        <v>4730</v>
      </c>
      <c r="AA316" t="s">
        <v>4731</v>
      </c>
      <c r="AB316" t="s">
        <v>624</v>
      </c>
      <c r="AC316" t="s">
        <v>50</v>
      </c>
      <c r="AD316" t="s">
        <v>50</v>
      </c>
      <c r="AE316" t="s">
        <v>50</v>
      </c>
      <c r="AF316" t="s">
        <v>4734</v>
      </c>
      <c r="AG316" t="s">
        <v>4770</v>
      </c>
      <c r="AH316" t="s">
        <v>4734</v>
      </c>
      <c r="AI316" t="s">
        <v>4770</v>
      </c>
      <c r="AJ316" t="s">
        <v>4734</v>
      </c>
      <c r="AK316" t="s">
        <v>4770</v>
      </c>
      <c r="AL316" t="s">
        <v>4146</v>
      </c>
    </row>
    <row r="317" spans="1:38" ht="11.25" customHeight="1">
      <c r="A317" t="s">
        <v>9</v>
      </c>
      <c r="B317" t="s">
        <v>36</v>
      </c>
      <c r="C317" t="s">
        <v>38</v>
      </c>
      <c r="D317" t="s">
        <v>9</v>
      </c>
      <c r="E317" t="s">
        <v>4223</v>
      </c>
      <c r="F317" t="s">
        <v>1438</v>
      </c>
      <c r="G317" t="s">
        <v>132</v>
      </c>
      <c r="H317" t="s">
        <v>132</v>
      </c>
      <c r="I317" t="s">
        <v>133</v>
      </c>
      <c r="J317" t="s">
        <v>4728</v>
      </c>
      <c r="K317" t="s">
        <v>4729</v>
      </c>
      <c r="L317" t="s">
        <v>1464</v>
      </c>
      <c r="M317" t="s">
        <v>4743</v>
      </c>
      <c r="N317" t="s">
        <v>164</v>
      </c>
      <c r="O317" t="s">
        <v>132</v>
      </c>
      <c r="P317" t="s">
        <v>132</v>
      </c>
      <c r="Q317" t="s">
        <v>133</v>
      </c>
      <c r="R317" t="s">
        <v>4728</v>
      </c>
      <c r="S317" t="s">
        <v>4729</v>
      </c>
      <c r="T317" t="s">
        <v>4165</v>
      </c>
      <c r="U317" t="s">
        <v>4166</v>
      </c>
      <c r="V317" t="s">
        <v>624</v>
      </c>
      <c r="W317" t="s">
        <v>4140</v>
      </c>
      <c r="X317" t="s">
        <v>4167</v>
      </c>
      <c r="Y317" t="s">
        <v>4168</v>
      </c>
      <c r="Z317" t="s">
        <v>4744</v>
      </c>
      <c r="AA317" t="s">
        <v>4745</v>
      </c>
      <c r="AB317" t="s">
        <v>624</v>
      </c>
      <c r="AC317" t="s">
        <v>50</v>
      </c>
      <c r="AD317" t="s">
        <v>50</v>
      </c>
      <c r="AE317" t="s">
        <v>50</v>
      </c>
      <c r="AF317" t="s">
        <v>3761</v>
      </c>
      <c r="AG317" t="s">
        <v>4746</v>
      </c>
      <c r="AH317" t="s">
        <v>3761</v>
      </c>
      <c r="AI317" t="s">
        <v>4746</v>
      </c>
      <c r="AJ317" t="s">
        <v>3761</v>
      </c>
      <c r="AK317" t="s">
        <v>4746</v>
      </c>
      <c r="AL317" t="s">
        <v>4146</v>
      </c>
    </row>
    <row r="318" spans="1:38" ht="11.25" customHeight="1">
      <c r="A318" t="s">
        <v>9</v>
      </c>
      <c r="B318" t="s">
        <v>36</v>
      </c>
      <c r="C318" t="s">
        <v>38</v>
      </c>
      <c r="D318" t="s">
        <v>9</v>
      </c>
      <c r="E318" t="s">
        <v>4697</v>
      </c>
      <c r="F318" t="s">
        <v>1438</v>
      </c>
      <c r="G318" t="s">
        <v>132</v>
      </c>
      <c r="H318" t="s">
        <v>132</v>
      </c>
      <c r="I318" t="s">
        <v>133</v>
      </c>
      <c r="J318" t="s">
        <v>4728</v>
      </c>
      <c r="K318" t="s">
        <v>4729</v>
      </c>
      <c r="L318" t="s">
        <v>4771</v>
      </c>
      <c r="M318" t="s">
        <v>4772</v>
      </c>
      <c r="N318" t="s">
        <v>164</v>
      </c>
      <c r="O318" t="s">
        <v>132</v>
      </c>
      <c r="P318" t="s">
        <v>132</v>
      </c>
      <c r="Q318" t="s">
        <v>133</v>
      </c>
      <c r="R318" t="s">
        <v>4728</v>
      </c>
      <c r="S318" t="s">
        <v>4729</v>
      </c>
      <c r="T318" t="s">
        <v>4138</v>
      </c>
      <c r="U318" t="s">
        <v>4139</v>
      </c>
      <c r="V318" t="s">
        <v>624</v>
      </c>
      <c r="W318" t="s">
        <v>4140</v>
      </c>
      <c r="X318" t="s">
        <v>4317</v>
      </c>
      <c r="Y318" t="s">
        <v>4142</v>
      </c>
      <c r="Z318" t="s">
        <v>1442</v>
      </c>
      <c r="AA318" t="s">
        <v>4773</v>
      </c>
      <c r="AB318" t="s">
        <v>624</v>
      </c>
      <c r="AC318" t="s">
        <v>50</v>
      </c>
      <c r="AD318" t="s">
        <v>50</v>
      </c>
      <c r="AE318" t="s">
        <v>50</v>
      </c>
      <c r="AF318" t="s">
        <v>4774</v>
      </c>
      <c r="AG318" t="s">
        <v>4775</v>
      </c>
      <c r="AH318" t="s">
        <v>4774</v>
      </c>
      <c r="AI318" t="s">
        <v>4775</v>
      </c>
      <c r="AJ318" t="s">
        <v>4774</v>
      </c>
      <c r="AK318" t="s">
        <v>4775</v>
      </c>
      <c r="AL318" t="s">
        <v>4146</v>
      </c>
    </row>
    <row r="319" spans="1:38" ht="11.25" customHeight="1">
      <c r="A319" t="s">
        <v>9</v>
      </c>
      <c r="B319" t="s">
        <v>36</v>
      </c>
      <c r="C319" t="s">
        <v>38</v>
      </c>
      <c r="D319" t="s">
        <v>9</v>
      </c>
      <c r="E319" t="s">
        <v>4697</v>
      </c>
      <c r="F319" t="s">
        <v>4148</v>
      </c>
      <c r="G319" t="s">
        <v>132</v>
      </c>
      <c r="H319" t="s">
        <v>132</v>
      </c>
      <c r="I319" t="s">
        <v>133</v>
      </c>
      <c r="J319" t="s">
        <v>4728</v>
      </c>
      <c r="K319" t="s">
        <v>4729</v>
      </c>
      <c r="L319" t="s">
        <v>4771</v>
      </c>
      <c r="M319" t="s">
        <v>4776</v>
      </c>
      <c r="N319" t="s">
        <v>164</v>
      </c>
      <c r="O319" t="s">
        <v>132</v>
      </c>
      <c r="P319" t="s">
        <v>132</v>
      </c>
      <c r="Q319" t="s">
        <v>133</v>
      </c>
      <c r="R319" t="s">
        <v>4728</v>
      </c>
      <c r="S319" t="s">
        <v>4729</v>
      </c>
      <c r="T319" t="s">
        <v>4138</v>
      </c>
      <c r="U319" t="s">
        <v>4139</v>
      </c>
      <c r="V319" t="s">
        <v>624</v>
      </c>
      <c r="W319" t="s">
        <v>4140</v>
      </c>
      <c r="X319" t="s">
        <v>4317</v>
      </c>
      <c r="Y319" t="s">
        <v>4142</v>
      </c>
      <c r="Z319" t="s">
        <v>1442</v>
      </c>
      <c r="AA319" t="s">
        <v>4773</v>
      </c>
      <c r="AB319" t="s">
        <v>624</v>
      </c>
      <c r="AC319" t="s">
        <v>6</v>
      </c>
      <c r="AD319" t="s">
        <v>50</v>
      </c>
      <c r="AE319" t="s">
        <v>6</v>
      </c>
      <c r="AF319" t="s">
        <v>9</v>
      </c>
      <c r="AG319" t="s">
        <v>9</v>
      </c>
      <c r="AH319" t="s">
        <v>4774</v>
      </c>
      <c r="AI319" t="s">
        <v>4775</v>
      </c>
      <c r="AJ319" t="s">
        <v>4774</v>
      </c>
      <c r="AK319" t="s">
        <v>4775</v>
      </c>
      <c r="AL319" t="s">
        <v>9</v>
      </c>
    </row>
    <row r="320" spans="1:38" ht="11.25" customHeight="1">
      <c r="A320" t="s">
        <v>9</v>
      </c>
      <c r="B320" t="s">
        <v>36</v>
      </c>
      <c r="C320" t="s">
        <v>38</v>
      </c>
      <c r="D320" t="s">
        <v>9</v>
      </c>
      <c r="E320" t="s">
        <v>4261</v>
      </c>
      <c r="F320" t="s">
        <v>1438</v>
      </c>
      <c r="G320" t="s">
        <v>132</v>
      </c>
      <c r="H320" t="s">
        <v>132</v>
      </c>
      <c r="I320" t="s">
        <v>133</v>
      </c>
      <c r="J320" t="s">
        <v>4728</v>
      </c>
      <c r="K320" t="s">
        <v>4729</v>
      </c>
      <c r="L320" t="s">
        <v>4368</v>
      </c>
      <c r="M320" t="s">
        <v>4777</v>
      </c>
      <c r="N320" t="s">
        <v>164</v>
      </c>
      <c r="O320" t="s">
        <v>132</v>
      </c>
      <c r="P320" t="s">
        <v>132</v>
      </c>
      <c r="Q320" t="s">
        <v>133</v>
      </c>
      <c r="R320" t="s">
        <v>4728</v>
      </c>
      <c r="S320" t="s">
        <v>4729</v>
      </c>
      <c r="T320" t="s">
        <v>4165</v>
      </c>
      <c r="U320" t="s">
        <v>4166</v>
      </c>
      <c r="V320" t="s">
        <v>624</v>
      </c>
      <c r="W320" t="s">
        <v>4140</v>
      </c>
      <c r="X320" t="s">
        <v>4167</v>
      </c>
      <c r="Y320" t="s">
        <v>4168</v>
      </c>
      <c r="Z320" t="s">
        <v>4730</v>
      </c>
      <c r="AA320" t="s">
        <v>4731</v>
      </c>
      <c r="AB320" t="s">
        <v>624</v>
      </c>
      <c r="AC320" t="s">
        <v>50</v>
      </c>
      <c r="AD320" t="s">
        <v>50</v>
      </c>
      <c r="AE320" t="s">
        <v>50</v>
      </c>
      <c r="AF320" t="s">
        <v>4778</v>
      </c>
      <c r="AG320" t="s">
        <v>4779</v>
      </c>
      <c r="AH320" t="s">
        <v>4778</v>
      </c>
      <c r="AI320" t="s">
        <v>4779</v>
      </c>
      <c r="AJ320" t="s">
        <v>4778</v>
      </c>
      <c r="AK320" t="s">
        <v>4779</v>
      </c>
      <c r="AL320" t="s">
        <v>4146</v>
      </c>
    </row>
    <row r="321" spans="1:38" ht="11.25" customHeight="1">
      <c r="A321" t="s">
        <v>9</v>
      </c>
      <c r="B321" t="s">
        <v>36</v>
      </c>
      <c r="C321" t="s">
        <v>38</v>
      </c>
      <c r="D321" t="s">
        <v>9</v>
      </c>
      <c r="E321" t="s">
        <v>1437</v>
      </c>
      <c r="F321" t="s">
        <v>1438</v>
      </c>
      <c r="G321" t="s">
        <v>132</v>
      </c>
      <c r="H321" t="s">
        <v>132</v>
      </c>
      <c r="I321" t="s">
        <v>133</v>
      </c>
      <c r="J321" t="s">
        <v>4780</v>
      </c>
      <c r="K321" t="s">
        <v>4781</v>
      </c>
      <c r="L321" t="s">
        <v>4782</v>
      </c>
      <c r="M321" t="s">
        <v>1442</v>
      </c>
      <c r="N321" t="s">
        <v>164</v>
      </c>
      <c r="O321" t="s">
        <v>132</v>
      </c>
      <c r="P321" t="s">
        <v>132</v>
      </c>
      <c r="Q321" t="s">
        <v>133</v>
      </c>
      <c r="R321" t="s">
        <v>4780</v>
      </c>
      <c r="S321" t="s">
        <v>4781</v>
      </c>
      <c r="T321" t="s">
        <v>4138</v>
      </c>
      <c r="U321" t="s">
        <v>4139</v>
      </c>
      <c r="V321" t="s">
        <v>624</v>
      </c>
      <c r="W321" t="s">
        <v>4140</v>
      </c>
      <c r="X321" t="s">
        <v>4141</v>
      </c>
      <c r="Y321" t="s">
        <v>4142</v>
      </c>
      <c r="Z321" t="s">
        <v>4783</v>
      </c>
      <c r="AA321" t="s">
        <v>4784</v>
      </c>
      <c r="AB321" t="s">
        <v>624</v>
      </c>
      <c r="AC321" t="s">
        <v>50</v>
      </c>
      <c r="AD321" t="s">
        <v>50</v>
      </c>
      <c r="AE321" t="s">
        <v>50</v>
      </c>
      <c r="AF321" t="s">
        <v>4399</v>
      </c>
      <c r="AG321" t="s">
        <v>4785</v>
      </c>
      <c r="AH321" t="s">
        <v>4399</v>
      </c>
      <c r="AI321" t="s">
        <v>4785</v>
      </c>
      <c r="AJ321" t="s">
        <v>4399</v>
      </c>
      <c r="AK321" t="s">
        <v>4785</v>
      </c>
      <c r="AL321" t="s">
        <v>4146</v>
      </c>
    </row>
    <row r="322" spans="1:38" ht="11.25" customHeight="1">
      <c r="A322" t="s">
        <v>9</v>
      </c>
      <c r="B322" t="s">
        <v>36</v>
      </c>
      <c r="C322" t="s">
        <v>38</v>
      </c>
      <c r="D322" t="s">
        <v>9</v>
      </c>
      <c r="E322" t="s">
        <v>4263</v>
      </c>
      <c r="F322" t="s">
        <v>1438</v>
      </c>
      <c r="G322" t="s">
        <v>132</v>
      </c>
      <c r="H322" t="s">
        <v>132</v>
      </c>
      <c r="I322" t="s">
        <v>133</v>
      </c>
      <c r="J322" t="s">
        <v>4786</v>
      </c>
      <c r="K322" t="s">
        <v>4787</v>
      </c>
      <c r="L322" t="s">
        <v>4788</v>
      </c>
      <c r="M322" t="s">
        <v>1442</v>
      </c>
      <c r="N322" t="s">
        <v>164</v>
      </c>
      <c r="O322" t="s">
        <v>132</v>
      </c>
      <c r="P322" t="s">
        <v>132</v>
      </c>
      <c r="Q322" t="s">
        <v>133</v>
      </c>
      <c r="R322" t="s">
        <v>4786</v>
      </c>
      <c r="S322" t="s">
        <v>4787</v>
      </c>
      <c r="T322" t="s">
        <v>4165</v>
      </c>
      <c r="U322" t="s">
        <v>4168</v>
      </c>
      <c r="V322" t="s">
        <v>624</v>
      </c>
      <c r="W322" t="s">
        <v>4140</v>
      </c>
      <c r="X322" t="s">
        <v>4167</v>
      </c>
      <c r="Y322" t="s">
        <v>4168</v>
      </c>
      <c r="Z322" t="s">
        <v>142</v>
      </c>
      <c r="AA322" t="s">
        <v>4789</v>
      </c>
      <c r="AB322" t="s">
        <v>624</v>
      </c>
      <c r="AC322" t="s">
        <v>50</v>
      </c>
      <c r="AD322" t="s">
        <v>50</v>
      </c>
      <c r="AE322" t="s">
        <v>50</v>
      </c>
      <c r="AF322" t="s">
        <v>4625</v>
      </c>
      <c r="AG322" t="s">
        <v>4790</v>
      </c>
      <c r="AH322" t="s">
        <v>4625</v>
      </c>
      <c r="AI322" t="s">
        <v>4790</v>
      </c>
      <c r="AJ322" t="s">
        <v>4625</v>
      </c>
      <c r="AK322" t="s">
        <v>4790</v>
      </c>
      <c r="AL322" t="s">
        <v>4146</v>
      </c>
    </row>
    <row r="323" spans="1:38" ht="11.25" customHeight="1">
      <c r="A323" t="s">
        <v>9</v>
      </c>
      <c r="B323" t="s">
        <v>36</v>
      </c>
      <c r="C323" t="s">
        <v>38</v>
      </c>
      <c r="D323" t="s">
        <v>9</v>
      </c>
      <c r="E323" t="s">
        <v>1437</v>
      </c>
      <c r="F323" t="s">
        <v>1438</v>
      </c>
      <c r="G323" t="s">
        <v>3816</v>
      </c>
      <c r="H323" t="s">
        <v>3821</v>
      </c>
      <c r="I323" t="s">
        <v>3822</v>
      </c>
      <c r="J323" t="s">
        <v>4780</v>
      </c>
      <c r="K323" t="s">
        <v>4791</v>
      </c>
      <c r="L323" t="s">
        <v>4782</v>
      </c>
      <c r="M323" t="s">
        <v>1442</v>
      </c>
      <c r="N323" t="s">
        <v>164</v>
      </c>
      <c r="O323" t="s">
        <v>3816</v>
      </c>
      <c r="P323" t="s">
        <v>3821</v>
      </c>
      <c r="Q323" t="s">
        <v>3822</v>
      </c>
      <c r="R323" t="s">
        <v>4780</v>
      </c>
      <c r="S323" t="s">
        <v>4791</v>
      </c>
      <c r="T323" t="s">
        <v>4138</v>
      </c>
      <c r="U323" t="s">
        <v>4139</v>
      </c>
      <c r="V323" t="s">
        <v>624</v>
      </c>
      <c r="W323" t="s">
        <v>4140</v>
      </c>
      <c r="X323" t="s">
        <v>4141</v>
      </c>
      <c r="Y323" t="s">
        <v>4142</v>
      </c>
      <c r="Z323" t="s">
        <v>4783</v>
      </c>
      <c r="AA323" t="s">
        <v>4784</v>
      </c>
      <c r="AB323" t="s">
        <v>624</v>
      </c>
      <c r="AC323" t="s">
        <v>50</v>
      </c>
      <c r="AD323" t="s">
        <v>50</v>
      </c>
      <c r="AE323" t="s">
        <v>50</v>
      </c>
      <c r="AF323" t="s">
        <v>4399</v>
      </c>
      <c r="AG323" t="s">
        <v>4785</v>
      </c>
      <c r="AH323" t="s">
        <v>4399</v>
      </c>
      <c r="AI323" t="s">
        <v>4785</v>
      </c>
      <c r="AJ323" t="s">
        <v>4399</v>
      </c>
      <c r="AK323" t="s">
        <v>4785</v>
      </c>
      <c r="AL323" t="s">
        <v>4146</v>
      </c>
    </row>
    <row r="324" spans="1:38" ht="11.25" customHeight="1">
      <c r="A324" t="s">
        <v>9</v>
      </c>
      <c r="B324" t="s">
        <v>36</v>
      </c>
      <c r="C324" t="s">
        <v>38</v>
      </c>
      <c r="D324" t="s">
        <v>9</v>
      </c>
      <c r="E324" t="s">
        <v>4263</v>
      </c>
      <c r="F324" t="s">
        <v>1438</v>
      </c>
      <c r="G324" t="s">
        <v>3816</v>
      </c>
      <c r="H324" t="s">
        <v>3833</v>
      </c>
      <c r="I324" t="s">
        <v>3834</v>
      </c>
      <c r="J324" t="s">
        <v>4786</v>
      </c>
      <c r="K324" t="s">
        <v>4792</v>
      </c>
      <c r="L324" t="s">
        <v>4788</v>
      </c>
      <c r="M324" t="s">
        <v>1442</v>
      </c>
      <c r="N324" t="s">
        <v>164</v>
      </c>
      <c r="O324" t="s">
        <v>3816</v>
      </c>
      <c r="P324" t="s">
        <v>3833</v>
      </c>
      <c r="Q324" t="s">
        <v>3834</v>
      </c>
      <c r="R324" t="s">
        <v>4786</v>
      </c>
      <c r="S324" t="s">
        <v>4792</v>
      </c>
      <c r="T324" t="s">
        <v>4165</v>
      </c>
      <c r="U324" t="s">
        <v>4168</v>
      </c>
      <c r="V324" t="s">
        <v>624</v>
      </c>
      <c r="W324" t="s">
        <v>4140</v>
      </c>
      <c r="X324" t="s">
        <v>4167</v>
      </c>
      <c r="Y324" t="s">
        <v>4168</v>
      </c>
      <c r="Z324" t="s">
        <v>142</v>
      </c>
      <c r="AA324" t="s">
        <v>4789</v>
      </c>
      <c r="AB324" t="s">
        <v>624</v>
      </c>
      <c r="AC324" t="s">
        <v>50</v>
      </c>
      <c r="AD324" t="s">
        <v>50</v>
      </c>
      <c r="AE324" t="s">
        <v>50</v>
      </c>
      <c r="AF324" t="s">
        <v>4625</v>
      </c>
      <c r="AG324" t="s">
        <v>4790</v>
      </c>
      <c r="AH324" t="s">
        <v>4625</v>
      </c>
      <c r="AI324" t="s">
        <v>4790</v>
      </c>
      <c r="AJ324" t="s">
        <v>4625</v>
      </c>
      <c r="AK324" t="s">
        <v>4790</v>
      </c>
      <c r="AL324" t="s">
        <v>4146</v>
      </c>
    </row>
    <row r="325" spans="1:38" ht="11.25" customHeight="1">
      <c r="A325" t="s">
        <v>9</v>
      </c>
      <c r="B325" t="s">
        <v>36</v>
      </c>
      <c r="C325" t="s">
        <v>38</v>
      </c>
      <c r="D325" t="s">
        <v>9</v>
      </c>
      <c r="E325" t="s">
        <v>4324</v>
      </c>
      <c r="F325" t="s">
        <v>1438</v>
      </c>
      <c r="G325" t="s">
        <v>3816</v>
      </c>
      <c r="H325" t="s">
        <v>3851</v>
      </c>
      <c r="I325" t="s">
        <v>3852</v>
      </c>
      <c r="J325" t="s">
        <v>4728</v>
      </c>
      <c r="K325" t="s">
        <v>4793</v>
      </c>
      <c r="L325" t="s">
        <v>4307</v>
      </c>
      <c r="M325" t="s">
        <v>1442</v>
      </c>
      <c r="N325" t="s">
        <v>164</v>
      </c>
      <c r="O325" t="s">
        <v>3816</v>
      </c>
      <c r="P325" t="s">
        <v>3851</v>
      </c>
      <c r="Q325" t="s">
        <v>3852</v>
      </c>
      <c r="R325" t="s">
        <v>4728</v>
      </c>
      <c r="S325" t="s">
        <v>4793</v>
      </c>
      <c r="T325" t="s">
        <v>4165</v>
      </c>
      <c r="U325" t="s">
        <v>4166</v>
      </c>
      <c r="V325" t="s">
        <v>624</v>
      </c>
      <c r="W325" t="s">
        <v>4140</v>
      </c>
      <c r="X325" t="s">
        <v>4167</v>
      </c>
      <c r="Y325" t="s">
        <v>4168</v>
      </c>
      <c r="Z325" t="s">
        <v>4730</v>
      </c>
      <c r="AA325" t="s">
        <v>4731</v>
      </c>
      <c r="AB325" t="s">
        <v>624</v>
      </c>
      <c r="AC325" t="s">
        <v>50</v>
      </c>
      <c r="AD325" t="s">
        <v>50</v>
      </c>
      <c r="AE325" t="s">
        <v>50</v>
      </c>
      <c r="AF325" t="s">
        <v>1049</v>
      </c>
      <c r="AG325" t="s">
        <v>4732</v>
      </c>
      <c r="AH325" t="s">
        <v>1049</v>
      </c>
      <c r="AI325" t="s">
        <v>4732</v>
      </c>
      <c r="AJ325" t="s">
        <v>1049</v>
      </c>
      <c r="AK325" t="s">
        <v>4732</v>
      </c>
      <c r="AL325" t="s">
        <v>4146</v>
      </c>
    </row>
    <row r="326" spans="1:38" ht="11.25" customHeight="1">
      <c r="A326" t="s">
        <v>9</v>
      </c>
      <c r="B326" t="s">
        <v>36</v>
      </c>
      <c r="C326" t="s">
        <v>38</v>
      </c>
      <c r="D326" t="s">
        <v>9</v>
      </c>
      <c r="E326" t="s">
        <v>4240</v>
      </c>
      <c r="F326" t="s">
        <v>1438</v>
      </c>
      <c r="G326" t="s">
        <v>3816</v>
      </c>
      <c r="H326" t="s">
        <v>3851</v>
      </c>
      <c r="I326" t="s">
        <v>3852</v>
      </c>
      <c r="J326" t="s">
        <v>4728</v>
      </c>
      <c r="K326" t="s">
        <v>4793</v>
      </c>
      <c r="L326" t="s">
        <v>4733</v>
      </c>
      <c r="M326" t="s">
        <v>4193</v>
      </c>
      <c r="N326" t="s">
        <v>164</v>
      </c>
      <c r="O326" t="s">
        <v>3816</v>
      </c>
      <c r="P326" t="s">
        <v>3851</v>
      </c>
      <c r="Q326" t="s">
        <v>3852</v>
      </c>
      <c r="R326" t="s">
        <v>4728</v>
      </c>
      <c r="S326" t="s">
        <v>4793</v>
      </c>
      <c r="T326" t="s">
        <v>4165</v>
      </c>
      <c r="U326" t="s">
        <v>4166</v>
      </c>
      <c r="V326" t="s">
        <v>624</v>
      </c>
      <c r="W326" t="s">
        <v>4140</v>
      </c>
      <c r="X326" t="s">
        <v>4167</v>
      </c>
      <c r="Y326" t="s">
        <v>4168</v>
      </c>
      <c r="Z326" t="s">
        <v>4730</v>
      </c>
      <c r="AA326" t="s">
        <v>4731</v>
      </c>
      <c r="AB326" t="s">
        <v>624</v>
      </c>
      <c r="AC326" t="s">
        <v>50</v>
      </c>
      <c r="AD326" t="s">
        <v>50</v>
      </c>
      <c r="AE326" t="s">
        <v>50</v>
      </c>
      <c r="AF326" t="s">
        <v>4734</v>
      </c>
      <c r="AG326" t="s">
        <v>4438</v>
      </c>
      <c r="AH326" t="s">
        <v>4734</v>
      </c>
      <c r="AI326" t="s">
        <v>4438</v>
      </c>
      <c r="AJ326" t="s">
        <v>4734</v>
      </c>
      <c r="AK326" t="s">
        <v>4438</v>
      </c>
      <c r="AL326" t="s">
        <v>4146</v>
      </c>
    </row>
    <row r="327" spans="1:38" ht="11.25" customHeight="1">
      <c r="A327" t="s">
        <v>9</v>
      </c>
      <c r="B327" t="s">
        <v>36</v>
      </c>
      <c r="C327" t="s">
        <v>38</v>
      </c>
      <c r="D327" t="s">
        <v>9</v>
      </c>
      <c r="E327" t="s">
        <v>1507</v>
      </c>
      <c r="F327" t="s">
        <v>1438</v>
      </c>
      <c r="G327" t="s">
        <v>3816</v>
      </c>
      <c r="H327" t="s">
        <v>3851</v>
      </c>
      <c r="I327" t="s">
        <v>3852</v>
      </c>
      <c r="J327" t="s">
        <v>4728</v>
      </c>
      <c r="K327" t="s">
        <v>4793</v>
      </c>
      <c r="L327" t="s">
        <v>4733</v>
      </c>
      <c r="M327" t="s">
        <v>1442</v>
      </c>
      <c r="N327" t="s">
        <v>164</v>
      </c>
      <c r="O327" t="s">
        <v>3816</v>
      </c>
      <c r="P327" t="s">
        <v>3851</v>
      </c>
      <c r="Q327" t="s">
        <v>3852</v>
      </c>
      <c r="R327" t="s">
        <v>4728</v>
      </c>
      <c r="S327" t="s">
        <v>4793</v>
      </c>
      <c r="T327" t="s">
        <v>4165</v>
      </c>
      <c r="U327" t="s">
        <v>4166</v>
      </c>
      <c r="V327" t="s">
        <v>624</v>
      </c>
      <c r="W327" t="s">
        <v>4140</v>
      </c>
      <c r="X327" t="s">
        <v>4167</v>
      </c>
      <c r="Y327" t="s">
        <v>4168</v>
      </c>
      <c r="Z327" t="s">
        <v>4730</v>
      </c>
      <c r="AA327" t="s">
        <v>4731</v>
      </c>
      <c r="AB327" t="s">
        <v>624</v>
      </c>
      <c r="AC327" t="s">
        <v>50</v>
      </c>
      <c r="AD327" t="s">
        <v>50</v>
      </c>
      <c r="AE327" t="s">
        <v>50</v>
      </c>
      <c r="AF327" t="s">
        <v>4734</v>
      </c>
      <c r="AG327" t="s">
        <v>4735</v>
      </c>
      <c r="AH327" t="s">
        <v>4734</v>
      </c>
      <c r="AI327" t="s">
        <v>4735</v>
      </c>
      <c r="AJ327" t="s">
        <v>4734</v>
      </c>
      <c r="AK327" t="s">
        <v>4735</v>
      </c>
      <c r="AL327" t="s">
        <v>4146</v>
      </c>
    </row>
    <row r="328" spans="1:38" ht="11.25" customHeight="1">
      <c r="A328" t="s">
        <v>9</v>
      </c>
      <c r="B328" t="s">
        <v>36</v>
      </c>
      <c r="C328" t="s">
        <v>38</v>
      </c>
      <c r="D328" t="s">
        <v>9</v>
      </c>
      <c r="E328" t="s">
        <v>4518</v>
      </c>
      <c r="F328" t="s">
        <v>1438</v>
      </c>
      <c r="G328" t="s">
        <v>3816</v>
      </c>
      <c r="H328" t="s">
        <v>3851</v>
      </c>
      <c r="I328" t="s">
        <v>3852</v>
      </c>
      <c r="J328" t="s">
        <v>4728</v>
      </c>
      <c r="K328" t="s">
        <v>4793</v>
      </c>
      <c r="L328" t="s">
        <v>4736</v>
      </c>
      <c r="M328" t="s">
        <v>1442</v>
      </c>
      <c r="N328" t="s">
        <v>164</v>
      </c>
      <c r="O328" t="s">
        <v>3816</v>
      </c>
      <c r="P328" t="s">
        <v>3851</v>
      </c>
      <c r="Q328" t="s">
        <v>3852</v>
      </c>
      <c r="R328" t="s">
        <v>4728</v>
      </c>
      <c r="S328" t="s">
        <v>4793</v>
      </c>
      <c r="T328" t="s">
        <v>4165</v>
      </c>
      <c r="U328" t="s">
        <v>4166</v>
      </c>
      <c r="V328" t="s">
        <v>624</v>
      </c>
      <c r="W328" t="s">
        <v>4140</v>
      </c>
      <c r="X328" t="s">
        <v>4167</v>
      </c>
      <c r="Y328" t="s">
        <v>4168</v>
      </c>
      <c r="Z328" t="s">
        <v>4737</v>
      </c>
      <c r="AA328" t="s">
        <v>4738</v>
      </c>
      <c r="AB328" t="s">
        <v>624</v>
      </c>
      <c r="AC328" t="s">
        <v>50</v>
      </c>
      <c r="AD328" t="s">
        <v>50</v>
      </c>
      <c r="AE328" t="s">
        <v>50</v>
      </c>
      <c r="AF328" t="s">
        <v>2126</v>
      </c>
      <c r="AG328" t="s">
        <v>4739</v>
      </c>
      <c r="AH328" t="s">
        <v>2126</v>
      </c>
      <c r="AI328" t="s">
        <v>4739</v>
      </c>
      <c r="AJ328" t="s">
        <v>2126</v>
      </c>
      <c r="AK328" t="s">
        <v>4739</v>
      </c>
      <c r="AL328" t="s">
        <v>4146</v>
      </c>
    </row>
    <row r="329" spans="1:38" ht="11.25" customHeight="1">
      <c r="A329" t="s">
        <v>9</v>
      </c>
      <c r="B329" t="s">
        <v>36</v>
      </c>
      <c r="C329" t="s">
        <v>38</v>
      </c>
      <c r="D329" t="s">
        <v>9</v>
      </c>
      <c r="E329" t="s">
        <v>4740</v>
      </c>
      <c r="F329" t="s">
        <v>4148</v>
      </c>
      <c r="G329" t="s">
        <v>3816</v>
      </c>
      <c r="H329" t="s">
        <v>3851</v>
      </c>
      <c r="I329" t="s">
        <v>3852</v>
      </c>
      <c r="J329" t="s">
        <v>4728</v>
      </c>
      <c r="K329" t="s">
        <v>4793</v>
      </c>
      <c r="L329" t="s">
        <v>4736</v>
      </c>
      <c r="M329" t="s">
        <v>1442</v>
      </c>
      <c r="N329" t="s">
        <v>164</v>
      </c>
      <c r="O329" t="s">
        <v>3816</v>
      </c>
      <c r="P329" t="s">
        <v>3851</v>
      </c>
      <c r="Q329" t="s">
        <v>3852</v>
      </c>
      <c r="R329" t="s">
        <v>4728</v>
      </c>
      <c r="S329" t="s">
        <v>4793</v>
      </c>
      <c r="T329" t="s">
        <v>4165</v>
      </c>
      <c r="U329" t="s">
        <v>4166</v>
      </c>
      <c r="V329" t="s">
        <v>624</v>
      </c>
      <c r="W329" t="s">
        <v>4140</v>
      </c>
      <c r="X329" t="s">
        <v>4167</v>
      </c>
      <c r="Y329" t="s">
        <v>4168</v>
      </c>
      <c r="Z329" t="s">
        <v>4737</v>
      </c>
      <c r="AA329" t="s">
        <v>4738</v>
      </c>
      <c r="AB329" t="s">
        <v>624</v>
      </c>
      <c r="AC329" t="s">
        <v>6</v>
      </c>
      <c r="AD329" t="s">
        <v>50</v>
      </c>
      <c r="AE329" t="s">
        <v>6</v>
      </c>
      <c r="AF329" t="s">
        <v>9</v>
      </c>
      <c r="AG329" t="s">
        <v>9</v>
      </c>
      <c r="AH329" t="s">
        <v>2126</v>
      </c>
      <c r="AI329" t="s">
        <v>4739</v>
      </c>
      <c r="AJ329" t="s">
        <v>2126</v>
      </c>
      <c r="AK329" t="s">
        <v>4739</v>
      </c>
      <c r="AL329" t="s">
        <v>9</v>
      </c>
    </row>
    <row r="330" spans="1:38" ht="11.25" customHeight="1">
      <c r="A330" t="s">
        <v>9</v>
      </c>
      <c r="B330" t="s">
        <v>36</v>
      </c>
      <c r="C330" t="s">
        <v>38</v>
      </c>
      <c r="D330" t="s">
        <v>9</v>
      </c>
      <c r="E330" t="s">
        <v>4741</v>
      </c>
      <c r="F330" t="s">
        <v>4148</v>
      </c>
      <c r="G330" t="s">
        <v>3816</v>
      </c>
      <c r="H330" t="s">
        <v>3851</v>
      </c>
      <c r="I330" t="s">
        <v>3852</v>
      </c>
      <c r="J330" t="s">
        <v>4728</v>
      </c>
      <c r="K330" t="s">
        <v>4793</v>
      </c>
      <c r="L330" t="s">
        <v>4736</v>
      </c>
      <c r="M330" t="s">
        <v>1442</v>
      </c>
      <c r="N330" t="s">
        <v>164</v>
      </c>
      <c r="O330" t="s">
        <v>3816</v>
      </c>
      <c r="P330" t="s">
        <v>3851</v>
      </c>
      <c r="Q330" t="s">
        <v>3852</v>
      </c>
      <c r="R330" t="s">
        <v>4728</v>
      </c>
      <c r="S330" t="s">
        <v>4793</v>
      </c>
      <c r="T330" t="s">
        <v>4165</v>
      </c>
      <c r="U330" t="s">
        <v>4166</v>
      </c>
      <c r="V330" t="s">
        <v>624</v>
      </c>
      <c r="W330" t="s">
        <v>4140</v>
      </c>
      <c r="X330" t="s">
        <v>4167</v>
      </c>
      <c r="Y330" t="s">
        <v>4168</v>
      </c>
      <c r="Z330" t="s">
        <v>4737</v>
      </c>
      <c r="AA330" t="s">
        <v>4738</v>
      </c>
      <c r="AB330" t="s">
        <v>624</v>
      </c>
      <c r="AC330" t="s">
        <v>6</v>
      </c>
      <c r="AD330" t="s">
        <v>50</v>
      </c>
      <c r="AE330" t="s">
        <v>6</v>
      </c>
      <c r="AF330" t="s">
        <v>9</v>
      </c>
      <c r="AG330" t="s">
        <v>9</v>
      </c>
      <c r="AH330" t="s">
        <v>2126</v>
      </c>
      <c r="AI330" t="s">
        <v>4739</v>
      </c>
      <c r="AJ330" t="s">
        <v>2126</v>
      </c>
      <c r="AK330" t="s">
        <v>4739</v>
      </c>
      <c r="AL330" t="s">
        <v>9</v>
      </c>
    </row>
    <row r="331" spans="1:38" ht="11.25" customHeight="1">
      <c r="A331" t="s">
        <v>9</v>
      </c>
      <c r="B331" t="s">
        <v>36</v>
      </c>
      <c r="C331" t="s">
        <v>38</v>
      </c>
      <c r="D331" t="s">
        <v>9</v>
      </c>
      <c r="E331" t="s">
        <v>4742</v>
      </c>
      <c r="F331" t="s">
        <v>4148</v>
      </c>
      <c r="G331" t="s">
        <v>3816</v>
      </c>
      <c r="H331" t="s">
        <v>3851</v>
      </c>
      <c r="I331" t="s">
        <v>3852</v>
      </c>
      <c r="J331" t="s">
        <v>4728</v>
      </c>
      <c r="K331" t="s">
        <v>4793</v>
      </c>
      <c r="L331" t="s">
        <v>1464</v>
      </c>
      <c r="M331" t="s">
        <v>4743</v>
      </c>
      <c r="N331" t="s">
        <v>164</v>
      </c>
      <c r="O331" t="s">
        <v>3816</v>
      </c>
      <c r="P331" t="s">
        <v>3851</v>
      </c>
      <c r="Q331" t="s">
        <v>3852</v>
      </c>
      <c r="R331" t="s">
        <v>4728</v>
      </c>
      <c r="S331" t="s">
        <v>4793</v>
      </c>
      <c r="T331" t="s">
        <v>4165</v>
      </c>
      <c r="U331" t="s">
        <v>4166</v>
      </c>
      <c r="V331" t="s">
        <v>624</v>
      </c>
      <c r="W331" t="s">
        <v>4140</v>
      </c>
      <c r="X331" t="s">
        <v>4167</v>
      </c>
      <c r="Y331" t="s">
        <v>4168</v>
      </c>
      <c r="Z331" t="s">
        <v>4744</v>
      </c>
      <c r="AA331" t="s">
        <v>4745</v>
      </c>
      <c r="AB331" t="s">
        <v>624</v>
      </c>
      <c r="AC331" t="s">
        <v>6</v>
      </c>
      <c r="AD331" t="s">
        <v>50</v>
      </c>
      <c r="AE331" t="s">
        <v>6</v>
      </c>
      <c r="AF331" t="s">
        <v>9</v>
      </c>
      <c r="AG331" t="s">
        <v>9</v>
      </c>
      <c r="AH331" t="s">
        <v>3761</v>
      </c>
      <c r="AI331" t="s">
        <v>4746</v>
      </c>
      <c r="AJ331" t="s">
        <v>3761</v>
      </c>
      <c r="AK331" t="s">
        <v>4746</v>
      </c>
      <c r="AL331" t="s">
        <v>9</v>
      </c>
    </row>
    <row r="332" spans="1:38" ht="11.25" customHeight="1">
      <c r="A332" t="s">
        <v>9</v>
      </c>
      <c r="B332" t="s">
        <v>36</v>
      </c>
      <c r="C332" t="s">
        <v>38</v>
      </c>
      <c r="D332" t="s">
        <v>9</v>
      </c>
      <c r="E332" t="s">
        <v>4747</v>
      </c>
      <c r="F332" t="s">
        <v>4148</v>
      </c>
      <c r="G332" t="s">
        <v>3816</v>
      </c>
      <c r="H332" t="s">
        <v>3851</v>
      </c>
      <c r="I332" t="s">
        <v>3852</v>
      </c>
      <c r="J332" t="s">
        <v>4728</v>
      </c>
      <c r="K332" t="s">
        <v>4793</v>
      </c>
      <c r="L332" t="s">
        <v>1464</v>
      </c>
      <c r="M332" t="s">
        <v>4743</v>
      </c>
      <c r="N332" t="s">
        <v>164</v>
      </c>
      <c r="O332" t="s">
        <v>3816</v>
      </c>
      <c r="P332" t="s">
        <v>3851</v>
      </c>
      <c r="Q332" t="s">
        <v>3852</v>
      </c>
      <c r="R332" t="s">
        <v>4728</v>
      </c>
      <c r="S332" t="s">
        <v>4793</v>
      </c>
      <c r="T332" t="s">
        <v>4165</v>
      </c>
      <c r="U332" t="s">
        <v>4166</v>
      </c>
      <c r="V332" t="s">
        <v>624</v>
      </c>
      <c r="W332" t="s">
        <v>4140</v>
      </c>
      <c r="X332" t="s">
        <v>4167</v>
      </c>
      <c r="Y332" t="s">
        <v>4168</v>
      </c>
      <c r="Z332" t="s">
        <v>4744</v>
      </c>
      <c r="AA332" t="s">
        <v>4745</v>
      </c>
      <c r="AB332" t="s">
        <v>624</v>
      </c>
      <c r="AC332" t="s">
        <v>6</v>
      </c>
      <c r="AD332" t="s">
        <v>50</v>
      </c>
      <c r="AE332" t="s">
        <v>6</v>
      </c>
      <c r="AF332" t="s">
        <v>9</v>
      </c>
      <c r="AG332" t="s">
        <v>9</v>
      </c>
      <c r="AH332" t="s">
        <v>3761</v>
      </c>
      <c r="AI332" t="s">
        <v>4746</v>
      </c>
      <c r="AJ332" t="s">
        <v>3761</v>
      </c>
      <c r="AK332" t="s">
        <v>4746</v>
      </c>
      <c r="AL332" t="s">
        <v>9</v>
      </c>
    </row>
    <row r="333" spans="1:38" ht="11.25" customHeight="1">
      <c r="A333" t="s">
        <v>9</v>
      </c>
      <c r="B333" t="s">
        <v>36</v>
      </c>
      <c r="C333" t="s">
        <v>38</v>
      </c>
      <c r="D333" t="s">
        <v>9</v>
      </c>
      <c r="E333" t="s">
        <v>4578</v>
      </c>
      <c r="F333" t="s">
        <v>1438</v>
      </c>
      <c r="G333" t="s">
        <v>3816</v>
      </c>
      <c r="H333" t="s">
        <v>3851</v>
      </c>
      <c r="I333" t="s">
        <v>3852</v>
      </c>
      <c r="J333" t="s">
        <v>4728</v>
      </c>
      <c r="K333" t="s">
        <v>4793</v>
      </c>
      <c r="L333" t="s">
        <v>4748</v>
      </c>
      <c r="M333" t="s">
        <v>1442</v>
      </c>
      <c r="N333" t="s">
        <v>164</v>
      </c>
      <c r="O333" t="s">
        <v>3816</v>
      </c>
      <c r="P333" t="s">
        <v>3851</v>
      </c>
      <c r="Q333" t="s">
        <v>3852</v>
      </c>
      <c r="R333" t="s">
        <v>4728</v>
      </c>
      <c r="S333" t="s">
        <v>4793</v>
      </c>
      <c r="T333" t="s">
        <v>4165</v>
      </c>
      <c r="U333" t="s">
        <v>4166</v>
      </c>
      <c r="V333" t="s">
        <v>624</v>
      </c>
      <c r="W333" t="s">
        <v>4140</v>
      </c>
      <c r="X333" t="s">
        <v>4167</v>
      </c>
      <c r="Y333" t="s">
        <v>4168</v>
      </c>
      <c r="Z333" t="s">
        <v>4749</v>
      </c>
      <c r="AA333" t="s">
        <v>4750</v>
      </c>
      <c r="AB333" t="s">
        <v>624</v>
      </c>
      <c r="AC333" t="s">
        <v>50</v>
      </c>
      <c r="AD333" t="s">
        <v>50</v>
      </c>
      <c r="AE333" t="s">
        <v>50</v>
      </c>
      <c r="AF333" t="s">
        <v>4533</v>
      </c>
      <c r="AG333" t="s">
        <v>4751</v>
      </c>
      <c r="AH333" t="s">
        <v>4533</v>
      </c>
      <c r="AI333" t="s">
        <v>4751</v>
      </c>
      <c r="AJ333" t="s">
        <v>4533</v>
      </c>
      <c r="AK333" t="s">
        <v>4751</v>
      </c>
      <c r="AL333" t="s">
        <v>4146</v>
      </c>
    </row>
    <row r="334" spans="1:38" ht="11.25" customHeight="1">
      <c r="A334" t="s">
        <v>9</v>
      </c>
      <c r="B334" t="s">
        <v>36</v>
      </c>
      <c r="C334" t="s">
        <v>38</v>
      </c>
      <c r="D334" t="s">
        <v>9</v>
      </c>
      <c r="E334" t="s">
        <v>1449</v>
      </c>
      <c r="F334" t="s">
        <v>1438</v>
      </c>
      <c r="G334" t="s">
        <v>3816</v>
      </c>
      <c r="H334" t="s">
        <v>3851</v>
      </c>
      <c r="I334" t="s">
        <v>3852</v>
      </c>
      <c r="J334" t="s">
        <v>4728</v>
      </c>
      <c r="K334" t="s">
        <v>4793</v>
      </c>
      <c r="L334" t="s">
        <v>1468</v>
      </c>
      <c r="M334" t="s">
        <v>1442</v>
      </c>
      <c r="N334" t="s">
        <v>164</v>
      </c>
      <c r="O334" t="s">
        <v>3816</v>
      </c>
      <c r="P334" t="s">
        <v>3851</v>
      </c>
      <c r="Q334" t="s">
        <v>3852</v>
      </c>
      <c r="R334" t="s">
        <v>4728</v>
      </c>
      <c r="S334" t="s">
        <v>4793</v>
      </c>
      <c r="T334" t="s">
        <v>4138</v>
      </c>
      <c r="U334" t="s">
        <v>4139</v>
      </c>
      <c r="V334" t="s">
        <v>624</v>
      </c>
      <c r="W334" t="s">
        <v>4140</v>
      </c>
      <c r="X334" t="s">
        <v>4141</v>
      </c>
      <c r="Y334" t="s">
        <v>4142</v>
      </c>
      <c r="Z334" t="s">
        <v>4752</v>
      </c>
      <c r="AA334" t="s">
        <v>4753</v>
      </c>
      <c r="AB334" t="s">
        <v>624</v>
      </c>
      <c r="AC334" t="s">
        <v>50</v>
      </c>
      <c r="AD334" t="s">
        <v>50</v>
      </c>
      <c r="AE334" t="s">
        <v>50</v>
      </c>
      <c r="AF334" t="s">
        <v>1550</v>
      </c>
      <c r="AG334" t="s">
        <v>4754</v>
      </c>
      <c r="AH334" t="s">
        <v>1550</v>
      </c>
      <c r="AI334" t="s">
        <v>4754</v>
      </c>
      <c r="AJ334" t="s">
        <v>1550</v>
      </c>
      <c r="AK334" t="s">
        <v>4754</v>
      </c>
      <c r="AL334" t="s">
        <v>4146</v>
      </c>
    </row>
    <row r="335" spans="1:38" ht="11.25" customHeight="1">
      <c r="A335" t="s">
        <v>9</v>
      </c>
      <c r="B335" t="s">
        <v>36</v>
      </c>
      <c r="C335" t="s">
        <v>38</v>
      </c>
      <c r="D335" t="s">
        <v>9</v>
      </c>
      <c r="E335" t="s">
        <v>1456</v>
      </c>
      <c r="F335" t="s">
        <v>1438</v>
      </c>
      <c r="G335" t="s">
        <v>3816</v>
      </c>
      <c r="H335" t="s">
        <v>3851</v>
      </c>
      <c r="I335" t="s">
        <v>3852</v>
      </c>
      <c r="J335" t="s">
        <v>4728</v>
      </c>
      <c r="K335" t="s">
        <v>4793</v>
      </c>
      <c r="L335" t="s">
        <v>4612</v>
      </c>
      <c r="M335" t="s">
        <v>1442</v>
      </c>
      <c r="N335" t="s">
        <v>164</v>
      </c>
      <c r="O335" t="s">
        <v>3816</v>
      </c>
      <c r="P335" t="s">
        <v>3851</v>
      </c>
      <c r="Q335" t="s">
        <v>3852</v>
      </c>
      <c r="R335" t="s">
        <v>4728</v>
      </c>
      <c r="S335" t="s">
        <v>4793</v>
      </c>
      <c r="T335" t="s">
        <v>4138</v>
      </c>
      <c r="U335" t="s">
        <v>4139</v>
      </c>
      <c r="V335" t="s">
        <v>624</v>
      </c>
      <c r="W335" t="s">
        <v>4140</v>
      </c>
      <c r="X335" t="s">
        <v>4141</v>
      </c>
      <c r="Y335" t="s">
        <v>4142</v>
      </c>
      <c r="Z335" t="s">
        <v>4755</v>
      </c>
      <c r="AA335" t="s">
        <v>4756</v>
      </c>
      <c r="AB335" t="s">
        <v>624</v>
      </c>
      <c r="AC335" t="s">
        <v>50</v>
      </c>
      <c r="AD335" t="s">
        <v>50</v>
      </c>
      <c r="AE335" t="s">
        <v>50</v>
      </c>
      <c r="AF335" t="s">
        <v>1550</v>
      </c>
      <c r="AG335" t="s">
        <v>4757</v>
      </c>
      <c r="AH335" t="s">
        <v>1550</v>
      </c>
      <c r="AI335" t="s">
        <v>4757</v>
      </c>
      <c r="AJ335" t="s">
        <v>1550</v>
      </c>
      <c r="AK335" t="s">
        <v>4757</v>
      </c>
      <c r="AL335" t="s">
        <v>4146</v>
      </c>
    </row>
    <row r="336" spans="1:38" ht="11.25" customHeight="1">
      <c r="A336" t="s">
        <v>9</v>
      </c>
      <c r="B336" t="s">
        <v>36</v>
      </c>
      <c r="C336" t="s">
        <v>38</v>
      </c>
      <c r="D336" t="s">
        <v>9</v>
      </c>
      <c r="E336" t="s">
        <v>4408</v>
      </c>
      <c r="F336" t="s">
        <v>4148</v>
      </c>
      <c r="G336" t="s">
        <v>3816</v>
      </c>
      <c r="H336" t="s">
        <v>3851</v>
      </c>
      <c r="I336" t="s">
        <v>3852</v>
      </c>
      <c r="J336" t="s">
        <v>4728</v>
      </c>
      <c r="K336" t="s">
        <v>4793</v>
      </c>
      <c r="L336" t="s">
        <v>4612</v>
      </c>
      <c r="M336" t="s">
        <v>1442</v>
      </c>
      <c r="N336" t="s">
        <v>164</v>
      </c>
      <c r="O336" t="s">
        <v>3816</v>
      </c>
      <c r="P336" t="s">
        <v>3851</v>
      </c>
      <c r="Q336" t="s">
        <v>3852</v>
      </c>
      <c r="R336" t="s">
        <v>4728</v>
      </c>
      <c r="S336" t="s">
        <v>4793</v>
      </c>
      <c r="T336" t="s">
        <v>4138</v>
      </c>
      <c r="U336" t="s">
        <v>4139</v>
      </c>
      <c r="V336" t="s">
        <v>624</v>
      </c>
      <c r="W336" t="s">
        <v>4140</v>
      </c>
      <c r="X336" t="s">
        <v>4141</v>
      </c>
      <c r="Y336" t="s">
        <v>4142</v>
      </c>
      <c r="Z336" t="s">
        <v>4755</v>
      </c>
      <c r="AA336" t="s">
        <v>4756</v>
      </c>
      <c r="AB336" t="s">
        <v>624</v>
      </c>
      <c r="AC336" t="s">
        <v>6</v>
      </c>
      <c r="AD336" t="s">
        <v>50</v>
      </c>
      <c r="AE336" t="s">
        <v>6</v>
      </c>
      <c r="AF336" t="s">
        <v>9</v>
      </c>
      <c r="AG336" t="s">
        <v>9</v>
      </c>
      <c r="AH336" t="s">
        <v>1550</v>
      </c>
      <c r="AI336" t="s">
        <v>4757</v>
      </c>
      <c r="AJ336" t="s">
        <v>1550</v>
      </c>
      <c r="AK336" t="s">
        <v>4757</v>
      </c>
      <c r="AL336" t="s">
        <v>9</v>
      </c>
    </row>
    <row r="337" spans="1:38" ht="11.25" customHeight="1">
      <c r="A337" t="s">
        <v>9</v>
      </c>
      <c r="B337" t="s">
        <v>36</v>
      </c>
      <c r="C337" t="s">
        <v>38</v>
      </c>
      <c r="D337" t="s">
        <v>9</v>
      </c>
      <c r="E337" t="s">
        <v>1500</v>
      </c>
      <c r="F337" t="s">
        <v>1438</v>
      </c>
      <c r="G337" t="s">
        <v>3816</v>
      </c>
      <c r="H337" t="s">
        <v>3851</v>
      </c>
      <c r="I337" t="s">
        <v>3852</v>
      </c>
      <c r="J337" t="s">
        <v>4728</v>
      </c>
      <c r="K337" t="s">
        <v>4793</v>
      </c>
      <c r="L337" t="s">
        <v>4758</v>
      </c>
      <c r="M337" t="s">
        <v>1442</v>
      </c>
      <c r="N337" t="s">
        <v>164</v>
      </c>
      <c r="O337" t="s">
        <v>3816</v>
      </c>
      <c r="P337" t="s">
        <v>3851</v>
      </c>
      <c r="Q337" t="s">
        <v>3852</v>
      </c>
      <c r="R337" t="s">
        <v>4728</v>
      </c>
      <c r="S337" t="s">
        <v>4793</v>
      </c>
      <c r="T337" t="s">
        <v>4165</v>
      </c>
      <c r="U337" t="s">
        <v>4166</v>
      </c>
      <c r="V337" t="s">
        <v>624</v>
      </c>
      <c r="W337" t="s">
        <v>4140</v>
      </c>
      <c r="X337" t="s">
        <v>4167</v>
      </c>
      <c r="Y337" t="s">
        <v>4168</v>
      </c>
      <c r="Z337" t="s">
        <v>4730</v>
      </c>
      <c r="AA337" t="s">
        <v>4731</v>
      </c>
      <c r="AB337" t="s">
        <v>624</v>
      </c>
      <c r="AC337" t="s">
        <v>50</v>
      </c>
      <c r="AD337" t="s">
        <v>50</v>
      </c>
      <c r="AE337" t="s">
        <v>50</v>
      </c>
      <c r="AF337" t="s">
        <v>138</v>
      </c>
      <c r="AG337" t="s">
        <v>4759</v>
      </c>
      <c r="AH337" t="s">
        <v>138</v>
      </c>
      <c r="AI337" t="s">
        <v>4759</v>
      </c>
      <c r="AJ337" t="s">
        <v>138</v>
      </c>
      <c r="AK337" t="s">
        <v>4759</v>
      </c>
      <c r="AL337" t="s">
        <v>4146</v>
      </c>
    </row>
    <row r="338" spans="1:38" ht="11.25" customHeight="1">
      <c r="A338" t="s">
        <v>9</v>
      </c>
      <c r="B338" t="s">
        <v>36</v>
      </c>
      <c r="C338" t="s">
        <v>38</v>
      </c>
      <c r="D338" t="s">
        <v>9</v>
      </c>
      <c r="E338" t="s">
        <v>4202</v>
      </c>
      <c r="F338" t="s">
        <v>1438</v>
      </c>
      <c r="G338" t="s">
        <v>3816</v>
      </c>
      <c r="H338" t="s">
        <v>3851</v>
      </c>
      <c r="I338" t="s">
        <v>3852</v>
      </c>
      <c r="J338" t="s">
        <v>4728</v>
      </c>
      <c r="K338" t="s">
        <v>4793</v>
      </c>
      <c r="L338" t="s">
        <v>4760</v>
      </c>
      <c r="M338" t="s">
        <v>1442</v>
      </c>
      <c r="N338" t="s">
        <v>164</v>
      </c>
      <c r="O338" t="s">
        <v>3816</v>
      </c>
      <c r="P338" t="s">
        <v>3851</v>
      </c>
      <c r="Q338" t="s">
        <v>3852</v>
      </c>
      <c r="R338" t="s">
        <v>4728</v>
      </c>
      <c r="S338" t="s">
        <v>4793</v>
      </c>
      <c r="T338" t="s">
        <v>4165</v>
      </c>
      <c r="U338" t="s">
        <v>4168</v>
      </c>
      <c r="V338" t="s">
        <v>624</v>
      </c>
      <c r="W338" t="s">
        <v>4140</v>
      </c>
      <c r="X338" t="s">
        <v>4167</v>
      </c>
      <c r="Y338" t="s">
        <v>4168</v>
      </c>
      <c r="Z338" t="s">
        <v>4761</v>
      </c>
      <c r="AA338" t="s">
        <v>4598</v>
      </c>
      <c r="AB338" t="s">
        <v>624</v>
      </c>
      <c r="AC338" t="s">
        <v>50</v>
      </c>
      <c r="AD338" t="s">
        <v>50</v>
      </c>
      <c r="AE338" t="s">
        <v>50</v>
      </c>
      <c r="AF338" t="s">
        <v>4762</v>
      </c>
      <c r="AG338" t="s">
        <v>4516</v>
      </c>
      <c r="AH338" t="s">
        <v>4762</v>
      </c>
      <c r="AI338" t="s">
        <v>4516</v>
      </c>
      <c r="AJ338" t="s">
        <v>4762</v>
      </c>
      <c r="AK338" t="s">
        <v>4516</v>
      </c>
      <c r="AL338" t="s">
        <v>4146</v>
      </c>
    </row>
    <row r="339" spans="1:38" ht="11.25" customHeight="1">
      <c r="A339" t="s">
        <v>9</v>
      </c>
      <c r="B339" t="s">
        <v>36</v>
      </c>
      <c r="C339" t="s">
        <v>38</v>
      </c>
      <c r="D339" t="s">
        <v>9</v>
      </c>
      <c r="E339" t="s">
        <v>1467</v>
      </c>
      <c r="F339" t="s">
        <v>1438</v>
      </c>
      <c r="G339" t="s">
        <v>3816</v>
      </c>
      <c r="H339" t="s">
        <v>3851</v>
      </c>
      <c r="I339" t="s">
        <v>3852</v>
      </c>
      <c r="J339" t="s">
        <v>4728</v>
      </c>
      <c r="K339" t="s">
        <v>4793</v>
      </c>
      <c r="L339" t="s">
        <v>4447</v>
      </c>
      <c r="M339" t="s">
        <v>421</v>
      </c>
      <c r="N339" t="s">
        <v>164</v>
      </c>
      <c r="O339" t="s">
        <v>3816</v>
      </c>
      <c r="P339" t="s">
        <v>3851</v>
      </c>
      <c r="Q339" t="s">
        <v>3852</v>
      </c>
      <c r="R339" t="s">
        <v>4728</v>
      </c>
      <c r="S339" t="s">
        <v>4793</v>
      </c>
      <c r="T339" t="s">
        <v>4165</v>
      </c>
      <c r="U339" t="s">
        <v>4166</v>
      </c>
      <c r="V339" t="s">
        <v>624</v>
      </c>
      <c r="W339" t="s">
        <v>4140</v>
      </c>
      <c r="X339" t="s">
        <v>4167</v>
      </c>
      <c r="Y339" t="s">
        <v>4168</v>
      </c>
      <c r="Z339" t="s">
        <v>4763</v>
      </c>
      <c r="AA339" t="s">
        <v>4598</v>
      </c>
      <c r="AB339" t="s">
        <v>624</v>
      </c>
      <c r="AC339" t="s">
        <v>50</v>
      </c>
      <c r="AD339" t="s">
        <v>50</v>
      </c>
      <c r="AE339" t="s">
        <v>50</v>
      </c>
      <c r="AF339" t="s">
        <v>79</v>
      </c>
      <c r="AG339" t="s">
        <v>4764</v>
      </c>
      <c r="AH339" t="s">
        <v>79</v>
      </c>
      <c r="AI339" t="s">
        <v>4764</v>
      </c>
      <c r="AJ339" t="s">
        <v>79</v>
      </c>
      <c r="AK339" t="s">
        <v>4764</v>
      </c>
      <c r="AL339" t="s">
        <v>4146</v>
      </c>
    </row>
    <row r="340" spans="1:38" ht="11.25" customHeight="1">
      <c r="A340" t="s">
        <v>9</v>
      </c>
      <c r="B340" t="s">
        <v>36</v>
      </c>
      <c r="C340" t="s">
        <v>38</v>
      </c>
      <c r="D340" t="s">
        <v>9</v>
      </c>
      <c r="E340" t="s">
        <v>1471</v>
      </c>
      <c r="F340" t="s">
        <v>1438</v>
      </c>
      <c r="G340" t="s">
        <v>3816</v>
      </c>
      <c r="H340" t="s">
        <v>3851</v>
      </c>
      <c r="I340" t="s">
        <v>3852</v>
      </c>
      <c r="J340" t="s">
        <v>4728</v>
      </c>
      <c r="K340" t="s">
        <v>4793</v>
      </c>
      <c r="L340" t="s">
        <v>4765</v>
      </c>
      <c r="M340" t="s">
        <v>1442</v>
      </c>
      <c r="N340" t="s">
        <v>164</v>
      </c>
      <c r="O340" t="s">
        <v>3816</v>
      </c>
      <c r="P340" t="s">
        <v>3851</v>
      </c>
      <c r="Q340" t="s">
        <v>3852</v>
      </c>
      <c r="R340" t="s">
        <v>4728</v>
      </c>
      <c r="S340" t="s">
        <v>4793</v>
      </c>
      <c r="T340" t="s">
        <v>4165</v>
      </c>
      <c r="U340" t="s">
        <v>4166</v>
      </c>
      <c r="V340" t="s">
        <v>624</v>
      </c>
      <c r="W340" t="s">
        <v>4140</v>
      </c>
      <c r="X340" t="s">
        <v>4167</v>
      </c>
      <c r="Y340" t="s">
        <v>4168</v>
      </c>
      <c r="Z340" t="s">
        <v>4730</v>
      </c>
      <c r="AA340" t="s">
        <v>4731</v>
      </c>
      <c r="AB340" t="s">
        <v>624</v>
      </c>
      <c r="AC340" t="s">
        <v>50</v>
      </c>
      <c r="AD340" t="s">
        <v>50</v>
      </c>
      <c r="AE340" t="s">
        <v>50</v>
      </c>
      <c r="AF340" t="s">
        <v>4766</v>
      </c>
      <c r="AG340" t="s">
        <v>4767</v>
      </c>
      <c r="AH340" t="s">
        <v>4766</v>
      </c>
      <c r="AI340" t="s">
        <v>4767</v>
      </c>
      <c r="AJ340" t="s">
        <v>4766</v>
      </c>
      <c r="AK340" t="s">
        <v>4767</v>
      </c>
      <c r="AL340" t="s">
        <v>4146</v>
      </c>
    </row>
    <row r="341" spans="1:38" ht="11.25" customHeight="1">
      <c r="A341" t="s">
        <v>9</v>
      </c>
      <c r="B341" t="s">
        <v>36</v>
      </c>
      <c r="C341" t="s">
        <v>38</v>
      </c>
      <c r="D341" t="s">
        <v>9</v>
      </c>
      <c r="E341" t="s">
        <v>4768</v>
      </c>
      <c r="F341" t="s">
        <v>4148</v>
      </c>
      <c r="G341" t="s">
        <v>3816</v>
      </c>
      <c r="H341" t="s">
        <v>3851</v>
      </c>
      <c r="I341" t="s">
        <v>3852</v>
      </c>
      <c r="J341" t="s">
        <v>4728</v>
      </c>
      <c r="K341" t="s">
        <v>4793</v>
      </c>
      <c r="L341" t="s">
        <v>4765</v>
      </c>
      <c r="M341" t="s">
        <v>1442</v>
      </c>
      <c r="N341" t="s">
        <v>164</v>
      </c>
      <c r="O341" t="s">
        <v>3816</v>
      </c>
      <c r="P341" t="s">
        <v>3851</v>
      </c>
      <c r="Q341" t="s">
        <v>3852</v>
      </c>
      <c r="R341" t="s">
        <v>4728</v>
      </c>
      <c r="S341" t="s">
        <v>4793</v>
      </c>
      <c r="T341" t="s">
        <v>4165</v>
      </c>
      <c r="U341" t="s">
        <v>4166</v>
      </c>
      <c r="V341" t="s">
        <v>624</v>
      </c>
      <c r="W341" t="s">
        <v>4140</v>
      </c>
      <c r="X341" t="s">
        <v>4167</v>
      </c>
      <c r="Y341" t="s">
        <v>4168</v>
      </c>
      <c r="Z341" t="s">
        <v>4730</v>
      </c>
      <c r="AA341" t="s">
        <v>4731</v>
      </c>
      <c r="AB341" t="s">
        <v>624</v>
      </c>
      <c r="AC341" t="s">
        <v>6</v>
      </c>
      <c r="AD341" t="s">
        <v>50</v>
      </c>
      <c r="AE341" t="s">
        <v>6</v>
      </c>
      <c r="AF341" t="s">
        <v>9</v>
      </c>
      <c r="AG341" t="s">
        <v>9</v>
      </c>
      <c r="AH341" t="s">
        <v>4766</v>
      </c>
      <c r="AI341" t="s">
        <v>4767</v>
      </c>
      <c r="AJ341" t="s">
        <v>4766</v>
      </c>
      <c r="AK341" t="s">
        <v>4767</v>
      </c>
      <c r="AL341" t="s">
        <v>9</v>
      </c>
    </row>
    <row r="342" spans="1:38" ht="11.25" customHeight="1">
      <c r="A342" t="s">
        <v>9</v>
      </c>
      <c r="B342" t="s">
        <v>36</v>
      </c>
      <c r="C342" t="s">
        <v>38</v>
      </c>
      <c r="D342" t="s">
        <v>9</v>
      </c>
      <c r="E342" t="s">
        <v>1461</v>
      </c>
      <c r="F342" t="s">
        <v>1438</v>
      </c>
      <c r="G342" t="s">
        <v>3816</v>
      </c>
      <c r="H342" t="s">
        <v>3851</v>
      </c>
      <c r="I342" t="s">
        <v>3852</v>
      </c>
      <c r="J342" t="s">
        <v>4728</v>
      </c>
      <c r="K342" t="s">
        <v>4793</v>
      </c>
      <c r="L342" t="s">
        <v>4361</v>
      </c>
      <c r="M342" t="s">
        <v>1442</v>
      </c>
      <c r="N342" t="s">
        <v>164</v>
      </c>
      <c r="O342" t="s">
        <v>3816</v>
      </c>
      <c r="P342" t="s">
        <v>3851</v>
      </c>
      <c r="Q342" t="s">
        <v>3852</v>
      </c>
      <c r="R342" t="s">
        <v>4728</v>
      </c>
      <c r="S342" t="s">
        <v>4793</v>
      </c>
      <c r="T342" t="s">
        <v>4165</v>
      </c>
      <c r="U342" t="s">
        <v>4166</v>
      </c>
      <c r="V342" t="s">
        <v>624</v>
      </c>
      <c r="W342" t="s">
        <v>4140</v>
      </c>
      <c r="X342" t="s">
        <v>4167</v>
      </c>
      <c r="Y342" t="s">
        <v>4168</v>
      </c>
      <c r="Z342" t="s">
        <v>4730</v>
      </c>
      <c r="AA342" t="s">
        <v>4731</v>
      </c>
      <c r="AB342" t="s">
        <v>624</v>
      </c>
      <c r="AC342" t="s">
        <v>50</v>
      </c>
      <c r="AD342" t="s">
        <v>50</v>
      </c>
      <c r="AE342" t="s">
        <v>50</v>
      </c>
      <c r="AF342" t="s">
        <v>4418</v>
      </c>
      <c r="AG342" t="s">
        <v>4769</v>
      </c>
      <c r="AH342" t="s">
        <v>4418</v>
      </c>
      <c r="AI342" t="s">
        <v>4769</v>
      </c>
      <c r="AJ342" t="s">
        <v>4418</v>
      </c>
      <c r="AK342" t="s">
        <v>4769</v>
      </c>
      <c r="AL342" t="s">
        <v>4146</v>
      </c>
    </row>
    <row r="343" spans="1:38" ht="11.25" customHeight="1">
      <c r="A343" t="s">
        <v>9</v>
      </c>
      <c r="B343" t="s">
        <v>36</v>
      </c>
      <c r="C343" t="s">
        <v>38</v>
      </c>
      <c r="D343" t="s">
        <v>9</v>
      </c>
      <c r="E343" t="s">
        <v>4234</v>
      </c>
      <c r="F343" t="s">
        <v>1438</v>
      </c>
      <c r="G343" t="s">
        <v>3816</v>
      </c>
      <c r="H343" t="s">
        <v>3851</v>
      </c>
      <c r="I343" t="s">
        <v>3852</v>
      </c>
      <c r="J343" t="s">
        <v>4728</v>
      </c>
      <c r="K343" t="s">
        <v>4793</v>
      </c>
      <c r="L343" t="s">
        <v>4733</v>
      </c>
      <c r="M343" t="s">
        <v>1442</v>
      </c>
      <c r="N343" t="s">
        <v>164</v>
      </c>
      <c r="O343" t="s">
        <v>3816</v>
      </c>
      <c r="P343" t="s">
        <v>3851</v>
      </c>
      <c r="Q343" t="s">
        <v>3852</v>
      </c>
      <c r="R343" t="s">
        <v>4728</v>
      </c>
      <c r="S343" t="s">
        <v>4793</v>
      </c>
      <c r="T343" t="s">
        <v>4165</v>
      </c>
      <c r="U343" t="s">
        <v>4166</v>
      </c>
      <c r="V343" t="s">
        <v>624</v>
      </c>
      <c r="W343" t="s">
        <v>4140</v>
      </c>
      <c r="X343" t="s">
        <v>4167</v>
      </c>
      <c r="Y343" t="s">
        <v>4168</v>
      </c>
      <c r="Z343" t="s">
        <v>4730</v>
      </c>
      <c r="AA343" t="s">
        <v>4731</v>
      </c>
      <c r="AB343" t="s">
        <v>624</v>
      </c>
      <c r="AC343" t="s">
        <v>50</v>
      </c>
      <c r="AD343" t="s">
        <v>50</v>
      </c>
      <c r="AE343" t="s">
        <v>50</v>
      </c>
      <c r="AF343" t="s">
        <v>4734</v>
      </c>
      <c r="AG343" t="s">
        <v>4770</v>
      </c>
      <c r="AH343" t="s">
        <v>4734</v>
      </c>
      <c r="AI343" t="s">
        <v>4770</v>
      </c>
      <c r="AJ343" t="s">
        <v>4734</v>
      </c>
      <c r="AK343" t="s">
        <v>4770</v>
      </c>
      <c r="AL343" t="s">
        <v>4146</v>
      </c>
    </row>
    <row r="344" spans="1:38" ht="11.25" customHeight="1">
      <c r="A344" t="s">
        <v>9</v>
      </c>
      <c r="B344" t="s">
        <v>36</v>
      </c>
      <c r="C344" t="s">
        <v>38</v>
      </c>
      <c r="D344" t="s">
        <v>9</v>
      </c>
      <c r="E344" t="s">
        <v>4223</v>
      </c>
      <c r="F344" t="s">
        <v>1438</v>
      </c>
      <c r="G344" t="s">
        <v>3816</v>
      </c>
      <c r="H344" t="s">
        <v>3851</v>
      </c>
      <c r="I344" t="s">
        <v>3852</v>
      </c>
      <c r="J344" t="s">
        <v>4728</v>
      </c>
      <c r="K344" t="s">
        <v>4793</v>
      </c>
      <c r="L344" t="s">
        <v>1464</v>
      </c>
      <c r="M344" t="s">
        <v>4743</v>
      </c>
      <c r="N344" t="s">
        <v>164</v>
      </c>
      <c r="O344" t="s">
        <v>3816</v>
      </c>
      <c r="P344" t="s">
        <v>3851</v>
      </c>
      <c r="Q344" t="s">
        <v>3852</v>
      </c>
      <c r="R344" t="s">
        <v>4728</v>
      </c>
      <c r="S344" t="s">
        <v>4793</v>
      </c>
      <c r="T344" t="s">
        <v>4165</v>
      </c>
      <c r="U344" t="s">
        <v>4166</v>
      </c>
      <c r="V344" t="s">
        <v>624</v>
      </c>
      <c r="W344" t="s">
        <v>4140</v>
      </c>
      <c r="X344" t="s">
        <v>4167</v>
      </c>
      <c r="Y344" t="s">
        <v>4168</v>
      </c>
      <c r="Z344" t="s">
        <v>4744</v>
      </c>
      <c r="AA344" t="s">
        <v>4745</v>
      </c>
      <c r="AB344" t="s">
        <v>624</v>
      </c>
      <c r="AC344" t="s">
        <v>50</v>
      </c>
      <c r="AD344" t="s">
        <v>50</v>
      </c>
      <c r="AE344" t="s">
        <v>50</v>
      </c>
      <c r="AF344" t="s">
        <v>3761</v>
      </c>
      <c r="AG344" t="s">
        <v>4746</v>
      </c>
      <c r="AH344" t="s">
        <v>3761</v>
      </c>
      <c r="AI344" t="s">
        <v>4746</v>
      </c>
      <c r="AJ344" t="s">
        <v>3761</v>
      </c>
      <c r="AK344" t="s">
        <v>4746</v>
      </c>
      <c r="AL344" t="s">
        <v>4146</v>
      </c>
    </row>
    <row r="345" spans="1:38" ht="11.25" customHeight="1">
      <c r="A345" t="s">
        <v>9</v>
      </c>
      <c r="B345" t="s">
        <v>36</v>
      </c>
      <c r="C345" t="s">
        <v>38</v>
      </c>
      <c r="D345" t="s">
        <v>9</v>
      </c>
      <c r="E345" t="s">
        <v>4697</v>
      </c>
      <c r="F345" t="s">
        <v>1438</v>
      </c>
      <c r="G345" t="s">
        <v>3816</v>
      </c>
      <c r="H345" t="s">
        <v>3851</v>
      </c>
      <c r="I345" t="s">
        <v>3852</v>
      </c>
      <c r="J345" t="s">
        <v>4728</v>
      </c>
      <c r="K345" t="s">
        <v>4793</v>
      </c>
      <c r="L345" t="s">
        <v>4771</v>
      </c>
      <c r="M345" t="s">
        <v>4772</v>
      </c>
      <c r="N345" t="s">
        <v>164</v>
      </c>
      <c r="O345" t="s">
        <v>3816</v>
      </c>
      <c r="P345" t="s">
        <v>3851</v>
      </c>
      <c r="Q345" t="s">
        <v>3852</v>
      </c>
      <c r="R345" t="s">
        <v>4728</v>
      </c>
      <c r="S345" t="s">
        <v>4793</v>
      </c>
      <c r="T345" t="s">
        <v>4138</v>
      </c>
      <c r="U345" t="s">
        <v>4139</v>
      </c>
      <c r="V345" t="s">
        <v>624</v>
      </c>
      <c r="W345" t="s">
        <v>4140</v>
      </c>
      <c r="X345" t="s">
        <v>4317</v>
      </c>
      <c r="Y345" t="s">
        <v>4142</v>
      </c>
      <c r="Z345" t="s">
        <v>1442</v>
      </c>
      <c r="AA345" t="s">
        <v>4773</v>
      </c>
      <c r="AB345" t="s">
        <v>624</v>
      </c>
      <c r="AC345" t="s">
        <v>50</v>
      </c>
      <c r="AD345" t="s">
        <v>50</v>
      </c>
      <c r="AE345" t="s">
        <v>50</v>
      </c>
      <c r="AF345" t="s">
        <v>4774</v>
      </c>
      <c r="AG345" t="s">
        <v>4775</v>
      </c>
      <c r="AH345" t="s">
        <v>4774</v>
      </c>
      <c r="AI345" t="s">
        <v>4775</v>
      </c>
      <c r="AJ345" t="s">
        <v>4774</v>
      </c>
      <c r="AK345" t="s">
        <v>4775</v>
      </c>
      <c r="AL345" t="s">
        <v>4146</v>
      </c>
    </row>
    <row r="346" spans="1:38" ht="11.25" customHeight="1">
      <c r="A346" t="s">
        <v>9</v>
      </c>
      <c r="B346" t="s">
        <v>36</v>
      </c>
      <c r="C346" t="s">
        <v>38</v>
      </c>
      <c r="D346" t="s">
        <v>9</v>
      </c>
      <c r="E346" t="s">
        <v>4697</v>
      </c>
      <c r="F346" t="s">
        <v>4148</v>
      </c>
      <c r="G346" t="s">
        <v>3816</v>
      </c>
      <c r="H346" t="s">
        <v>3851</v>
      </c>
      <c r="I346" t="s">
        <v>3852</v>
      </c>
      <c r="J346" t="s">
        <v>4728</v>
      </c>
      <c r="K346" t="s">
        <v>4793</v>
      </c>
      <c r="L346" t="s">
        <v>4771</v>
      </c>
      <c r="M346" t="s">
        <v>4776</v>
      </c>
      <c r="N346" t="s">
        <v>164</v>
      </c>
      <c r="O346" t="s">
        <v>3816</v>
      </c>
      <c r="P346" t="s">
        <v>3851</v>
      </c>
      <c r="Q346" t="s">
        <v>3852</v>
      </c>
      <c r="R346" t="s">
        <v>4728</v>
      </c>
      <c r="S346" t="s">
        <v>4793</v>
      </c>
      <c r="T346" t="s">
        <v>4138</v>
      </c>
      <c r="U346" t="s">
        <v>4139</v>
      </c>
      <c r="V346" t="s">
        <v>624</v>
      </c>
      <c r="W346" t="s">
        <v>4140</v>
      </c>
      <c r="X346" t="s">
        <v>4317</v>
      </c>
      <c r="Y346" t="s">
        <v>4142</v>
      </c>
      <c r="Z346" t="s">
        <v>1442</v>
      </c>
      <c r="AA346" t="s">
        <v>4773</v>
      </c>
      <c r="AB346" t="s">
        <v>624</v>
      </c>
      <c r="AC346" t="s">
        <v>6</v>
      </c>
      <c r="AD346" t="s">
        <v>50</v>
      </c>
      <c r="AE346" t="s">
        <v>6</v>
      </c>
      <c r="AF346" t="s">
        <v>9</v>
      </c>
      <c r="AG346" t="s">
        <v>9</v>
      </c>
      <c r="AH346" t="s">
        <v>4774</v>
      </c>
      <c r="AI346" t="s">
        <v>4775</v>
      </c>
      <c r="AJ346" t="s">
        <v>4774</v>
      </c>
      <c r="AK346" t="s">
        <v>4775</v>
      </c>
      <c r="AL346" t="s">
        <v>9</v>
      </c>
    </row>
    <row r="347" spans="1:38" ht="11.25" customHeight="1">
      <c r="A347" t="s">
        <v>9</v>
      </c>
      <c r="B347" t="s">
        <v>36</v>
      </c>
      <c r="C347" t="s">
        <v>38</v>
      </c>
      <c r="D347" t="s">
        <v>9</v>
      </c>
      <c r="E347" t="s">
        <v>4261</v>
      </c>
      <c r="F347" t="s">
        <v>1438</v>
      </c>
      <c r="G347" t="s">
        <v>3816</v>
      </c>
      <c r="H347" t="s">
        <v>3851</v>
      </c>
      <c r="I347" t="s">
        <v>3852</v>
      </c>
      <c r="J347" t="s">
        <v>4728</v>
      </c>
      <c r="K347" t="s">
        <v>4793</v>
      </c>
      <c r="L347" t="s">
        <v>4368</v>
      </c>
      <c r="M347" t="s">
        <v>4777</v>
      </c>
      <c r="N347" t="s">
        <v>164</v>
      </c>
      <c r="O347" t="s">
        <v>3816</v>
      </c>
      <c r="P347" t="s">
        <v>3851</v>
      </c>
      <c r="Q347" t="s">
        <v>3852</v>
      </c>
      <c r="R347" t="s">
        <v>4728</v>
      </c>
      <c r="S347" t="s">
        <v>4793</v>
      </c>
      <c r="T347" t="s">
        <v>4165</v>
      </c>
      <c r="U347" t="s">
        <v>4166</v>
      </c>
      <c r="V347" t="s">
        <v>624</v>
      </c>
      <c r="W347" t="s">
        <v>4140</v>
      </c>
      <c r="X347" t="s">
        <v>4167</v>
      </c>
      <c r="Y347" t="s">
        <v>4168</v>
      </c>
      <c r="Z347" t="s">
        <v>4730</v>
      </c>
      <c r="AA347" t="s">
        <v>4731</v>
      </c>
      <c r="AB347" t="s">
        <v>624</v>
      </c>
      <c r="AC347" t="s">
        <v>50</v>
      </c>
      <c r="AD347" t="s">
        <v>50</v>
      </c>
      <c r="AE347" t="s">
        <v>50</v>
      </c>
      <c r="AF347" t="s">
        <v>4778</v>
      </c>
      <c r="AG347" t="s">
        <v>4779</v>
      </c>
      <c r="AH347" t="s">
        <v>4778</v>
      </c>
      <c r="AI347" t="s">
        <v>4779</v>
      </c>
      <c r="AJ347" t="s">
        <v>4778</v>
      </c>
      <c r="AK347" t="s">
        <v>4779</v>
      </c>
      <c r="AL347" t="s">
        <v>4146</v>
      </c>
    </row>
    <row r="348" spans="1:38" ht="11.25" customHeight="1">
      <c r="A348" t="s">
        <v>9</v>
      </c>
      <c r="B348" t="s">
        <v>36</v>
      </c>
      <c r="C348" t="s">
        <v>38</v>
      </c>
      <c r="D348" t="s">
        <v>9</v>
      </c>
      <c r="E348" t="s">
        <v>1437</v>
      </c>
      <c r="F348" t="s">
        <v>1438</v>
      </c>
      <c r="G348" t="s">
        <v>136</v>
      </c>
      <c r="H348" t="s">
        <v>136</v>
      </c>
      <c r="I348" t="s">
        <v>137</v>
      </c>
      <c r="J348" t="s">
        <v>4794</v>
      </c>
      <c r="K348" t="s">
        <v>4795</v>
      </c>
      <c r="L348" t="s">
        <v>4796</v>
      </c>
      <c r="M348" t="s">
        <v>1442</v>
      </c>
      <c r="N348" t="s">
        <v>164</v>
      </c>
      <c r="O348" t="s">
        <v>136</v>
      </c>
      <c r="P348" t="s">
        <v>136</v>
      </c>
      <c r="Q348" t="s">
        <v>137</v>
      </c>
      <c r="R348" t="s">
        <v>4794</v>
      </c>
      <c r="S348" t="s">
        <v>4795</v>
      </c>
      <c r="T348" t="s">
        <v>4165</v>
      </c>
      <c r="U348" t="s">
        <v>4168</v>
      </c>
      <c r="V348" t="s">
        <v>624</v>
      </c>
      <c r="W348" t="s">
        <v>4140</v>
      </c>
      <c r="X348" t="s">
        <v>4167</v>
      </c>
      <c r="Y348" t="s">
        <v>4168</v>
      </c>
      <c r="Z348" t="s">
        <v>4797</v>
      </c>
      <c r="AA348" t="s">
        <v>4798</v>
      </c>
      <c r="AB348" t="s">
        <v>624</v>
      </c>
      <c r="AC348" t="s">
        <v>50</v>
      </c>
      <c r="AD348" t="s">
        <v>50</v>
      </c>
      <c r="AE348" t="s">
        <v>50</v>
      </c>
      <c r="AF348" t="s">
        <v>4799</v>
      </c>
      <c r="AG348" t="s">
        <v>4800</v>
      </c>
      <c r="AH348" t="s">
        <v>4799</v>
      </c>
      <c r="AI348" t="s">
        <v>2613</v>
      </c>
      <c r="AJ348" t="s">
        <v>4799</v>
      </c>
      <c r="AK348" t="s">
        <v>2613</v>
      </c>
      <c r="AL348" t="s">
        <v>4146</v>
      </c>
    </row>
    <row r="349" spans="1:38" ht="11.25" customHeight="1">
      <c r="A349" t="s">
        <v>9</v>
      </c>
      <c r="B349" t="s">
        <v>36</v>
      </c>
      <c r="C349" t="s">
        <v>38</v>
      </c>
      <c r="D349" t="s">
        <v>9</v>
      </c>
      <c r="E349" t="s">
        <v>1489</v>
      </c>
      <c r="F349" t="s">
        <v>1457</v>
      </c>
      <c r="G349" t="s">
        <v>136</v>
      </c>
      <c r="H349" t="s">
        <v>136</v>
      </c>
      <c r="I349" t="s">
        <v>137</v>
      </c>
      <c r="J349" t="s">
        <v>1490</v>
      </c>
      <c r="K349" t="s">
        <v>1491</v>
      </c>
      <c r="L349" t="s">
        <v>1492</v>
      </c>
      <c r="M349" t="s">
        <v>1442</v>
      </c>
      <c r="N349" t="s">
        <v>164</v>
      </c>
      <c r="O349" t="s">
        <v>136</v>
      </c>
      <c r="P349" t="s">
        <v>136</v>
      </c>
      <c r="Q349" t="s">
        <v>137</v>
      </c>
      <c r="R349" t="s">
        <v>1490</v>
      </c>
      <c r="S349" t="s">
        <v>1491</v>
      </c>
      <c r="T349" t="s">
        <v>4165</v>
      </c>
      <c r="U349" t="s">
        <v>4720</v>
      </c>
      <c r="V349" t="s">
        <v>624</v>
      </c>
      <c r="W349" t="s">
        <v>4140</v>
      </c>
      <c r="X349" t="s">
        <v>4721</v>
      </c>
      <c r="Y349" t="s">
        <v>4720</v>
      </c>
      <c r="Z349" t="s">
        <v>4801</v>
      </c>
      <c r="AA349" t="s">
        <v>4723</v>
      </c>
      <c r="AB349" t="s">
        <v>624</v>
      </c>
      <c r="AC349" t="s">
        <v>50</v>
      </c>
      <c r="AD349" t="s">
        <v>6</v>
      </c>
      <c r="AE349" t="s">
        <v>6</v>
      </c>
      <c r="AF349" t="s">
        <v>4802</v>
      </c>
      <c r="AG349" t="s">
        <v>4803</v>
      </c>
      <c r="AH349" t="s">
        <v>9</v>
      </c>
      <c r="AI349" t="s">
        <v>9</v>
      </c>
      <c r="AJ349" t="s">
        <v>9</v>
      </c>
      <c r="AK349" t="s">
        <v>9</v>
      </c>
      <c r="AL349" t="s">
        <v>4146</v>
      </c>
    </row>
    <row r="350" spans="1:38" ht="11.25" customHeight="1">
      <c r="A350" t="s">
        <v>9</v>
      </c>
      <c r="B350" t="s">
        <v>36</v>
      </c>
      <c r="C350" t="s">
        <v>38</v>
      </c>
      <c r="D350" t="s">
        <v>9</v>
      </c>
      <c r="E350" t="s">
        <v>4804</v>
      </c>
      <c r="F350" t="s">
        <v>1438</v>
      </c>
      <c r="G350" t="s">
        <v>136</v>
      </c>
      <c r="H350" t="s">
        <v>136</v>
      </c>
      <c r="I350" t="s">
        <v>137</v>
      </c>
      <c r="J350" t="s">
        <v>4805</v>
      </c>
      <c r="K350" t="s">
        <v>4806</v>
      </c>
      <c r="L350" t="s">
        <v>1442</v>
      </c>
      <c r="M350" t="s">
        <v>1442</v>
      </c>
      <c r="N350" t="s">
        <v>164</v>
      </c>
      <c r="O350" t="s">
        <v>136</v>
      </c>
      <c r="P350" t="s">
        <v>136</v>
      </c>
      <c r="Q350" t="s">
        <v>137</v>
      </c>
      <c r="R350" t="s">
        <v>4805</v>
      </c>
      <c r="S350" t="s">
        <v>4806</v>
      </c>
      <c r="T350" t="s">
        <v>4165</v>
      </c>
      <c r="U350" t="s">
        <v>4168</v>
      </c>
      <c r="V350" t="s">
        <v>624</v>
      </c>
      <c r="W350" t="s">
        <v>4140</v>
      </c>
      <c r="X350" t="s">
        <v>4167</v>
      </c>
      <c r="Y350" t="s">
        <v>4168</v>
      </c>
      <c r="Z350" t="s">
        <v>1442</v>
      </c>
      <c r="AA350" t="s">
        <v>4807</v>
      </c>
      <c r="AB350" t="s">
        <v>624</v>
      </c>
      <c r="AC350" t="s">
        <v>50</v>
      </c>
      <c r="AD350" t="s">
        <v>50</v>
      </c>
      <c r="AE350" t="s">
        <v>50</v>
      </c>
      <c r="AF350" t="s">
        <v>89</v>
      </c>
      <c r="AG350" t="s">
        <v>4808</v>
      </c>
      <c r="AH350" t="s">
        <v>89</v>
      </c>
      <c r="AI350" t="s">
        <v>4809</v>
      </c>
      <c r="AJ350" t="s">
        <v>89</v>
      </c>
      <c r="AK350" t="s">
        <v>4809</v>
      </c>
      <c r="AL350" t="s">
        <v>4146</v>
      </c>
    </row>
    <row r="351" spans="1:38" ht="11.25" customHeight="1">
      <c r="A351" t="s">
        <v>9</v>
      </c>
      <c r="B351" t="s">
        <v>36</v>
      </c>
      <c r="C351" t="s">
        <v>38</v>
      </c>
      <c r="D351" t="s">
        <v>9</v>
      </c>
      <c r="E351" t="s">
        <v>1449</v>
      </c>
      <c r="F351" t="s">
        <v>1438</v>
      </c>
      <c r="G351" t="s">
        <v>136</v>
      </c>
      <c r="H351" t="s">
        <v>136</v>
      </c>
      <c r="I351" t="s">
        <v>137</v>
      </c>
      <c r="J351" t="s">
        <v>4810</v>
      </c>
      <c r="K351" t="s">
        <v>4811</v>
      </c>
      <c r="L351" t="s">
        <v>4812</v>
      </c>
      <c r="M351" t="s">
        <v>1442</v>
      </c>
      <c r="N351" t="s">
        <v>164</v>
      </c>
      <c r="O351" t="s">
        <v>136</v>
      </c>
      <c r="P351" t="s">
        <v>136</v>
      </c>
      <c r="Q351" t="s">
        <v>137</v>
      </c>
      <c r="R351" t="s">
        <v>4810</v>
      </c>
      <c r="S351" t="s">
        <v>4811</v>
      </c>
      <c r="T351" t="s">
        <v>4165</v>
      </c>
      <c r="U351" t="s">
        <v>4168</v>
      </c>
      <c r="V351" t="s">
        <v>624</v>
      </c>
      <c r="W351" t="s">
        <v>4140</v>
      </c>
      <c r="X351" t="s">
        <v>4167</v>
      </c>
      <c r="Y351" t="s">
        <v>4168</v>
      </c>
      <c r="Z351" t="s">
        <v>4813</v>
      </c>
      <c r="AA351" t="s">
        <v>4814</v>
      </c>
      <c r="AB351" t="s">
        <v>624</v>
      </c>
      <c r="AC351" t="s">
        <v>50</v>
      </c>
      <c r="AD351" t="s">
        <v>50</v>
      </c>
      <c r="AE351" t="s">
        <v>50</v>
      </c>
      <c r="AF351" t="s">
        <v>4815</v>
      </c>
      <c r="AG351" t="s">
        <v>4816</v>
      </c>
      <c r="AH351" t="s">
        <v>4815</v>
      </c>
      <c r="AI351" t="s">
        <v>4816</v>
      </c>
      <c r="AJ351" t="s">
        <v>4815</v>
      </c>
      <c r="AK351" t="s">
        <v>4816</v>
      </c>
      <c r="AL351" t="s">
        <v>4146</v>
      </c>
    </row>
    <row r="352" spans="1:38" ht="11.25" customHeight="1">
      <c r="A352" t="s">
        <v>9</v>
      </c>
      <c r="B352" t="s">
        <v>36</v>
      </c>
      <c r="C352" t="s">
        <v>38</v>
      </c>
      <c r="D352" t="s">
        <v>9</v>
      </c>
      <c r="E352" t="s">
        <v>1456</v>
      </c>
      <c r="F352" t="s">
        <v>1438</v>
      </c>
      <c r="G352" t="s">
        <v>136</v>
      </c>
      <c r="H352" t="s">
        <v>136</v>
      </c>
      <c r="I352" t="s">
        <v>137</v>
      </c>
      <c r="J352" t="s">
        <v>4817</v>
      </c>
      <c r="K352" t="s">
        <v>4818</v>
      </c>
      <c r="L352" t="s">
        <v>4819</v>
      </c>
      <c r="M352" t="s">
        <v>1442</v>
      </c>
      <c r="N352" t="s">
        <v>164</v>
      </c>
      <c r="O352" t="s">
        <v>136</v>
      </c>
      <c r="P352" t="s">
        <v>136</v>
      </c>
      <c r="Q352" t="s">
        <v>137</v>
      </c>
      <c r="R352" t="s">
        <v>4817</v>
      </c>
      <c r="S352" t="s">
        <v>4818</v>
      </c>
      <c r="T352" t="s">
        <v>4165</v>
      </c>
      <c r="U352" t="s">
        <v>4168</v>
      </c>
      <c r="V352" t="s">
        <v>624</v>
      </c>
      <c r="W352" t="s">
        <v>4140</v>
      </c>
      <c r="X352" t="s">
        <v>4167</v>
      </c>
      <c r="Y352" t="s">
        <v>4168</v>
      </c>
      <c r="Z352" t="s">
        <v>4820</v>
      </c>
      <c r="AA352" t="s">
        <v>1332</v>
      </c>
      <c r="AB352" t="s">
        <v>624</v>
      </c>
      <c r="AC352" t="s">
        <v>50</v>
      </c>
      <c r="AD352" t="s">
        <v>50</v>
      </c>
      <c r="AE352" t="s">
        <v>50</v>
      </c>
      <c r="AF352" t="s">
        <v>4821</v>
      </c>
      <c r="AG352" t="s">
        <v>4822</v>
      </c>
      <c r="AH352" t="s">
        <v>4821</v>
      </c>
      <c r="AI352" t="s">
        <v>4822</v>
      </c>
      <c r="AJ352" t="s">
        <v>4821</v>
      </c>
      <c r="AK352" t="s">
        <v>4822</v>
      </c>
      <c r="AL352" t="s">
        <v>4146</v>
      </c>
    </row>
    <row r="353" spans="1:38" ht="11.25" customHeight="1">
      <c r="A353" t="s">
        <v>9</v>
      </c>
      <c r="B353" t="s">
        <v>36</v>
      </c>
      <c r="C353" t="s">
        <v>38</v>
      </c>
      <c r="D353" t="s">
        <v>9</v>
      </c>
      <c r="E353" t="s">
        <v>1437</v>
      </c>
      <c r="F353" t="s">
        <v>1438</v>
      </c>
      <c r="G353" t="s">
        <v>3858</v>
      </c>
      <c r="H353" t="s">
        <v>3878</v>
      </c>
      <c r="I353" t="s">
        <v>3879</v>
      </c>
      <c r="J353" t="s">
        <v>4794</v>
      </c>
      <c r="K353" t="s">
        <v>4823</v>
      </c>
      <c r="L353" t="s">
        <v>4796</v>
      </c>
      <c r="M353" t="s">
        <v>1442</v>
      </c>
      <c r="N353" t="s">
        <v>164</v>
      </c>
      <c r="O353" t="s">
        <v>3858</v>
      </c>
      <c r="P353" t="s">
        <v>3878</v>
      </c>
      <c r="Q353" t="s">
        <v>3879</v>
      </c>
      <c r="R353" t="s">
        <v>4794</v>
      </c>
      <c r="S353" t="s">
        <v>4823</v>
      </c>
      <c r="T353" t="s">
        <v>4165</v>
      </c>
      <c r="U353" t="s">
        <v>4168</v>
      </c>
      <c r="V353" t="s">
        <v>624</v>
      </c>
      <c r="W353" t="s">
        <v>4140</v>
      </c>
      <c r="X353" t="s">
        <v>4167</v>
      </c>
      <c r="Y353" t="s">
        <v>4168</v>
      </c>
      <c r="Z353" t="s">
        <v>4797</v>
      </c>
      <c r="AA353" t="s">
        <v>4798</v>
      </c>
      <c r="AB353" t="s">
        <v>624</v>
      </c>
      <c r="AC353" t="s">
        <v>50</v>
      </c>
      <c r="AD353" t="s">
        <v>50</v>
      </c>
      <c r="AE353" t="s">
        <v>50</v>
      </c>
      <c r="AF353" t="s">
        <v>4799</v>
      </c>
      <c r="AG353" t="s">
        <v>4800</v>
      </c>
      <c r="AH353" t="s">
        <v>4799</v>
      </c>
      <c r="AI353" t="s">
        <v>2613</v>
      </c>
      <c r="AJ353" t="s">
        <v>4799</v>
      </c>
      <c r="AK353" t="s">
        <v>2613</v>
      </c>
      <c r="AL353" t="s">
        <v>4146</v>
      </c>
    </row>
    <row r="354" spans="1:38" ht="11.25" customHeight="1">
      <c r="A354" t="s">
        <v>9</v>
      </c>
      <c r="B354" t="s">
        <v>36</v>
      </c>
      <c r="C354" t="s">
        <v>38</v>
      </c>
      <c r="D354" t="s">
        <v>9</v>
      </c>
      <c r="E354" t="s">
        <v>4804</v>
      </c>
      <c r="F354" t="s">
        <v>1438</v>
      </c>
      <c r="G354" t="s">
        <v>3858</v>
      </c>
      <c r="H354" t="s">
        <v>3878</v>
      </c>
      <c r="I354" t="s">
        <v>3879</v>
      </c>
      <c r="J354" t="s">
        <v>4805</v>
      </c>
      <c r="K354" t="s">
        <v>4824</v>
      </c>
      <c r="L354" t="s">
        <v>1442</v>
      </c>
      <c r="M354" t="s">
        <v>1442</v>
      </c>
      <c r="N354" t="s">
        <v>164</v>
      </c>
      <c r="O354" t="s">
        <v>3858</v>
      </c>
      <c r="P354" t="s">
        <v>3878</v>
      </c>
      <c r="Q354" t="s">
        <v>3879</v>
      </c>
      <c r="R354" t="s">
        <v>4805</v>
      </c>
      <c r="S354" t="s">
        <v>4824</v>
      </c>
      <c r="T354" t="s">
        <v>4165</v>
      </c>
      <c r="U354" t="s">
        <v>4168</v>
      </c>
      <c r="V354" t="s">
        <v>624</v>
      </c>
      <c r="W354" t="s">
        <v>4140</v>
      </c>
      <c r="X354" t="s">
        <v>4167</v>
      </c>
      <c r="Y354" t="s">
        <v>4168</v>
      </c>
      <c r="Z354" t="s">
        <v>1442</v>
      </c>
      <c r="AA354" t="s">
        <v>4807</v>
      </c>
      <c r="AB354" t="s">
        <v>624</v>
      </c>
      <c r="AC354" t="s">
        <v>50</v>
      </c>
      <c r="AD354" t="s">
        <v>50</v>
      </c>
      <c r="AE354" t="s">
        <v>50</v>
      </c>
      <c r="AF354" t="s">
        <v>89</v>
      </c>
      <c r="AG354" t="s">
        <v>4808</v>
      </c>
      <c r="AH354" t="s">
        <v>89</v>
      </c>
      <c r="AI354" t="s">
        <v>4809</v>
      </c>
      <c r="AJ354" t="s">
        <v>89</v>
      </c>
      <c r="AK354" t="s">
        <v>4809</v>
      </c>
      <c r="AL354" t="s">
        <v>4146</v>
      </c>
    </row>
    <row r="355" spans="1:38" ht="11.25" customHeight="1">
      <c r="A355" t="s">
        <v>9</v>
      </c>
      <c r="B355" t="s">
        <v>36</v>
      </c>
      <c r="C355" t="s">
        <v>38</v>
      </c>
      <c r="D355" t="s">
        <v>9</v>
      </c>
      <c r="E355" t="s">
        <v>1449</v>
      </c>
      <c r="F355" t="s">
        <v>1438</v>
      </c>
      <c r="G355" t="s">
        <v>3858</v>
      </c>
      <c r="H355" t="s">
        <v>3905</v>
      </c>
      <c r="I355" t="s">
        <v>3906</v>
      </c>
      <c r="J355" t="s">
        <v>4810</v>
      </c>
      <c r="K355" t="s">
        <v>4825</v>
      </c>
      <c r="L355" t="s">
        <v>4812</v>
      </c>
      <c r="M355" t="s">
        <v>1442</v>
      </c>
      <c r="N355" t="s">
        <v>164</v>
      </c>
      <c r="O355" t="s">
        <v>3858</v>
      </c>
      <c r="P355" t="s">
        <v>3905</v>
      </c>
      <c r="Q355" t="s">
        <v>3906</v>
      </c>
      <c r="R355" t="s">
        <v>4810</v>
      </c>
      <c r="S355" t="s">
        <v>4825</v>
      </c>
      <c r="T355" t="s">
        <v>4165</v>
      </c>
      <c r="U355" t="s">
        <v>4168</v>
      </c>
      <c r="V355" t="s">
        <v>624</v>
      </c>
      <c r="W355" t="s">
        <v>4140</v>
      </c>
      <c r="X355" t="s">
        <v>4167</v>
      </c>
      <c r="Y355" t="s">
        <v>4168</v>
      </c>
      <c r="Z355" t="s">
        <v>4813</v>
      </c>
      <c r="AA355" t="s">
        <v>4814</v>
      </c>
      <c r="AB355" t="s">
        <v>624</v>
      </c>
      <c r="AC355" t="s">
        <v>50</v>
      </c>
      <c r="AD355" t="s">
        <v>50</v>
      </c>
      <c r="AE355" t="s">
        <v>50</v>
      </c>
      <c r="AF355" t="s">
        <v>4815</v>
      </c>
      <c r="AG355" t="s">
        <v>4816</v>
      </c>
      <c r="AH355" t="s">
        <v>4815</v>
      </c>
      <c r="AI355" t="s">
        <v>4816</v>
      </c>
      <c r="AJ355" t="s">
        <v>4815</v>
      </c>
      <c r="AK355" t="s">
        <v>4816</v>
      </c>
      <c r="AL355" t="s">
        <v>4146</v>
      </c>
    </row>
    <row r="356" spans="1:38" ht="11.25" customHeight="1">
      <c r="A356" t="s">
        <v>9</v>
      </c>
      <c r="B356" t="s">
        <v>36</v>
      </c>
      <c r="C356" t="s">
        <v>38</v>
      </c>
      <c r="D356" t="s">
        <v>9</v>
      </c>
      <c r="E356" t="s">
        <v>1456</v>
      </c>
      <c r="F356" t="s">
        <v>1438</v>
      </c>
      <c r="G356" t="s">
        <v>3858</v>
      </c>
      <c r="H356" t="s">
        <v>3912</v>
      </c>
      <c r="I356" t="s">
        <v>3913</v>
      </c>
      <c r="J356" t="s">
        <v>4817</v>
      </c>
      <c r="K356" t="s">
        <v>4826</v>
      </c>
      <c r="L356" t="s">
        <v>4819</v>
      </c>
      <c r="M356" t="s">
        <v>1442</v>
      </c>
      <c r="N356" t="s">
        <v>164</v>
      </c>
      <c r="O356" t="s">
        <v>3858</v>
      </c>
      <c r="P356" t="s">
        <v>3912</v>
      </c>
      <c r="Q356" t="s">
        <v>3913</v>
      </c>
      <c r="R356" t="s">
        <v>4817</v>
      </c>
      <c r="S356" t="s">
        <v>4826</v>
      </c>
      <c r="T356" t="s">
        <v>4165</v>
      </c>
      <c r="U356" t="s">
        <v>4168</v>
      </c>
      <c r="V356" t="s">
        <v>624</v>
      </c>
      <c r="W356" t="s">
        <v>4140</v>
      </c>
      <c r="X356" t="s">
        <v>4167</v>
      </c>
      <c r="Y356" t="s">
        <v>4168</v>
      </c>
      <c r="Z356" t="s">
        <v>4820</v>
      </c>
      <c r="AA356" t="s">
        <v>1332</v>
      </c>
      <c r="AB356" t="s">
        <v>624</v>
      </c>
      <c r="AC356" t="s">
        <v>50</v>
      </c>
      <c r="AD356" t="s">
        <v>50</v>
      </c>
      <c r="AE356" t="s">
        <v>50</v>
      </c>
      <c r="AF356" t="s">
        <v>4821</v>
      </c>
      <c r="AG356" t="s">
        <v>4822</v>
      </c>
      <c r="AH356" t="s">
        <v>4821</v>
      </c>
      <c r="AI356" t="s">
        <v>4822</v>
      </c>
      <c r="AJ356" t="s">
        <v>4821</v>
      </c>
      <c r="AK356" t="s">
        <v>4822</v>
      </c>
      <c r="AL356" t="s">
        <v>4146</v>
      </c>
    </row>
    <row r="357" spans="1:38" ht="11.25" customHeight="1">
      <c r="A357" t="s">
        <v>9</v>
      </c>
      <c r="B357" t="s">
        <v>36</v>
      </c>
      <c r="C357" t="s">
        <v>38</v>
      </c>
      <c r="D357" t="s">
        <v>9</v>
      </c>
      <c r="E357" t="s">
        <v>4827</v>
      </c>
      <c r="F357" t="s">
        <v>1438</v>
      </c>
      <c r="G357" t="s">
        <v>140</v>
      </c>
      <c r="H357" t="s">
        <v>140</v>
      </c>
      <c r="I357" t="s">
        <v>141</v>
      </c>
      <c r="J357" t="s">
        <v>1517</v>
      </c>
      <c r="K357" t="s">
        <v>1518</v>
      </c>
      <c r="L357" t="s">
        <v>4612</v>
      </c>
      <c r="M357" t="s">
        <v>1442</v>
      </c>
      <c r="N357" t="s">
        <v>164</v>
      </c>
      <c r="O357" t="s">
        <v>140</v>
      </c>
      <c r="P357" t="s">
        <v>140</v>
      </c>
      <c r="Q357" t="s">
        <v>141</v>
      </c>
      <c r="R357" t="s">
        <v>1517</v>
      </c>
      <c r="S357" t="s">
        <v>1518</v>
      </c>
      <c r="T357" t="s">
        <v>4138</v>
      </c>
      <c r="U357" t="s">
        <v>4139</v>
      </c>
      <c r="V357" t="s">
        <v>624</v>
      </c>
      <c r="W357" t="s">
        <v>4140</v>
      </c>
      <c r="X357" t="s">
        <v>4141</v>
      </c>
      <c r="Y357" t="s">
        <v>4142</v>
      </c>
      <c r="Z357" t="s">
        <v>4828</v>
      </c>
      <c r="AA357" t="s">
        <v>4144</v>
      </c>
      <c r="AB357" t="s">
        <v>624</v>
      </c>
      <c r="AC357" t="s">
        <v>50</v>
      </c>
      <c r="AD357" t="s">
        <v>50</v>
      </c>
      <c r="AE357" t="s">
        <v>50</v>
      </c>
      <c r="AF357" t="s">
        <v>1226</v>
      </c>
      <c r="AG357" t="s">
        <v>4829</v>
      </c>
      <c r="AH357" t="s">
        <v>1226</v>
      </c>
      <c r="AI357" t="s">
        <v>4829</v>
      </c>
      <c r="AJ357" t="s">
        <v>1226</v>
      </c>
      <c r="AK357" t="s">
        <v>4829</v>
      </c>
      <c r="AL357" t="s">
        <v>4146</v>
      </c>
    </row>
    <row r="358" spans="1:38" ht="11.25" customHeight="1">
      <c r="A358" t="s">
        <v>9</v>
      </c>
      <c r="B358" t="s">
        <v>36</v>
      </c>
      <c r="C358" t="s">
        <v>38</v>
      </c>
      <c r="D358" t="s">
        <v>9</v>
      </c>
      <c r="E358" t="s">
        <v>4830</v>
      </c>
      <c r="F358" t="s">
        <v>4148</v>
      </c>
      <c r="G358" t="s">
        <v>140</v>
      </c>
      <c r="H358" t="s">
        <v>140</v>
      </c>
      <c r="I358" t="s">
        <v>141</v>
      </c>
      <c r="J358" t="s">
        <v>1517</v>
      </c>
      <c r="K358" t="s">
        <v>1518</v>
      </c>
      <c r="L358" t="s">
        <v>4612</v>
      </c>
      <c r="M358" t="s">
        <v>1442</v>
      </c>
      <c r="N358" t="s">
        <v>164</v>
      </c>
      <c r="O358" t="s">
        <v>140</v>
      </c>
      <c r="P358" t="s">
        <v>140</v>
      </c>
      <c r="Q358" t="s">
        <v>141</v>
      </c>
      <c r="R358" t="s">
        <v>1517</v>
      </c>
      <c r="S358" t="s">
        <v>1518</v>
      </c>
      <c r="T358" t="s">
        <v>4138</v>
      </c>
      <c r="U358" t="s">
        <v>4139</v>
      </c>
      <c r="V358" t="s">
        <v>624</v>
      </c>
      <c r="W358" t="s">
        <v>4140</v>
      </c>
      <c r="X358" t="s">
        <v>4141</v>
      </c>
      <c r="Y358" t="s">
        <v>4142</v>
      </c>
      <c r="Z358" t="s">
        <v>4828</v>
      </c>
      <c r="AA358" t="s">
        <v>4144</v>
      </c>
      <c r="AB358" t="s">
        <v>624</v>
      </c>
      <c r="AC358" t="s">
        <v>6</v>
      </c>
      <c r="AD358" t="s">
        <v>50</v>
      </c>
      <c r="AE358" t="s">
        <v>6</v>
      </c>
      <c r="AF358" t="s">
        <v>9</v>
      </c>
      <c r="AG358" t="s">
        <v>9</v>
      </c>
      <c r="AH358" t="s">
        <v>1226</v>
      </c>
      <c r="AI358" t="s">
        <v>4829</v>
      </c>
      <c r="AJ358" t="s">
        <v>1226</v>
      </c>
      <c r="AK358" t="s">
        <v>4829</v>
      </c>
      <c r="AL358" t="s">
        <v>9</v>
      </c>
    </row>
    <row r="359" spans="1:38" ht="11.25" customHeight="1">
      <c r="A359" t="s">
        <v>9</v>
      </c>
      <c r="B359" t="s">
        <v>36</v>
      </c>
      <c r="C359" t="s">
        <v>38</v>
      </c>
      <c r="D359" t="s">
        <v>9</v>
      </c>
      <c r="E359" t="s">
        <v>1516</v>
      </c>
      <c r="F359" t="s">
        <v>1438</v>
      </c>
      <c r="G359" t="s">
        <v>140</v>
      </c>
      <c r="H359" t="s">
        <v>140</v>
      </c>
      <c r="I359" t="s">
        <v>141</v>
      </c>
      <c r="J359" t="s">
        <v>1517</v>
      </c>
      <c r="K359" t="s">
        <v>1518</v>
      </c>
      <c r="L359" t="s">
        <v>1519</v>
      </c>
      <c r="M359" t="s">
        <v>1520</v>
      </c>
      <c r="N359" t="s">
        <v>164</v>
      </c>
      <c r="O359" t="s">
        <v>140</v>
      </c>
      <c r="P359" t="s">
        <v>140</v>
      </c>
      <c r="Q359" t="s">
        <v>141</v>
      </c>
      <c r="R359" t="s">
        <v>1517</v>
      </c>
      <c r="S359" t="s">
        <v>1518</v>
      </c>
      <c r="T359" t="s">
        <v>4138</v>
      </c>
      <c r="U359" t="s">
        <v>4139</v>
      </c>
      <c r="V359" t="s">
        <v>624</v>
      </c>
      <c r="W359" t="s">
        <v>4140</v>
      </c>
      <c r="X359" t="s">
        <v>4141</v>
      </c>
      <c r="Y359" t="s">
        <v>4142</v>
      </c>
      <c r="Z359" t="s">
        <v>4831</v>
      </c>
      <c r="AA359" t="s">
        <v>4144</v>
      </c>
      <c r="AB359" t="s">
        <v>624</v>
      </c>
      <c r="AC359" t="s">
        <v>50</v>
      </c>
      <c r="AD359" t="s">
        <v>50</v>
      </c>
      <c r="AE359" t="s">
        <v>50</v>
      </c>
      <c r="AF359" t="s">
        <v>79</v>
      </c>
      <c r="AG359" t="s">
        <v>4832</v>
      </c>
      <c r="AH359" t="s">
        <v>79</v>
      </c>
      <c r="AI359" t="s">
        <v>4832</v>
      </c>
      <c r="AJ359" t="s">
        <v>79</v>
      </c>
      <c r="AK359" t="s">
        <v>4832</v>
      </c>
      <c r="AL359" t="s">
        <v>4146</v>
      </c>
    </row>
    <row r="360" spans="1:38" ht="11.25" customHeight="1">
      <c r="A360" t="s">
        <v>9</v>
      </c>
      <c r="B360" t="s">
        <v>36</v>
      </c>
      <c r="C360" t="s">
        <v>38</v>
      </c>
      <c r="D360" t="s">
        <v>9</v>
      </c>
      <c r="E360" t="s">
        <v>4833</v>
      </c>
      <c r="F360" t="s">
        <v>1438</v>
      </c>
      <c r="G360" t="s">
        <v>140</v>
      </c>
      <c r="H360" t="s">
        <v>140</v>
      </c>
      <c r="I360" t="s">
        <v>141</v>
      </c>
      <c r="J360" t="s">
        <v>1517</v>
      </c>
      <c r="K360" t="s">
        <v>1518</v>
      </c>
      <c r="L360" t="s">
        <v>4834</v>
      </c>
      <c r="M360" t="s">
        <v>4835</v>
      </c>
      <c r="N360" t="s">
        <v>164</v>
      </c>
      <c r="O360" t="s">
        <v>140</v>
      </c>
      <c r="P360" t="s">
        <v>140</v>
      </c>
      <c r="Q360" t="s">
        <v>141</v>
      </c>
      <c r="R360" t="s">
        <v>1517</v>
      </c>
      <c r="S360" t="s">
        <v>1518</v>
      </c>
      <c r="T360" t="s">
        <v>4138</v>
      </c>
      <c r="U360" t="s">
        <v>4139</v>
      </c>
      <c r="V360" t="s">
        <v>4836</v>
      </c>
      <c r="W360" t="s">
        <v>4140</v>
      </c>
      <c r="X360" t="s">
        <v>4141</v>
      </c>
      <c r="Y360" t="s">
        <v>4142</v>
      </c>
      <c r="Z360" t="s">
        <v>4313</v>
      </c>
      <c r="AA360" t="s">
        <v>4837</v>
      </c>
      <c r="AB360" t="s">
        <v>624</v>
      </c>
      <c r="AC360" t="s">
        <v>50</v>
      </c>
      <c r="AD360" t="s">
        <v>50</v>
      </c>
      <c r="AE360" t="s">
        <v>50</v>
      </c>
      <c r="AF360" t="s">
        <v>4366</v>
      </c>
      <c r="AG360" t="s">
        <v>4438</v>
      </c>
      <c r="AH360" t="s">
        <v>4366</v>
      </c>
      <c r="AI360" t="s">
        <v>4438</v>
      </c>
      <c r="AJ360" t="s">
        <v>4366</v>
      </c>
      <c r="AK360" t="s">
        <v>4438</v>
      </c>
      <c r="AL360" t="s">
        <v>4146</v>
      </c>
    </row>
    <row r="361" spans="1:38" ht="11.25" customHeight="1">
      <c r="A361" t="s">
        <v>9</v>
      </c>
      <c r="B361" t="s">
        <v>36</v>
      </c>
      <c r="C361" t="s">
        <v>38</v>
      </c>
      <c r="D361" t="s">
        <v>9</v>
      </c>
      <c r="E361" t="s">
        <v>4827</v>
      </c>
      <c r="F361" t="s">
        <v>1438</v>
      </c>
      <c r="G361" t="s">
        <v>3918</v>
      </c>
      <c r="H361" t="s">
        <v>3932</v>
      </c>
      <c r="I361" t="s">
        <v>3933</v>
      </c>
      <c r="J361" t="s">
        <v>1517</v>
      </c>
      <c r="K361" t="s">
        <v>4838</v>
      </c>
      <c r="L361" t="s">
        <v>4612</v>
      </c>
      <c r="M361" t="s">
        <v>1442</v>
      </c>
      <c r="N361" t="s">
        <v>164</v>
      </c>
      <c r="O361" t="s">
        <v>3918</v>
      </c>
      <c r="P361" t="s">
        <v>3932</v>
      </c>
      <c r="Q361" t="s">
        <v>3933</v>
      </c>
      <c r="R361" t="s">
        <v>1517</v>
      </c>
      <c r="S361" t="s">
        <v>4838</v>
      </c>
      <c r="T361" t="s">
        <v>4138</v>
      </c>
      <c r="U361" t="s">
        <v>4139</v>
      </c>
      <c r="V361" t="s">
        <v>624</v>
      </c>
      <c r="W361" t="s">
        <v>4140</v>
      </c>
      <c r="X361" t="s">
        <v>4141</v>
      </c>
      <c r="Y361" t="s">
        <v>4142</v>
      </c>
      <c r="Z361" t="s">
        <v>4828</v>
      </c>
      <c r="AA361" t="s">
        <v>4144</v>
      </c>
      <c r="AB361" t="s">
        <v>624</v>
      </c>
      <c r="AC361" t="s">
        <v>50</v>
      </c>
      <c r="AD361" t="s">
        <v>50</v>
      </c>
      <c r="AE361" t="s">
        <v>50</v>
      </c>
      <c r="AF361" t="s">
        <v>1226</v>
      </c>
      <c r="AG361" t="s">
        <v>4829</v>
      </c>
      <c r="AH361" t="s">
        <v>1226</v>
      </c>
      <c r="AI361" t="s">
        <v>4829</v>
      </c>
      <c r="AJ361" t="s">
        <v>1226</v>
      </c>
      <c r="AK361" t="s">
        <v>4829</v>
      </c>
      <c r="AL361" t="s">
        <v>4146</v>
      </c>
    </row>
    <row r="362" spans="1:38" ht="11.25" customHeight="1">
      <c r="A362" t="s">
        <v>9</v>
      </c>
      <c r="B362" t="s">
        <v>36</v>
      </c>
      <c r="C362" t="s">
        <v>38</v>
      </c>
      <c r="D362" t="s">
        <v>9</v>
      </c>
      <c r="E362" t="s">
        <v>4830</v>
      </c>
      <c r="F362" t="s">
        <v>4148</v>
      </c>
      <c r="G362" t="s">
        <v>3918</v>
      </c>
      <c r="H362" t="s">
        <v>3932</v>
      </c>
      <c r="I362" t="s">
        <v>3933</v>
      </c>
      <c r="J362" t="s">
        <v>1517</v>
      </c>
      <c r="K362" t="s">
        <v>4838</v>
      </c>
      <c r="L362" t="s">
        <v>4612</v>
      </c>
      <c r="M362" t="s">
        <v>1442</v>
      </c>
      <c r="N362" t="s">
        <v>164</v>
      </c>
      <c r="O362" t="s">
        <v>3918</v>
      </c>
      <c r="P362" t="s">
        <v>3932</v>
      </c>
      <c r="Q362" t="s">
        <v>3933</v>
      </c>
      <c r="R362" t="s">
        <v>1517</v>
      </c>
      <c r="S362" t="s">
        <v>4838</v>
      </c>
      <c r="T362" t="s">
        <v>4138</v>
      </c>
      <c r="U362" t="s">
        <v>4139</v>
      </c>
      <c r="V362" t="s">
        <v>624</v>
      </c>
      <c r="W362" t="s">
        <v>4140</v>
      </c>
      <c r="X362" t="s">
        <v>4141</v>
      </c>
      <c r="Y362" t="s">
        <v>4142</v>
      </c>
      <c r="Z362" t="s">
        <v>4828</v>
      </c>
      <c r="AA362" t="s">
        <v>4144</v>
      </c>
      <c r="AB362" t="s">
        <v>624</v>
      </c>
      <c r="AC362" t="s">
        <v>6</v>
      </c>
      <c r="AD362" t="s">
        <v>50</v>
      </c>
      <c r="AE362" t="s">
        <v>6</v>
      </c>
      <c r="AF362" t="s">
        <v>9</v>
      </c>
      <c r="AG362" t="s">
        <v>9</v>
      </c>
      <c r="AH362" t="s">
        <v>1226</v>
      </c>
      <c r="AI362" t="s">
        <v>4829</v>
      </c>
      <c r="AJ362" t="s">
        <v>1226</v>
      </c>
      <c r="AK362" t="s">
        <v>4829</v>
      </c>
      <c r="AL362" t="s">
        <v>9</v>
      </c>
    </row>
    <row r="363" spans="1:38" ht="11.25" customHeight="1">
      <c r="A363" t="s">
        <v>9</v>
      </c>
      <c r="B363" t="s">
        <v>36</v>
      </c>
      <c r="C363" t="s">
        <v>38</v>
      </c>
      <c r="D363" t="s">
        <v>9</v>
      </c>
      <c r="E363" t="s">
        <v>1516</v>
      </c>
      <c r="F363" t="s">
        <v>1438</v>
      </c>
      <c r="G363" t="s">
        <v>3918</v>
      </c>
      <c r="H363" t="s">
        <v>3932</v>
      </c>
      <c r="I363" t="s">
        <v>3933</v>
      </c>
      <c r="J363" t="s">
        <v>1517</v>
      </c>
      <c r="K363" t="s">
        <v>4838</v>
      </c>
      <c r="L363" t="s">
        <v>1519</v>
      </c>
      <c r="M363" t="s">
        <v>1520</v>
      </c>
      <c r="N363" t="s">
        <v>164</v>
      </c>
      <c r="O363" t="s">
        <v>3918</v>
      </c>
      <c r="P363" t="s">
        <v>3932</v>
      </c>
      <c r="Q363" t="s">
        <v>3933</v>
      </c>
      <c r="R363" t="s">
        <v>1517</v>
      </c>
      <c r="S363" t="s">
        <v>4838</v>
      </c>
      <c r="T363" t="s">
        <v>4138</v>
      </c>
      <c r="U363" t="s">
        <v>4139</v>
      </c>
      <c r="V363" t="s">
        <v>624</v>
      </c>
      <c r="W363" t="s">
        <v>4140</v>
      </c>
      <c r="X363" t="s">
        <v>4141</v>
      </c>
      <c r="Y363" t="s">
        <v>4142</v>
      </c>
      <c r="Z363" t="s">
        <v>4831</v>
      </c>
      <c r="AA363" t="s">
        <v>4144</v>
      </c>
      <c r="AB363" t="s">
        <v>624</v>
      </c>
      <c r="AC363" t="s">
        <v>50</v>
      </c>
      <c r="AD363" t="s">
        <v>50</v>
      </c>
      <c r="AE363" t="s">
        <v>50</v>
      </c>
      <c r="AF363" t="s">
        <v>79</v>
      </c>
      <c r="AG363" t="s">
        <v>4832</v>
      </c>
      <c r="AH363" t="s">
        <v>79</v>
      </c>
      <c r="AI363" t="s">
        <v>4832</v>
      </c>
      <c r="AJ363" t="s">
        <v>79</v>
      </c>
      <c r="AK363" t="s">
        <v>4832</v>
      </c>
      <c r="AL363" t="s">
        <v>4146</v>
      </c>
    </row>
    <row r="364" spans="1:38" ht="11.25" customHeight="1">
      <c r="A364" t="s">
        <v>9</v>
      </c>
      <c r="B364" t="s">
        <v>36</v>
      </c>
      <c r="C364" t="s">
        <v>38</v>
      </c>
      <c r="D364" t="s">
        <v>9</v>
      </c>
      <c r="E364" t="s">
        <v>4833</v>
      </c>
      <c r="F364" t="s">
        <v>1438</v>
      </c>
      <c r="G364" t="s">
        <v>3918</v>
      </c>
      <c r="H364" t="s">
        <v>3932</v>
      </c>
      <c r="I364" t="s">
        <v>3933</v>
      </c>
      <c r="J364" t="s">
        <v>1517</v>
      </c>
      <c r="K364" t="s">
        <v>4838</v>
      </c>
      <c r="L364" t="s">
        <v>4834</v>
      </c>
      <c r="M364" t="s">
        <v>4835</v>
      </c>
      <c r="N364" t="s">
        <v>164</v>
      </c>
      <c r="O364" t="s">
        <v>3918</v>
      </c>
      <c r="P364" t="s">
        <v>3932</v>
      </c>
      <c r="Q364" t="s">
        <v>3933</v>
      </c>
      <c r="R364" t="s">
        <v>1517</v>
      </c>
      <c r="S364" t="s">
        <v>4838</v>
      </c>
      <c r="T364" t="s">
        <v>4138</v>
      </c>
      <c r="U364" t="s">
        <v>4139</v>
      </c>
      <c r="V364" t="s">
        <v>4836</v>
      </c>
      <c r="W364" t="s">
        <v>4140</v>
      </c>
      <c r="X364" t="s">
        <v>4141</v>
      </c>
      <c r="Y364" t="s">
        <v>4142</v>
      </c>
      <c r="Z364" t="s">
        <v>4313</v>
      </c>
      <c r="AA364" t="s">
        <v>4837</v>
      </c>
      <c r="AB364" t="s">
        <v>624</v>
      </c>
      <c r="AC364" t="s">
        <v>50</v>
      </c>
      <c r="AD364" t="s">
        <v>50</v>
      </c>
      <c r="AE364" t="s">
        <v>50</v>
      </c>
      <c r="AF364" t="s">
        <v>4366</v>
      </c>
      <c r="AG364" t="s">
        <v>4438</v>
      </c>
      <c r="AH364" t="s">
        <v>4366</v>
      </c>
      <c r="AI364" t="s">
        <v>4438</v>
      </c>
      <c r="AJ364" t="s">
        <v>4366</v>
      </c>
      <c r="AK364" t="s">
        <v>4438</v>
      </c>
      <c r="AL364" t="s">
        <v>4146</v>
      </c>
    </row>
    <row r="365" spans="1:38" ht="11.25" customHeight="1">
      <c r="A365" t="s">
        <v>9</v>
      </c>
      <c r="B365" t="s">
        <v>36</v>
      </c>
      <c r="C365" t="s">
        <v>38</v>
      </c>
      <c r="D365" t="s">
        <v>9</v>
      </c>
      <c r="E365" t="s">
        <v>1449</v>
      </c>
      <c r="F365" t="s">
        <v>1438</v>
      </c>
      <c r="G365" t="s">
        <v>144</v>
      </c>
      <c r="H365" t="s">
        <v>144</v>
      </c>
      <c r="I365" t="s">
        <v>145</v>
      </c>
      <c r="J365" t="s">
        <v>4839</v>
      </c>
      <c r="K365" t="s">
        <v>4840</v>
      </c>
      <c r="L365" t="s">
        <v>1442</v>
      </c>
      <c r="M365" t="s">
        <v>1442</v>
      </c>
      <c r="N365" t="s">
        <v>164</v>
      </c>
      <c r="O365" t="s">
        <v>144</v>
      </c>
      <c r="P365" t="s">
        <v>144</v>
      </c>
      <c r="Q365" t="s">
        <v>145</v>
      </c>
      <c r="R365" t="s">
        <v>4839</v>
      </c>
      <c r="S365" t="s">
        <v>4840</v>
      </c>
      <c r="T365" t="s">
        <v>4165</v>
      </c>
      <c r="U365" t="s">
        <v>4168</v>
      </c>
      <c r="V365" t="s">
        <v>624</v>
      </c>
      <c r="W365" t="s">
        <v>4140</v>
      </c>
      <c r="X365" t="s">
        <v>4167</v>
      </c>
      <c r="Y365" t="s">
        <v>4168</v>
      </c>
      <c r="Z365" t="s">
        <v>4841</v>
      </c>
      <c r="AA365" t="s">
        <v>4355</v>
      </c>
      <c r="AB365" t="s">
        <v>624</v>
      </c>
      <c r="AC365" t="s">
        <v>50</v>
      </c>
      <c r="AD365" t="s">
        <v>50</v>
      </c>
      <c r="AE365" t="s">
        <v>50</v>
      </c>
      <c r="AF365" t="s">
        <v>1552</v>
      </c>
      <c r="AG365" t="s">
        <v>4842</v>
      </c>
      <c r="AH365" t="s">
        <v>1552</v>
      </c>
      <c r="AI365" t="s">
        <v>4842</v>
      </c>
      <c r="AJ365" t="s">
        <v>1552</v>
      </c>
      <c r="AK365" t="s">
        <v>4842</v>
      </c>
      <c r="AL365" t="s">
        <v>4268</v>
      </c>
    </row>
    <row r="366" spans="1:38" ht="11.25" customHeight="1">
      <c r="A366" t="s">
        <v>9</v>
      </c>
      <c r="B366" t="s">
        <v>36</v>
      </c>
      <c r="C366" t="s">
        <v>38</v>
      </c>
      <c r="D366" t="s">
        <v>9</v>
      </c>
      <c r="E366" t="s">
        <v>1437</v>
      </c>
      <c r="F366" t="s">
        <v>1438</v>
      </c>
      <c r="G366" t="s">
        <v>144</v>
      </c>
      <c r="H366" t="s">
        <v>144</v>
      </c>
      <c r="I366" t="s">
        <v>145</v>
      </c>
      <c r="J366" t="s">
        <v>4843</v>
      </c>
      <c r="K366" t="s">
        <v>4844</v>
      </c>
      <c r="L366" t="s">
        <v>4845</v>
      </c>
      <c r="M366" t="s">
        <v>4846</v>
      </c>
      <c r="N366" t="s">
        <v>164</v>
      </c>
      <c r="O366" t="s">
        <v>144</v>
      </c>
      <c r="P366" t="s">
        <v>144</v>
      </c>
      <c r="Q366" t="s">
        <v>145</v>
      </c>
      <c r="R366" t="s">
        <v>4843</v>
      </c>
      <c r="S366" t="s">
        <v>4844</v>
      </c>
      <c r="T366" t="s">
        <v>4165</v>
      </c>
      <c r="U366" t="s">
        <v>4168</v>
      </c>
      <c r="V366" t="s">
        <v>624</v>
      </c>
      <c r="W366" t="s">
        <v>4140</v>
      </c>
      <c r="X366" t="s">
        <v>4167</v>
      </c>
      <c r="Y366" t="s">
        <v>4168</v>
      </c>
      <c r="Z366" t="s">
        <v>4841</v>
      </c>
      <c r="AA366" t="s">
        <v>4355</v>
      </c>
      <c r="AB366" t="s">
        <v>624</v>
      </c>
      <c r="AC366" t="s">
        <v>50</v>
      </c>
      <c r="AD366" t="s">
        <v>50</v>
      </c>
      <c r="AE366" t="s">
        <v>50</v>
      </c>
      <c r="AF366" t="s">
        <v>1556</v>
      </c>
      <c r="AG366" t="s">
        <v>4847</v>
      </c>
      <c r="AH366" t="s">
        <v>1556</v>
      </c>
      <c r="AI366" t="s">
        <v>4847</v>
      </c>
      <c r="AJ366" t="s">
        <v>1556</v>
      </c>
      <c r="AK366" t="s">
        <v>4847</v>
      </c>
      <c r="AL366" t="s">
        <v>4146</v>
      </c>
    </row>
    <row r="367" spans="1:38" ht="11.25" customHeight="1">
      <c r="A367" t="s">
        <v>9</v>
      </c>
      <c r="B367" t="s">
        <v>36</v>
      </c>
      <c r="C367" t="s">
        <v>38</v>
      </c>
      <c r="D367" t="s">
        <v>9</v>
      </c>
      <c r="E367" t="s">
        <v>1437</v>
      </c>
      <c r="F367" t="s">
        <v>1438</v>
      </c>
      <c r="G367" t="s">
        <v>147</v>
      </c>
      <c r="H367" t="s">
        <v>147</v>
      </c>
      <c r="I367" t="s">
        <v>148</v>
      </c>
      <c r="J367" t="s">
        <v>1523</v>
      </c>
      <c r="K367" t="s">
        <v>1524</v>
      </c>
      <c r="L367" t="s">
        <v>4848</v>
      </c>
      <c r="M367" t="s">
        <v>1442</v>
      </c>
      <c r="N367" t="s">
        <v>164</v>
      </c>
      <c r="O367" t="s">
        <v>147</v>
      </c>
      <c r="P367" t="s">
        <v>147</v>
      </c>
      <c r="Q367" t="s">
        <v>148</v>
      </c>
      <c r="R367" t="s">
        <v>1523</v>
      </c>
      <c r="S367" t="s">
        <v>1524</v>
      </c>
      <c r="T367" t="s">
        <v>4138</v>
      </c>
      <c r="U367" t="s">
        <v>4139</v>
      </c>
      <c r="V367" t="s">
        <v>624</v>
      </c>
      <c r="W367" t="s">
        <v>4140</v>
      </c>
      <c r="X367" t="s">
        <v>4141</v>
      </c>
      <c r="Y367" t="s">
        <v>4142</v>
      </c>
      <c r="Z367" t="s">
        <v>4849</v>
      </c>
      <c r="AA367" t="s">
        <v>4850</v>
      </c>
      <c r="AB367" t="s">
        <v>624</v>
      </c>
      <c r="AC367" t="s">
        <v>50</v>
      </c>
      <c r="AD367" t="s">
        <v>50</v>
      </c>
      <c r="AE367" t="s">
        <v>50</v>
      </c>
      <c r="AF367" t="s">
        <v>4851</v>
      </c>
      <c r="AG367" t="s">
        <v>4852</v>
      </c>
      <c r="AH367" t="s">
        <v>4851</v>
      </c>
      <c r="AI367" t="s">
        <v>4852</v>
      </c>
      <c r="AJ367" t="s">
        <v>4851</v>
      </c>
      <c r="AK367" t="s">
        <v>4852</v>
      </c>
      <c r="AL367" t="s">
        <v>4146</v>
      </c>
    </row>
    <row r="368" spans="1:38" ht="11.25" customHeight="1">
      <c r="A368" t="s">
        <v>9</v>
      </c>
      <c r="B368" t="s">
        <v>36</v>
      </c>
      <c r="C368" t="s">
        <v>38</v>
      </c>
      <c r="D368" t="s">
        <v>9</v>
      </c>
      <c r="E368" t="s">
        <v>4853</v>
      </c>
      <c r="F368" t="s">
        <v>4148</v>
      </c>
      <c r="G368" t="s">
        <v>147</v>
      </c>
      <c r="H368" t="s">
        <v>147</v>
      </c>
      <c r="I368" t="s">
        <v>148</v>
      </c>
      <c r="J368" t="s">
        <v>1523</v>
      </c>
      <c r="K368" t="s">
        <v>1524</v>
      </c>
      <c r="L368" t="s">
        <v>4848</v>
      </c>
      <c r="M368" t="s">
        <v>1442</v>
      </c>
      <c r="N368" t="s">
        <v>164</v>
      </c>
      <c r="O368" t="s">
        <v>147</v>
      </c>
      <c r="P368" t="s">
        <v>147</v>
      </c>
      <c r="Q368" t="s">
        <v>148</v>
      </c>
      <c r="R368" t="s">
        <v>1523</v>
      </c>
      <c r="S368" t="s">
        <v>1524</v>
      </c>
      <c r="T368" t="s">
        <v>4138</v>
      </c>
      <c r="U368" t="s">
        <v>4139</v>
      </c>
      <c r="V368" t="s">
        <v>624</v>
      </c>
      <c r="W368" t="s">
        <v>4140</v>
      </c>
      <c r="X368" t="s">
        <v>4141</v>
      </c>
      <c r="Y368" t="s">
        <v>4142</v>
      </c>
      <c r="Z368" t="s">
        <v>4849</v>
      </c>
      <c r="AA368" t="s">
        <v>4850</v>
      </c>
      <c r="AB368" t="s">
        <v>624</v>
      </c>
      <c r="AC368" t="s">
        <v>6</v>
      </c>
      <c r="AD368" t="s">
        <v>50</v>
      </c>
      <c r="AE368" t="s">
        <v>6</v>
      </c>
      <c r="AF368" t="s">
        <v>9</v>
      </c>
      <c r="AG368" t="s">
        <v>9</v>
      </c>
      <c r="AH368" t="s">
        <v>4851</v>
      </c>
      <c r="AI368" t="s">
        <v>4852</v>
      </c>
      <c r="AJ368" t="s">
        <v>4851</v>
      </c>
      <c r="AK368" t="s">
        <v>4852</v>
      </c>
      <c r="AL368" t="s">
        <v>9</v>
      </c>
    </row>
    <row r="369" spans="1:38" ht="11.25" customHeight="1">
      <c r="A369" t="s">
        <v>9</v>
      </c>
      <c r="B369" t="s">
        <v>36</v>
      </c>
      <c r="C369" t="s">
        <v>38</v>
      </c>
      <c r="D369" t="s">
        <v>9</v>
      </c>
      <c r="E369" t="s">
        <v>1449</v>
      </c>
      <c r="F369" t="s">
        <v>1438</v>
      </c>
      <c r="G369" t="s">
        <v>147</v>
      </c>
      <c r="H369" t="s">
        <v>147</v>
      </c>
      <c r="I369" t="s">
        <v>148</v>
      </c>
      <c r="J369" t="s">
        <v>1523</v>
      </c>
      <c r="K369" t="s">
        <v>1524</v>
      </c>
      <c r="L369" t="s">
        <v>1525</v>
      </c>
      <c r="M369" t="s">
        <v>1442</v>
      </c>
      <c r="N369" t="s">
        <v>164</v>
      </c>
      <c r="O369" t="s">
        <v>147</v>
      </c>
      <c r="P369" t="s">
        <v>147</v>
      </c>
      <c r="Q369" t="s">
        <v>148</v>
      </c>
      <c r="R369" t="s">
        <v>1523</v>
      </c>
      <c r="S369" t="s">
        <v>1524</v>
      </c>
      <c r="T369" t="s">
        <v>4165</v>
      </c>
      <c r="U369" t="s">
        <v>4720</v>
      </c>
      <c r="V369" t="s">
        <v>624</v>
      </c>
      <c r="W369" t="s">
        <v>4140</v>
      </c>
      <c r="X369" t="s">
        <v>4721</v>
      </c>
      <c r="Y369" t="s">
        <v>4720</v>
      </c>
      <c r="Z369" t="s">
        <v>4854</v>
      </c>
      <c r="AA369" t="s">
        <v>4374</v>
      </c>
      <c r="AB369" t="s">
        <v>624</v>
      </c>
      <c r="AC369" t="s">
        <v>50</v>
      </c>
      <c r="AD369" t="s">
        <v>50</v>
      </c>
      <c r="AE369" t="s">
        <v>50</v>
      </c>
      <c r="AF369" t="s">
        <v>4855</v>
      </c>
      <c r="AG369" t="s">
        <v>1552</v>
      </c>
      <c r="AH369" t="s">
        <v>4855</v>
      </c>
      <c r="AI369" t="s">
        <v>1552</v>
      </c>
      <c r="AJ369" t="s">
        <v>4855</v>
      </c>
      <c r="AK369" t="s">
        <v>1552</v>
      </c>
      <c r="AL369" t="s">
        <v>4146</v>
      </c>
    </row>
    <row r="370" spans="1:38" ht="11.25" customHeight="1">
      <c r="A370" t="s">
        <v>9</v>
      </c>
      <c r="B370" t="s">
        <v>36</v>
      </c>
      <c r="C370" t="s">
        <v>38</v>
      </c>
      <c r="D370" t="s">
        <v>9</v>
      </c>
      <c r="E370" t="s">
        <v>1456</v>
      </c>
      <c r="F370" t="s">
        <v>1438</v>
      </c>
      <c r="G370" t="s">
        <v>147</v>
      </c>
      <c r="H370" t="s">
        <v>147</v>
      </c>
      <c r="I370" t="s">
        <v>148</v>
      </c>
      <c r="J370" t="s">
        <v>1523</v>
      </c>
      <c r="K370" t="s">
        <v>1524</v>
      </c>
      <c r="L370" t="s">
        <v>1464</v>
      </c>
      <c r="M370" t="s">
        <v>1442</v>
      </c>
      <c r="N370" t="s">
        <v>164</v>
      </c>
      <c r="O370" t="s">
        <v>147</v>
      </c>
      <c r="P370" t="s">
        <v>147</v>
      </c>
      <c r="Q370" t="s">
        <v>148</v>
      </c>
      <c r="R370" t="s">
        <v>1523</v>
      </c>
      <c r="S370" t="s">
        <v>1524</v>
      </c>
      <c r="T370" t="s">
        <v>4165</v>
      </c>
      <c r="U370" t="s">
        <v>4720</v>
      </c>
      <c r="V370" t="s">
        <v>624</v>
      </c>
      <c r="W370" t="s">
        <v>4140</v>
      </c>
      <c r="X370" t="s">
        <v>4721</v>
      </c>
      <c r="Y370" t="s">
        <v>4720</v>
      </c>
      <c r="Z370" t="s">
        <v>4854</v>
      </c>
      <c r="AA370" t="s">
        <v>4374</v>
      </c>
      <c r="AB370" t="s">
        <v>624</v>
      </c>
      <c r="AC370" t="s">
        <v>50</v>
      </c>
      <c r="AD370" t="s">
        <v>50</v>
      </c>
      <c r="AE370" t="s">
        <v>50</v>
      </c>
      <c r="AF370" t="s">
        <v>4856</v>
      </c>
      <c r="AG370" t="s">
        <v>4470</v>
      </c>
      <c r="AH370" t="s">
        <v>4653</v>
      </c>
      <c r="AI370" t="s">
        <v>4470</v>
      </c>
      <c r="AJ370" t="s">
        <v>4653</v>
      </c>
      <c r="AK370" t="s">
        <v>4470</v>
      </c>
      <c r="AL370" t="s">
        <v>4146</v>
      </c>
    </row>
    <row r="371" spans="1:38" ht="11.25" customHeight="1">
      <c r="A371" t="s">
        <v>9</v>
      </c>
      <c r="B371" t="s">
        <v>36</v>
      </c>
      <c r="C371" t="s">
        <v>38</v>
      </c>
      <c r="D371" t="s">
        <v>9</v>
      </c>
      <c r="E371" t="s">
        <v>4857</v>
      </c>
      <c r="F371" t="s">
        <v>1438</v>
      </c>
      <c r="G371" t="s">
        <v>147</v>
      </c>
      <c r="H371" t="s">
        <v>147</v>
      </c>
      <c r="I371" t="s">
        <v>148</v>
      </c>
      <c r="J371" t="s">
        <v>4858</v>
      </c>
      <c r="K371" t="s">
        <v>4859</v>
      </c>
      <c r="L371" t="s">
        <v>4860</v>
      </c>
      <c r="M371" t="s">
        <v>4861</v>
      </c>
      <c r="N371" t="s">
        <v>164</v>
      </c>
      <c r="O371" t="s">
        <v>147</v>
      </c>
      <c r="P371" t="s">
        <v>147</v>
      </c>
      <c r="Q371" t="s">
        <v>148</v>
      </c>
      <c r="R371" t="s">
        <v>4858</v>
      </c>
      <c r="S371" t="s">
        <v>4859</v>
      </c>
      <c r="T371" t="s">
        <v>4165</v>
      </c>
      <c r="U371" t="s">
        <v>4168</v>
      </c>
      <c r="V371" t="s">
        <v>4862</v>
      </c>
      <c r="W371" t="s">
        <v>4140</v>
      </c>
      <c r="X371" t="s">
        <v>4167</v>
      </c>
      <c r="Y371" t="s">
        <v>4168</v>
      </c>
      <c r="Z371" t="s">
        <v>149</v>
      </c>
      <c r="AA371" t="s">
        <v>4863</v>
      </c>
      <c r="AB371" t="s">
        <v>4862</v>
      </c>
      <c r="AC371" t="s">
        <v>50</v>
      </c>
      <c r="AD371" t="s">
        <v>50</v>
      </c>
      <c r="AE371" t="s">
        <v>50</v>
      </c>
      <c r="AF371" t="s">
        <v>1127</v>
      </c>
      <c r="AG371" t="s">
        <v>4864</v>
      </c>
      <c r="AH371" t="s">
        <v>1127</v>
      </c>
      <c r="AI371" t="s">
        <v>4864</v>
      </c>
      <c r="AJ371" t="s">
        <v>1127</v>
      </c>
      <c r="AK371" t="s">
        <v>4864</v>
      </c>
      <c r="AL371" t="s">
        <v>4146</v>
      </c>
    </row>
    <row r="372" spans="1:38" ht="11.25" customHeight="1">
      <c r="A372" t="s">
        <v>9</v>
      </c>
      <c r="B372" t="s">
        <v>36</v>
      </c>
      <c r="C372" t="s">
        <v>38</v>
      </c>
      <c r="D372" t="s">
        <v>9</v>
      </c>
      <c r="E372" t="s">
        <v>4857</v>
      </c>
      <c r="F372" t="s">
        <v>1438</v>
      </c>
      <c r="G372" t="s">
        <v>3992</v>
      </c>
      <c r="H372" t="s">
        <v>4000</v>
      </c>
      <c r="I372" t="s">
        <v>4001</v>
      </c>
      <c r="J372" t="s">
        <v>4858</v>
      </c>
      <c r="K372" t="s">
        <v>4865</v>
      </c>
      <c r="L372" t="s">
        <v>4860</v>
      </c>
      <c r="M372" t="s">
        <v>4861</v>
      </c>
      <c r="N372" t="s">
        <v>164</v>
      </c>
      <c r="O372" t="s">
        <v>3992</v>
      </c>
      <c r="P372" t="s">
        <v>4000</v>
      </c>
      <c r="Q372" t="s">
        <v>4001</v>
      </c>
      <c r="R372" t="s">
        <v>4858</v>
      </c>
      <c r="S372" t="s">
        <v>4865</v>
      </c>
      <c r="T372" t="s">
        <v>4165</v>
      </c>
      <c r="U372" t="s">
        <v>4168</v>
      </c>
      <c r="V372" t="s">
        <v>4862</v>
      </c>
      <c r="W372" t="s">
        <v>4140</v>
      </c>
      <c r="X372" t="s">
        <v>4167</v>
      </c>
      <c r="Y372" t="s">
        <v>4168</v>
      </c>
      <c r="Z372" t="s">
        <v>149</v>
      </c>
      <c r="AA372" t="s">
        <v>4863</v>
      </c>
      <c r="AB372" t="s">
        <v>4862</v>
      </c>
      <c r="AC372" t="s">
        <v>50</v>
      </c>
      <c r="AD372" t="s">
        <v>50</v>
      </c>
      <c r="AE372" t="s">
        <v>50</v>
      </c>
      <c r="AF372" t="s">
        <v>1127</v>
      </c>
      <c r="AG372" t="s">
        <v>4864</v>
      </c>
      <c r="AH372" t="s">
        <v>1127</v>
      </c>
      <c r="AI372" t="s">
        <v>4864</v>
      </c>
      <c r="AJ372" t="s">
        <v>1127</v>
      </c>
      <c r="AK372" t="s">
        <v>4864</v>
      </c>
      <c r="AL372" t="s">
        <v>4146</v>
      </c>
    </row>
    <row r="373" spans="1:38" ht="11.25" customHeight="1">
      <c r="A373" t="s">
        <v>9</v>
      </c>
      <c r="B373" t="s">
        <v>36</v>
      </c>
      <c r="C373" t="s">
        <v>38</v>
      </c>
      <c r="D373" t="s">
        <v>9</v>
      </c>
      <c r="E373" t="s">
        <v>1437</v>
      </c>
      <c r="F373" t="s">
        <v>1438</v>
      </c>
      <c r="G373" t="s">
        <v>3992</v>
      </c>
      <c r="H373" t="s">
        <v>4010</v>
      </c>
      <c r="I373" t="s">
        <v>4011</v>
      </c>
      <c r="J373" t="s">
        <v>1523</v>
      </c>
      <c r="K373" t="s">
        <v>4866</v>
      </c>
      <c r="L373" t="s">
        <v>4848</v>
      </c>
      <c r="M373" t="s">
        <v>1442</v>
      </c>
      <c r="N373" t="s">
        <v>164</v>
      </c>
      <c r="O373" t="s">
        <v>3992</v>
      </c>
      <c r="P373" t="s">
        <v>4010</v>
      </c>
      <c r="Q373" t="s">
        <v>4011</v>
      </c>
      <c r="R373" t="s">
        <v>1523</v>
      </c>
      <c r="S373" t="s">
        <v>4866</v>
      </c>
      <c r="T373" t="s">
        <v>4138</v>
      </c>
      <c r="U373" t="s">
        <v>4139</v>
      </c>
      <c r="V373" t="s">
        <v>624</v>
      </c>
      <c r="W373" t="s">
        <v>4140</v>
      </c>
      <c r="X373" t="s">
        <v>4141</v>
      </c>
      <c r="Y373" t="s">
        <v>4142</v>
      </c>
      <c r="Z373" t="s">
        <v>4849</v>
      </c>
      <c r="AA373" t="s">
        <v>4850</v>
      </c>
      <c r="AB373" t="s">
        <v>624</v>
      </c>
      <c r="AC373" t="s">
        <v>50</v>
      </c>
      <c r="AD373" t="s">
        <v>50</v>
      </c>
      <c r="AE373" t="s">
        <v>50</v>
      </c>
      <c r="AF373" t="s">
        <v>4851</v>
      </c>
      <c r="AG373" t="s">
        <v>4852</v>
      </c>
      <c r="AH373" t="s">
        <v>4851</v>
      </c>
      <c r="AI373" t="s">
        <v>4852</v>
      </c>
      <c r="AJ373" t="s">
        <v>4851</v>
      </c>
      <c r="AK373" t="s">
        <v>4852</v>
      </c>
      <c r="AL373" t="s">
        <v>4146</v>
      </c>
    </row>
    <row r="374" spans="1:38" ht="11.25" customHeight="1">
      <c r="A374" t="s">
        <v>9</v>
      </c>
      <c r="B374" t="s">
        <v>36</v>
      </c>
      <c r="C374" t="s">
        <v>38</v>
      </c>
      <c r="D374" t="s">
        <v>9</v>
      </c>
      <c r="E374" t="s">
        <v>4853</v>
      </c>
      <c r="F374" t="s">
        <v>4148</v>
      </c>
      <c r="G374" t="s">
        <v>3992</v>
      </c>
      <c r="H374" t="s">
        <v>4010</v>
      </c>
      <c r="I374" t="s">
        <v>4011</v>
      </c>
      <c r="J374" t="s">
        <v>1523</v>
      </c>
      <c r="K374" t="s">
        <v>4866</v>
      </c>
      <c r="L374" t="s">
        <v>4848</v>
      </c>
      <c r="M374" t="s">
        <v>1442</v>
      </c>
      <c r="N374" t="s">
        <v>164</v>
      </c>
      <c r="O374" t="s">
        <v>3992</v>
      </c>
      <c r="P374" t="s">
        <v>4010</v>
      </c>
      <c r="Q374" t="s">
        <v>4011</v>
      </c>
      <c r="R374" t="s">
        <v>1523</v>
      </c>
      <c r="S374" t="s">
        <v>4866</v>
      </c>
      <c r="T374" t="s">
        <v>4138</v>
      </c>
      <c r="U374" t="s">
        <v>4139</v>
      </c>
      <c r="V374" t="s">
        <v>624</v>
      </c>
      <c r="W374" t="s">
        <v>4140</v>
      </c>
      <c r="X374" t="s">
        <v>4141</v>
      </c>
      <c r="Y374" t="s">
        <v>4142</v>
      </c>
      <c r="Z374" t="s">
        <v>4849</v>
      </c>
      <c r="AA374" t="s">
        <v>4850</v>
      </c>
      <c r="AB374" t="s">
        <v>624</v>
      </c>
      <c r="AC374" t="s">
        <v>6</v>
      </c>
      <c r="AD374" t="s">
        <v>50</v>
      </c>
      <c r="AE374" t="s">
        <v>6</v>
      </c>
      <c r="AF374" t="s">
        <v>9</v>
      </c>
      <c r="AG374" t="s">
        <v>9</v>
      </c>
      <c r="AH374" t="s">
        <v>4851</v>
      </c>
      <c r="AI374" t="s">
        <v>4852</v>
      </c>
      <c r="AJ374" t="s">
        <v>4851</v>
      </c>
      <c r="AK374" t="s">
        <v>4852</v>
      </c>
      <c r="AL374" t="s">
        <v>9</v>
      </c>
    </row>
    <row r="375" spans="1:38" ht="11.25" customHeight="1">
      <c r="A375" t="s">
        <v>9</v>
      </c>
      <c r="B375" t="s">
        <v>36</v>
      </c>
      <c r="C375" t="s">
        <v>38</v>
      </c>
      <c r="D375" t="s">
        <v>9</v>
      </c>
      <c r="E375" t="s">
        <v>1449</v>
      </c>
      <c r="F375" t="s">
        <v>1438</v>
      </c>
      <c r="G375" t="s">
        <v>3992</v>
      </c>
      <c r="H375" t="s">
        <v>4010</v>
      </c>
      <c r="I375" t="s">
        <v>4011</v>
      </c>
      <c r="J375" t="s">
        <v>1523</v>
      </c>
      <c r="K375" t="s">
        <v>4866</v>
      </c>
      <c r="L375" t="s">
        <v>1525</v>
      </c>
      <c r="M375" t="s">
        <v>1442</v>
      </c>
      <c r="N375" t="s">
        <v>164</v>
      </c>
      <c r="O375" t="s">
        <v>3992</v>
      </c>
      <c r="P375" t="s">
        <v>4010</v>
      </c>
      <c r="Q375" t="s">
        <v>4011</v>
      </c>
      <c r="R375" t="s">
        <v>1523</v>
      </c>
      <c r="S375" t="s">
        <v>4866</v>
      </c>
      <c r="T375" t="s">
        <v>4165</v>
      </c>
      <c r="U375" t="s">
        <v>4720</v>
      </c>
      <c r="V375" t="s">
        <v>624</v>
      </c>
      <c r="W375" t="s">
        <v>4140</v>
      </c>
      <c r="X375" t="s">
        <v>4721</v>
      </c>
      <c r="Y375" t="s">
        <v>4720</v>
      </c>
      <c r="Z375" t="s">
        <v>4854</v>
      </c>
      <c r="AA375" t="s">
        <v>4374</v>
      </c>
      <c r="AB375" t="s">
        <v>624</v>
      </c>
      <c r="AC375" t="s">
        <v>50</v>
      </c>
      <c r="AD375" t="s">
        <v>50</v>
      </c>
      <c r="AE375" t="s">
        <v>50</v>
      </c>
      <c r="AF375" t="s">
        <v>4855</v>
      </c>
      <c r="AG375" t="s">
        <v>1552</v>
      </c>
      <c r="AH375" t="s">
        <v>4855</v>
      </c>
      <c r="AI375" t="s">
        <v>1552</v>
      </c>
      <c r="AJ375" t="s">
        <v>4855</v>
      </c>
      <c r="AK375" t="s">
        <v>1552</v>
      </c>
      <c r="AL375" t="s">
        <v>4146</v>
      </c>
    </row>
    <row r="376" spans="1:38" ht="11.25" customHeight="1">
      <c r="A376" t="s">
        <v>9</v>
      </c>
      <c r="B376" t="s">
        <v>36</v>
      </c>
      <c r="C376" t="s">
        <v>38</v>
      </c>
      <c r="D376" t="s">
        <v>9</v>
      </c>
      <c r="E376" t="s">
        <v>1456</v>
      </c>
      <c r="F376" t="s">
        <v>1438</v>
      </c>
      <c r="G376" t="s">
        <v>3992</v>
      </c>
      <c r="H376" t="s">
        <v>4010</v>
      </c>
      <c r="I376" t="s">
        <v>4011</v>
      </c>
      <c r="J376" t="s">
        <v>1523</v>
      </c>
      <c r="K376" t="s">
        <v>4866</v>
      </c>
      <c r="L376" t="s">
        <v>1464</v>
      </c>
      <c r="M376" t="s">
        <v>1442</v>
      </c>
      <c r="N376" t="s">
        <v>164</v>
      </c>
      <c r="O376" t="s">
        <v>3992</v>
      </c>
      <c r="P376" t="s">
        <v>4010</v>
      </c>
      <c r="Q376" t="s">
        <v>4011</v>
      </c>
      <c r="R376" t="s">
        <v>1523</v>
      </c>
      <c r="S376" t="s">
        <v>4866</v>
      </c>
      <c r="T376" t="s">
        <v>4165</v>
      </c>
      <c r="U376" t="s">
        <v>4720</v>
      </c>
      <c r="V376" t="s">
        <v>624</v>
      </c>
      <c r="W376" t="s">
        <v>4140</v>
      </c>
      <c r="X376" t="s">
        <v>4721</v>
      </c>
      <c r="Y376" t="s">
        <v>4720</v>
      </c>
      <c r="Z376" t="s">
        <v>4854</v>
      </c>
      <c r="AA376" t="s">
        <v>4374</v>
      </c>
      <c r="AB376" t="s">
        <v>624</v>
      </c>
      <c r="AC376" t="s">
        <v>50</v>
      </c>
      <c r="AD376" t="s">
        <v>50</v>
      </c>
      <c r="AE376" t="s">
        <v>50</v>
      </c>
      <c r="AF376" t="s">
        <v>4856</v>
      </c>
      <c r="AG376" t="s">
        <v>4470</v>
      </c>
      <c r="AH376" t="s">
        <v>4653</v>
      </c>
      <c r="AI376" t="s">
        <v>4470</v>
      </c>
      <c r="AJ376" t="s">
        <v>4653</v>
      </c>
      <c r="AK376" t="s">
        <v>4470</v>
      </c>
      <c r="AL376" t="s">
        <v>4146</v>
      </c>
    </row>
    <row r="377" spans="1:38" ht="11.25" customHeight="1">
      <c r="A377" t="s">
        <v>9</v>
      </c>
      <c r="B377" t="s">
        <v>36</v>
      </c>
      <c r="C377" t="s">
        <v>38</v>
      </c>
      <c r="D377" t="s">
        <v>9</v>
      </c>
      <c r="E377" t="s">
        <v>4269</v>
      </c>
      <c r="F377" t="s">
        <v>1438</v>
      </c>
      <c r="G377" t="s">
        <v>151</v>
      </c>
      <c r="H377" t="s">
        <v>151</v>
      </c>
      <c r="I377" t="s">
        <v>152</v>
      </c>
      <c r="J377" t="s">
        <v>4867</v>
      </c>
      <c r="K377" t="s">
        <v>4868</v>
      </c>
      <c r="L377" t="s">
        <v>1442</v>
      </c>
      <c r="M377" t="s">
        <v>1442</v>
      </c>
      <c r="N377" t="s">
        <v>164</v>
      </c>
      <c r="O377" t="s">
        <v>151</v>
      </c>
      <c r="P377" t="s">
        <v>151</v>
      </c>
      <c r="Q377" t="s">
        <v>152</v>
      </c>
      <c r="R377" t="s">
        <v>4867</v>
      </c>
      <c r="S377" t="s">
        <v>4868</v>
      </c>
      <c r="T377" t="s">
        <v>4138</v>
      </c>
      <c r="U377" t="s">
        <v>4139</v>
      </c>
      <c r="V377" t="s">
        <v>624</v>
      </c>
      <c r="W377" t="s">
        <v>4140</v>
      </c>
      <c r="X377" t="s">
        <v>4467</v>
      </c>
      <c r="Y377" t="s">
        <v>4142</v>
      </c>
      <c r="Z377" t="s">
        <v>4869</v>
      </c>
      <c r="AA377" t="s">
        <v>4870</v>
      </c>
      <c r="AB377" t="s">
        <v>624</v>
      </c>
      <c r="AC377" t="s">
        <v>50</v>
      </c>
      <c r="AD377" t="s">
        <v>50</v>
      </c>
      <c r="AE377" t="s">
        <v>50</v>
      </c>
      <c r="AF377" t="s">
        <v>4470</v>
      </c>
      <c r="AG377" t="s">
        <v>4871</v>
      </c>
      <c r="AH377" t="s">
        <v>4470</v>
      </c>
      <c r="AI377" t="s">
        <v>4871</v>
      </c>
      <c r="AJ377" t="s">
        <v>4470</v>
      </c>
      <c r="AK377" t="s">
        <v>4871</v>
      </c>
      <c r="AL377" t="s">
        <v>4146</v>
      </c>
    </row>
    <row r="378" spans="1:38" ht="11.25" customHeight="1">
      <c r="A378" t="s">
        <v>9</v>
      </c>
      <c r="B378" t="s">
        <v>36</v>
      </c>
      <c r="C378" t="s">
        <v>38</v>
      </c>
      <c r="D378" t="s">
        <v>9</v>
      </c>
      <c r="E378" t="s">
        <v>4234</v>
      </c>
      <c r="F378" t="s">
        <v>1438</v>
      </c>
      <c r="G378" t="s">
        <v>151</v>
      </c>
      <c r="H378" t="s">
        <v>151</v>
      </c>
      <c r="I378" t="s">
        <v>152</v>
      </c>
      <c r="J378" t="s">
        <v>4872</v>
      </c>
      <c r="K378" t="s">
        <v>4873</v>
      </c>
      <c r="L378" t="s">
        <v>1442</v>
      </c>
      <c r="M378" t="s">
        <v>1442</v>
      </c>
      <c r="N378" t="s">
        <v>164</v>
      </c>
      <c r="O378" t="s">
        <v>151</v>
      </c>
      <c r="P378" t="s">
        <v>151</v>
      </c>
      <c r="Q378" t="s">
        <v>152</v>
      </c>
      <c r="R378" t="s">
        <v>4872</v>
      </c>
      <c r="S378" t="s">
        <v>4873</v>
      </c>
      <c r="T378" t="s">
        <v>4138</v>
      </c>
      <c r="U378" t="s">
        <v>4139</v>
      </c>
      <c r="V378" t="s">
        <v>624</v>
      </c>
      <c r="W378" t="s">
        <v>4140</v>
      </c>
      <c r="X378" t="s">
        <v>4467</v>
      </c>
      <c r="Y378" t="s">
        <v>4142</v>
      </c>
      <c r="Z378" t="s">
        <v>4874</v>
      </c>
      <c r="AA378" t="s">
        <v>4875</v>
      </c>
      <c r="AB378" t="s">
        <v>624</v>
      </c>
      <c r="AC378" t="s">
        <v>50</v>
      </c>
      <c r="AD378" t="s">
        <v>50</v>
      </c>
      <c r="AE378" t="s">
        <v>50</v>
      </c>
      <c r="AF378" t="s">
        <v>4470</v>
      </c>
      <c r="AG378" t="s">
        <v>4367</v>
      </c>
      <c r="AH378" t="s">
        <v>4470</v>
      </c>
      <c r="AI378" t="s">
        <v>4367</v>
      </c>
      <c r="AJ378" t="s">
        <v>4470</v>
      </c>
      <c r="AK378" t="s">
        <v>4367</v>
      </c>
      <c r="AL378" t="s">
        <v>4146</v>
      </c>
    </row>
    <row r="379" spans="1:38" ht="11.25" customHeight="1">
      <c r="A379" t="s">
        <v>9</v>
      </c>
      <c r="B379" t="s">
        <v>36</v>
      </c>
      <c r="C379" t="s">
        <v>38</v>
      </c>
      <c r="D379" t="s">
        <v>9</v>
      </c>
      <c r="E379" t="s">
        <v>1437</v>
      </c>
      <c r="F379" t="s">
        <v>1438</v>
      </c>
      <c r="G379" t="s">
        <v>151</v>
      </c>
      <c r="H379" t="s">
        <v>151</v>
      </c>
      <c r="I379" t="s">
        <v>152</v>
      </c>
      <c r="J379" t="s">
        <v>1439</v>
      </c>
      <c r="K379" t="s">
        <v>1440</v>
      </c>
      <c r="L379" t="s">
        <v>1441</v>
      </c>
      <c r="M379" t="s">
        <v>1442</v>
      </c>
      <c r="N379" t="s">
        <v>164</v>
      </c>
      <c r="O379" t="s">
        <v>151</v>
      </c>
      <c r="P379" t="s">
        <v>151</v>
      </c>
      <c r="Q379" t="s">
        <v>152</v>
      </c>
      <c r="R379" t="s">
        <v>1439</v>
      </c>
      <c r="S379" t="s">
        <v>1440</v>
      </c>
      <c r="T379" t="s">
        <v>4138</v>
      </c>
      <c r="U379" t="s">
        <v>4139</v>
      </c>
      <c r="V379" t="s">
        <v>624</v>
      </c>
      <c r="W379" t="s">
        <v>4140</v>
      </c>
      <c r="X379" t="s">
        <v>4141</v>
      </c>
      <c r="Y379" t="s">
        <v>4142</v>
      </c>
      <c r="Z379" t="s">
        <v>4876</v>
      </c>
      <c r="AA379" t="s">
        <v>4877</v>
      </c>
      <c r="AB379" t="s">
        <v>624</v>
      </c>
      <c r="AC379" t="s">
        <v>50</v>
      </c>
      <c r="AD379" t="s">
        <v>50</v>
      </c>
      <c r="AE379" t="s">
        <v>50</v>
      </c>
      <c r="AF379" t="s">
        <v>4878</v>
      </c>
      <c r="AG379" t="s">
        <v>4779</v>
      </c>
      <c r="AH379" t="s">
        <v>4878</v>
      </c>
      <c r="AI379" t="s">
        <v>4779</v>
      </c>
      <c r="AJ379" t="s">
        <v>4878</v>
      </c>
      <c r="AK379" t="s">
        <v>4779</v>
      </c>
      <c r="AL379" t="s">
        <v>4146</v>
      </c>
    </row>
    <row r="380" spans="1:38" ht="11.25" customHeight="1">
      <c r="A380" t="s">
        <v>9</v>
      </c>
      <c r="B380" t="s">
        <v>36</v>
      </c>
      <c r="C380" t="s">
        <v>38</v>
      </c>
      <c r="D380" t="s">
        <v>9</v>
      </c>
      <c r="E380" t="s">
        <v>1449</v>
      </c>
      <c r="F380" t="s">
        <v>1438</v>
      </c>
      <c r="G380" t="s">
        <v>151</v>
      </c>
      <c r="H380" t="s">
        <v>151</v>
      </c>
      <c r="I380" t="s">
        <v>152</v>
      </c>
      <c r="J380" t="s">
        <v>1439</v>
      </c>
      <c r="K380" t="s">
        <v>1440</v>
      </c>
      <c r="L380" t="s">
        <v>1450</v>
      </c>
      <c r="M380" t="s">
        <v>1442</v>
      </c>
      <c r="N380" t="s">
        <v>164</v>
      </c>
      <c r="O380" t="s">
        <v>151</v>
      </c>
      <c r="P380" t="s">
        <v>151</v>
      </c>
      <c r="Q380" t="s">
        <v>152</v>
      </c>
      <c r="R380" t="s">
        <v>1439</v>
      </c>
      <c r="S380" t="s">
        <v>1440</v>
      </c>
      <c r="T380" t="s">
        <v>4138</v>
      </c>
      <c r="U380" t="s">
        <v>4139</v>
      </c>
      <c r="V380" t="s">
        <v>624</v>
      </c>
      <c r="W380" t="s">
        <v>4140</v>
      </c>
      <c r="X380" t="s">
        <v>4141</v>
      </c>
      <c r="Y380" t="s">
        <v>4142</v>
      </c>
      <c r="Z380" t="s">
        <v>4879</v>
      </c>
      <c r="AA380" t="s">
        <v>4880</v>
      </c>
      <c r="AB380" t="s">
        <v>624</v>
      </c>
      <c r="AC380" t="s">
        <v>50</v>
      </c>
      <c r="AD380" t="s">
        <v>50</v>
      </c>
      <c r="AE380" t="s">
        <v>50</v>
      </c>
      <c r="AF380" t="s">
        <v>4881</v>
      </c>
      <c r="AG380" t="s">
        <v>4475</v>
      </c>
      <c r="AH380" t="s">
        <v>4881</v>
      </c>
      <c r="AI380" t="s">
        <v>4475</v>
      </c>
      <c r="AJ380" t="s">
        <v>4881</v>
      </c>
      <c r="AK380" t="s">
        <v>4475</v>
      </c>
      <c r="AL380" t="s">
        <v>4146</v>
      </c>
    </row>
    <row r="381" spans="1:38" ht="11.25" customHeight="1">
      <c r="A381" t="s">
        <v>9</v>
      </c>
      <c r="B381" t="s">
        <v>36</v>
      </c>
      <c r="C381" t="s">
        <v>38</v>
      </c>
      <c r="D381" t="s">
        <v>9</v>
      </c>
      <c r="E381" t="s">
        <v>1456</v>
      </c>
      <c r="F381" t="s">
        <v>1457</v>
      </c>
      <c r="G381" t="s">
        <v>151</v>
      </c>
      <c r="H381" t="s">
        <v>151</v>
      </c>
      <c r="I381" t="s">
        <v>152</v>
      </c>
      <c r="J381" t="s">
        <v>1439</v>
      </c>
      <c r="K381" t="s">
        <v>1440</v>
      </c>
      <c r="L381" t="s">
        <v>1458</v>
      </c>
      <c r="M381" t="s">
        <v>1442</v>
      </c>
      <c r="N381" t="s">
        <v>164</v>
      </c>
      <c r="O381" t="s">
        <v>151</v>
      </c>
      <c r="P381" t="s">
        <v>151</v>
      </c>
      <c r="Q381" t="s">
        <v>152</v>
      </c>
      <c r="R381" t="s">
        <v>1439</v>
      </c>
      <c r="S381" t="s">
        <v>1440</v>
      </c>
      <c r="T381" t="s">
        <v>4138</v>
      </c>
      <c r="U381" t="s">
        <v>4139</v>
      </c>
      <c r="V381" t="s">
        <v>624</v>
      </c>
      <c r="W381" t="s">
        <v>4140</v>
      </c>
      <c r="X381" t="s">
        <v>4141</v>
      </c>
      <c r="Y381" t="s">
        <v>4142</v>
      </c>
      <c r="Z381" t="s">
        <v>4882</v>
      </c>
      <c r="AA381" t="s">
        <v>4880</v>
      </c>
      <c r="AB381" t="s">
        <v>624</v>
      </c>
      <c r="AC381" t="s">
        <v>50</v>
      </c>
      <c r="AD381" t="s">
        <v>6</v>
      </c>
      <c r="AE381" t="s">
        <v>6</v>
      </c>
      <c r="AF381" t="s">
        <v>1556</v>
      </c>
      <c r="AG381" t="s">
        <v>4883</v>
      </c>
      <c r="AH381" t="s">
        <v>9</v>
      </c>
      <c r="AI381" t="s">
        <v>9</v>
      </c>
      <c r="AJ381" t="s">
        <v>9</v>
      </c>
      <c r="AK381" t="s">
        <v>9</v>
      </c>
      <c r="AL381" t="s">
        <v>4268</v>
      </c>
    </row>
    <row r="382" spans="1:38" ht="11.25" customHeight="1">
      <c r="A382" t="s">
        <v>9</v>
      </c>
      <c r="B382" t="s">
        <v>36</v>
      </c>
      <c r="C382" t="s">
        <v>38</v>
      </c>
      <c r="D382" t="s">
        <v>9</v>
      </c>
      <c r="E382" t="s">
        <v>1500</v>
      </c>
      <c r="F382" t="s">
        <v>1438</v>
      </c>
      <c r="G382" t="s">
        <v>151</v>
      </c>
      <c r="H382" t="s">
        <v>151</v>
      </c>
      <c r="I382" t="s">
        <v>152</v>
      </c>
      <c r="J382" t="s">
        <v>1439</v>
      </c>
      <c r="K382" t="s">
        <v>1440</v>
      </c>
      <c r="L382" t="s">
        <v>1464</v>
      </c>
      <c r="M382" t="s">
        <v>111</v>
      </c>
      <c r="N382" t="s">
        <v>164</v>
      </c>
      <c r="O382" t="s">
        <v>151</v>
      </c>
      <c r="P382" t="s">
        <v>151</v>
      </c>
      <c r="Q382" t="s">
        <v>152</v>
      </c>
      <c r="R382" t="s">
        <v>1439</v>
      </c>
      <c r="S382" t="s">
        <v>1440</v>
      </c>
      <c r="T382" t="s">
        <v>4165</v>
      </c>
      <c r="U382" t="s">
        <v>4168</v>
      </c>
      <c r="V382" t="s">
        <v>624</v>
      </c>
      <c r="W382" t="s">
        <v>4140</v>
      </c>
      <c r="X382" t="s">
        <v>4167</v>
      </c>
      <c r="Y382" t="s">
        <v>4168</v>
      </c>
      <c r="Z382" t="s">
        <v>89</v>
      </c>
      <c r="AA382" t="s">
        <v>4450</v>
      </c>
      <c r="AB382" t="s">
        <v>624</v>
      </c>
      <c r="AC382" t="s">
        <v>50</v>
      </c>
      <c r="AD382" t="s">
        <v>50</v>
      </c>
      <c r="AE382" t="s">
        <v>50</v>
      </c>
      <c r="AF382" t="s">
        <v>4884</v>
      </c>
      <c r="AG382" t="s">
        <v>4885</v>
      </c>
      <c r="AH382" t="s">
        <v>4884</v>
      </c>
      <c r="AI382" t="s">
        <v>4885</v>
      </c>
      <c r="AJ382" t="s">
        <v>4884</v>
      </c>
      <c r="AK382" t="s">
        <v>4885</v>
      </c>
      <c r="AL382" t="s">
        <v>4146</v>
      </c>
    </row>
    <row r="383" spans="1:38" ht="11.25" customHeight="1">
      <c r="A383" t="s">
        <v>9</v>
      </c>
      <c r="B383" t="s">
        <v>36</v>
      </c>
      <c r="C383" t="s">
        <v>38</v>
      </c>
      <c r="D383" t="s">
        <v>9</v>
      </c>
      <c r="E383" t="s">
        <v>4202</v>
      </c>
      <c r="F383" t="s">
        <v>1438</v>
      </c>
      <c r="G383" t="s">
        <v>151</v>
      </c>
      <c r="H383" t="s">
        <v>151</v>
      </c>
      <c r="I383" t="s">
        <v>152</v>
      </c>
      <c r="J383" t="s">
        <v>1439</v>
      </c>
      <c r="K383" t="s">
        <v>1440</v>
      </c>
      <c r="L383" t="s">
        <v>4886</v>
      </c>
      <c r="M383" t="s">
        <v>1442</v>
      </c>
      <c r="N383" t="s">
        <v>164</v>
      </c>
      <c r="O383" t="s">
        <v>151</v>
      </c>
      <c r="P383" t="s">
        <v>151</v>
      </c>
      <c r="Q383" t="s">
        <v>152</v>
      </c>
      <c r="R383" t="s">
        <v>1439</v>
      </c>
      <c r="S383" t="s">
        <v>1440</v>
      </c>
      <c r="T383" t="s">
        <v>4165</v>
      </c>
      <c r="U383" t="s">
        <v>4168</v>
      </c>
      <c r="V383" t="s">
        <v>624</v>
      </c>
      <c r="W383" t="s">
        <v>4140</v>
      </c>
      <c r="X383" t="s">
        <v>4167</v>
      </c>
      <c r="Y383" t="s">
        <v>4168</v>
      </c>
      <c r="Z383" t="s">
        <v>89</v>
      </c>
      <c r="AA383" t="s">
        <v>4450</v>
      </c>
      <c r="AB383" t="s">
        <v>624</v>
      </c>
      <c r="AC383" t="s">
        <v>50</v>
      </c>
      <c r="AD383" t="s">
        <v>50</v>
      </c>
      <c r="AE383" t="s">
        <v>50</v>
      </c>
      <c r="AF383" t="s">
        <v>4437</v>
      </c>
      <c r="AG383" t="s">
        <v>4887</v>
      </c>
      <c r="AH383" t="s">
        <v>4437</v>
      </c>
      <c r="AI383" t="s">
        <v>4887</v>
      </c>
      <c r="AJ383" t="s">
        <v>4437</v>
      </c>
      <c r="AK383" t="s">
        <v>4887</v>
      </c>
      <c r="AL383" t="s">
        <v>4146</v>
      </c>
    </row>
    <row r="384" spans="1:38" ht="11.25" customHeight="1">
      <c r="A384" t="s">
        <v>9</v>
      </c>
      <c r="B384" t="s">
        <v>36</v>
      </c>
      <c r="C384" t="s">
        <v>38</v>
      </c>
      <c r="D384" t="s">
        <v>9</v>
      </c>
      <c r="E384" t="s">
        <v>1467</v>
      </c>
      <c r="F384" t="s">
        <v>1438</v>
      </c>
      <c r="G384" t="s">
        <v>151</v>
      </c>
      <c r="H384" t="s">
        <v>151</v>
      </c>
      <c r="I384" t="s">
        <v>152</v>
      </c>
      <c r="J384" t="s">
        <v>1439</v>
      </c>
      <c r="K384" t="s">
        <v>1440</v>
      </c>
      <c r="L384" t="s">
        <v>4888</v>
      </c>
      <c r="M384" t="s">
        <v>1442</v>
      </c>
      <c r="N384" t="s">
        <v>164</v>
      </c>
      <c r="O384" t="s">
        <v>151</v>
      </c>
      <c r="P384" t="s">
        <v>151</v>
      </c>
      <c r="Q384" t="s">
        <v>152</v>
      </c>
      <c r="R384" t="s">
        <v>1439</v>
      </c>
      <c r="S384" t="s">
        <v>1440</v>
      </c>
      <c r="T384" t="s">
        <v>4165</v>
      </c>
      <c r="U384" t="s">
        <v>4168</v>
      </c>
      <c r="V384" t="s">
        <v>624</v>
      </c>
      <c r="W384" t="s">
        <v>4140</v>
      </c>
      <c r="X384" t="s">
        <v>4167</v>
      </c>
      <c r="Y384" t="s">
        <v>4168</v>
      </c>
      <c r="Z384" t="s">
        <v>89</v>
      </c>
      <c r="AA384" t="s">
        <v>4450</v>
      </c>
      <c r="AB384" t="s">
        <v>624</v>
      </c>
      <c r="AC384" t="s">
        <v>50</v>
      </c>
      <c r="AD384" t="s">
        <v>50</v>
      </c>
      <c r="AE384" t="s">
        <v>50</v>
      </c>
      <c r="AF384" t="s">
        <v>4437</v>
      </c>
      <c r="AG384" t="s">
        <v>4889</v>
      </c>
      <c r="AH384" t="s">
        <v>4437</v>
      </c>
      <c r="AI384" t="s">
        <v>4889</v>
      </c>
      <c r="AJ384" t="s">
        <v>4437</v>
      </c>
      <c r="AK384" t="s">
        <v>4889</v>
      </c>
      <c r="AL384" t="s">
        <v>4146</v>
      </c>
    </row>
    <row r="385" spans="1:38" ht="11.25" customHeight="1">
      <c r="A385" t="s">
        <v>9</v>
      </c>
      <c r="B385" t="s">
        <v>36</v>
      </c>
      <c r="C385" t="s">
        <v>38</v>
      </c>
      <c r="D385" t="s">
        <v>9</v>
      </c>
      <c r="E385" t="s">
        <v>1471</v>
      </c>
      <c r="F385" t="s">
        <v>1438</v>
      </c>
      <c r="G385" t="s">
        <v>151</v>
      </c>
      <c r="H385" t="s">
        <v>151</v>
      </c>
      <c r="I385" t="s">
        <v>152</v>
      </c>
      <c r="J385" t="s">
        <v>1439</v>
      </c>
      <c r="K385" t="s">
        <v>1440</v>
      </c>
      <c r="L385" t="s">
        <v>4890</v>
      </c>
      <c r="M385" t="s">
        <v>1442</v>
      </c>
      <c r="N385" t="s">
        <v>164</v>
      </c>
      <c r="O385" t="s">
        <v>151</v>
      </c>
      <c r="P385" t="s">
        <v>151</v>
      </c>
      <c r="Q385" t="s">
        <v>152</v>
      </c>
      <c r="R385" t="s">
        <v>1439</v>
      </c>
      <c r="S385" t="s">
        <v>1440</v>
      </c>
      <c r="T385" t="s">
        <v>4165</v>
      </c>
      <c r="U385" t="s">
        <v>4168</v>
      </c>
      <c r="V385" t="s">
        <v>624</v>
      </c>
      <c r="W385" t="s">
        <v>4140</v>
      </c>
      <c r="X385" t="s">
        <v>4167</v>
      </c>
      <c r="Y385" t="s">
        <v>4168</v>
      </c>
      <c r="Z385" t="s">
        <v>164</v>
      </c>
      <c r="AA385" t="s">
        <v>4450</v>
      </c>
      <c r="AB385" t="s">
        <v>624</v>
      </c>
      <c r="AC385" t="s">
        <v>50</v>
      </c>
      <c r="AD385" t="s">
        <v>50</v>
      </c>
      <c r="AE385" t="s">
        <v>50</v>
      </c>
      <c r="AF385" t="s">
        <v>355</v>
      </c>
      <c r="AG385" t="s">
        <v>4891</v>
      </c>
      <c r="AH385" t="s">
        <v>1058</v>
      </c>
      <c r="AI385" t="s">
        <v>4891</v>
      </c>
      <c r="AJ385" t="s">
        <v>1058</v>
      </c>
      <c r="AK385" t="s">
        <v>4891</v>
      </c>
      <c r="AL385" t="s">
        <v>4268</v>
      </c>
    </row>
    <row r="386" spans="1:38" ht="11.25" customHeight="1">
      <c r="A386" t="s">
        <v>9</v>
      </c>
      <c r="B386" t="s">
        <v>36</v>
      </c>
      <c r="C386" t="s">
        <v>38</v>
      </c>
      <c r="D386" t="s">
        <v>9</v>
      </c>
      <c r="E386" t="s">
        <v>1461</v>
      </c>
      <c r="F386" t="s">
        <v>1438</v>
      </c>
      <c r="G386" t="s">
        <v>151</v>
      </c>
      <c r="H386" t="s">
        <v>151</v>
      </c>
      <c r="I386" t="s">
        <v>152</v>
      </c>
      <c r="J386" t="s">
        <v>1439</v>
      </c>
      <c r="K386" t="s">
        <v>1440</v>
      </c>
      <c r="L386" t="s">
        <v>4215</v>
      </c>
      <c r="M386" t="s">
        <v>1442</v>
      </c>
      <c r="N386" t="s">
        <v>164</v>
      </c>
      <c r="O386" t="s">
        <v>151</v>
      </c>
      <c r="P386" t="s">
        <v>151</v>
      </c>
      <c r="Q386" t="s">
        <v>152</v>
      </c>
      <c r="R386" t="s">
        <v>1439</v>
      </c>
      <c r="S386" t="s">
        <v>1440</v>
      </c>
      <c r="T386" t="s">
        <v>4165</v>
      </c>
      <c r="U386" t="s">
        <v>4168</v>
      </c>
      <c r="V386" t="s">
        <v>624</v>
      </c>
      <c r="W386" t="s">
        <v>4140</v>
      </c>
      <c r="X386" t="s">
        <v>4167</v>
      </c>
      <c r="Y386" t="s">
        <v>4168</v>
      </c>
      <c r="Z386" t="s">
        <v>89</v>
      </c>
      <c r="AA386" t="s">
        <v>4450</v>
      </c>
      <c r="AB386" t="s">
        <v>624</v>
      </c>
      <c r="AC386" t="s">
        <v>50</v>
      </c>
      <c r="AD386" t="s">
        <v>50</v>
      </c>
      <c r="AE386" t="s">
        <v>50</v>
      </c>
      <c r="AF386" t="s">
        <v>1058</v>
      </c>
      <c r="AG386" t="s">
        <v>4892</v>
      </c>
      <c r="AH386" t="s">
        <v>1058</v>
      </c>
      <c r="AI386" t="s">
        <v>4892</v>
      </c>
      <c r="AJ386" t="s">
        <v>1058</v>
      </c>
      <c r="AK386" t="s">
        <v>4892</v>
      </c>
      <c r="AL386" t="s">
        <v>4268</v>
      </c>
    </row>
    <row r="387" spans="1:38" ht="11.25" customHeight="1">
      <c r="A387" t="s">
        <v>9</v>
      </c>
      <c r="B387" t="s">
        <v>36</v>
      </c>
      <c r="C387" t="s">
        <v>38</v>
      </c>
      <c r="D387" t="s">
        <v>9</v>
      </c>
      <c r="E387" t="s">
        <v>4261</v>
      </c>
      <c r="F387" t="s">
        <v>1438</v>
      </c>
      <c r="G387" t="s">
        <v>151</v>
      </c>
      <c r="H387" t="s">
        <v>151</v>
      </c>
      <c r="I387" t="s">
        <v>152</v>
      </c>
      <c r="J387" t="s">
        <v>1439</v>
      </c>
      <c r="K387" t="s">
        <v>1440</v>
      </c>
      <c r="L387" t="s">
        <v>1464</v>
      </c>
      <c r="M387" t="s">
        <v>3750</v>
      </c>
      <c r="N387" t="s">
        <v>164</v>
      </c>
      <c r="O387" t="s">
        <v>151</v>
      </c>
      <c r="P387" t="s">
        <v>151</v>
      </c>
      <c r="Q387" t="s">
        <v>152</v>
      </c>
      <c r="R387" t="s">
        <v>1439</v>
      </c>
      <c r="S387" t="s">
        <v>1440</v>
      </c>
      <c r="T387" t="s">
        <v>4165</v>
      </c>
      <c r="U387" t="s">
        <v>4168</v>
      </c>
      <c r="V387" t="s">
        <v>624</v>
      </c>
      <c r="W387" t="s">
        <v>4140</v>
      </c>
      <c r="X387" t="s">
        <v>4167</v>
      </c>
      <c r="Y387" t="s">
        <v>4168</v>
      </c>
      <c r="Z387" t="s">
        <v>89</v>
      </c>
      <c r="AA387" t="s">
        <v>4450</v>
      </c>
      <c r="AB387" t="s">
        <v>624</v>
      </c>
      <c r="AC387" t="s">
        <v>50</v>
      </c>
      <c r="AD387" t="s">
        <v>50</v>
      </c>
      <c r="AE387" t="s">
        <v>50</v>
      </c>
      <c r="AF387" t="s">
        <v>4884</v>
      </c>
      <c r="AG387" t="s">
        <v>4893</v>
      </c>
      <c r="AH387" t="s">
        <v>4884</v>
      </c>
      <c r="AI387" t="s">
        <v>4893</v>
      </c>
      <c r="AJ387" t="s">
        <v>4884</v>
      </c>
      <c r="AK387" t="s">
        <v>4893</v>
      </c>
      <c r="AL387" t="s">
        <v>4146</v>
      </c>
    </row>
    <row r="388" spans="1:38" ht="11.25" customHeight="1">
      <c r="A388" t="s">
        <v>9</v>
      </c>
      <c r="B388" t="s">
        <v>36</v>
      </c>
      <c r="C388" t="s">
        <v>38</v>
      </c>
      <c r="D388" t="s">
        <v>9</v>
      </c>
      <c r="E388" t="s">
        <v>4324</v>
      </c>
      <c r="F388" t="s">
        <v>1438</v>
      </c>
      <c r="G388" t="s">
        <v>151</v>
      </c>
      <c r="H388" t="s">
        <v>151</v>
      </c>
      <c r="I388" t="s">
        <v>152</v>
      </c>
      <c r="J388" t="s">
        <v>4894</v>
      </c>
      <c r="K388" t="s">
        <v>4895</v>
      </c>
      <c r="L388" t="s">
        <v>1464</v>
      </c>
      <c r="M388" t="s">
        <v>1442</v>
      </c>
      <c r="N388" t="s">
        <v>164</v>
      </c>
      <c r="O388" t="s">
        <v>151</v>
      </c>
      <c r="P388" t="s">
        <v>151</v>
      </c>
      <c r="Q388" t="s">
        <v>152</v>
      </c>
      <c r="R388" t="s">
        <v>4894</v>
      </c>
      <c r="S388" t="s">
        <v>4895</v>
      </c>
      <c r="T388" t="s">
        <v>4165</v>
      </c>
      <c r="U388" t="s">
        <v>4168</v>
      </c>
      <c r="V388" t="s">
        <v>624</v>
      </c>
      <c r="W388" t="s">
        <v>4140</v>
      </c>
      <c r="X388" t="s">
        <v>4167</v>
      </c>
      <c r="Y388" t="s">
        <v>4168</v>
      </c>
      <c r="Z388" t="s">
        <v>89</v>
      </c>
      <c r="AA388" t="s">
        <v>4450</v>
      </c>
      <c r="AB388" t="s">
        <v>624</v>
      </c>
      <c r="AC388" t="s">
        <v>50</v>
      </c>
      <c r="AD388" t="s">
        <v>50</v>
      </c>
      <c r="AE388" t="s">
        <v>50</v>
      </c>
      <c r="AF388" t="s">
        <v>1058</v>
      </c>
      <c r="AG388" t="s">
        <v>4896</v>
      </c>
      <c r="AH388" t="s">
        <v>1058</v>
      </c>
      <c r="AI388" t="s">
        <v>4896</v>
      </c>
      <c r="AJ388" t="s">
        <v>1058</v>
      </c>
      <c r="AK388" t="s">
        <v>4896</v>
      </c>
      <c r="AL388" t="s">
        <v>4146</v>
      </c>
    </row>
    <row r="389" spans="1:38" ht="11.25" customHeight="1">
      <c r="A389" t="s">
        <v>9</v>
      </c>
      <c r="B389" t="s">
        <v>36</v>
      </c>
      <c r="C389" t="s">
        <v>38</v>
      </c>
      <c r="D389" t="s">
        <v>9</v>
      </c>
      <c r="E389" t="s">
        <v>4240</v>
      </c>
      <c r="F389" t="s">
        <v>1438</v>
      </c>
      <c r="G389" t="s">
        <v>151</v>
      </c>
      <c r="H389" t="s">
        <v>151</v>
      </c>
      <c r="I389" t="s">
        <v>152</v>
      </c>
      <c r="J389" t="s">
        <v>4894</v>
      </c>
      <c r="K389" t="s">
        <v>4895</v>
      </c>
      <c r="L389" t="s">
        <v>4897</v>
      </c>
      <c r="M389" t="s">
        <v>1442</v>
      </c>
      <c r="N389" t="s">
        <v>164</v>
      </c>
      <c r="O389" t="s">
        <v>151</v>
      </c>
      <c r="P389" t="s">
        <v>151</v>
      </c>
      <c r="Q389" t="s">
        <v>152</v>
      </c>
      <c r="R389" t="s">
        <v>4894</v>
      </c>
      <c r="S389" t="s">
        <v>4895</v>
      </c>
      <c r="T389" t="s">
        <v>4165</v>
      </c>
      <c r="U389" t="s">
        <v>4168</v>
      </c>
      <c r="V389" t="s">
        <v>624</v>
      </c>
      <c r="W389" t="s">
        <v>4140</v>
      </c>
      <c r="X389" t="s">
        <v>4167</v>
      </c>
      <c r="Y389" t="s">
        <v>4168</v>
      </c>
      <c r="Z389" t="s">
        <v>89</v>
      </c>
      <c r="AA389" t="s">
        <v>4450</v>
      </c>
      <c r="AB389" t="s">
        <v>624</v>
      </c>
      <c r="AC389" t="s">
        <v>50</v>
      </c>
      <c r="AD389" t="s">
        <v>50</v>
      </c>
      <c r="AE389" t="s">
        <v>50</v>
      </c>
      <c r="AF389" t="s">
        <v>1552</v>
      </c>
      <c r="AG389" t="s">
        <v>4898</v>
      </c>
      <c r="AH389" t="s">
        <v>1552</v>
      </c>
      <c r="AI389" t="s">
        <v>4898</v>
      </c>
      <c r="AJ389" t="s">
        <v>1552</v>
      </c>
      <c r="AK389" t="s">
        <v>4898</v>
      </c>
      <c r="AL389" t="s">
        <v>4146</v>
      </c>
    </row>
    <row r="390" spans="1:38" ht="11.25" customHeight="1">
      <c r="A390" t="s">
        <v>9</v>
      </c>
      <c r="B390" t="s">
        <v>36</v>
      </c>
      <c r="C390" t="s">
        <v>38</v>
      </c>
      <c r="D390" t="s">
        <v>9</v>
      </c>
      <c r="E390" t="s">
        <v>1437</v>
      </c>
      <c r="F390" t="s">
        <v>1438</v>
      </c>
      <c r="G390" t="s">
        <v>4013</v>
      </c>
      <c r="H390" t="s">
        <v>4037</v>
      </c>
      <c r="I390" t="s">
        <v>4038</v>
      </c>
      <c r="J390" t="s">
        <v>1439</v>
      </c>
      <c r="K390" t="s">
        <v>4899</v>
      </c>
      <c r="L390" t="s">
        <v>1441</v>
      </c>
      <c r="M390" t="s">
        <v>1442</v>
      </c>
      <c r="N390" t="s">
        <v>164</v>
      </c>
      <c r="O390" t="s">
        <v>4013</v>
      </c>
      <c r="P390" t="s">
        <v>4037</v>
      </c>
      <c r="Q390" t="s">
        <v>4038</v>
      </c>
      <c r="R390" t="s">
        <v>1439</v>
      </c>
      <c r="S390" t="s">
        <v>4899</v>
      </c>
      <c r="T390" t="s">
        <v>4138</v>
      </c>
      <c r="U390" t="s">
        <v>4139</v>
      </c>
      <c r="V390" t="s">
        <v>624</v>
      </c>
      <c r="W390" t="s">
        <v>4140</v>
      </c>
      <c r="X390" t="s">
        <v>4141</v>
      </c>
      <c r="Y390" t="s">
        <v>4142</v>
      </c>
      <c r="Z390" t="s">
        <v>4876</v>
      </c>
      <c r="AA390" t="s">
        <v>4877</v>
      </c>
      <c r="AB390" t="s">
        <v>624</v>
      </c>
      <c r="AC390" t="s">
        <v>50</v>
      </c>
      <c r="AD390" t="s">
        <v>50</v>
      </c>
      <c r="AE390" t="s">
        <v>50</v>
      </c>
      <c r="AF390" t="s">
        <v>4878</v>
      </c>
      <c r="AG390" t="s">
        <v>4779</v>
      </c>
      <c r="AH390" t="s">
        <v>4878</v>
      </c>
      <c r="AI390" t="s">
        <v>4779</v>
      </c>
      <c r="AJ390" t="s">
        <v>4878</v>
      </c>
      <c r="AK390" t="s">
        <v>4779</v>
      </c>
      <c r="AL390" t="s">
        <v>4146</v>
      </c>
    </row>
    <row r="391" spans="1:38" ht="11.25" customHeight="1">
      <c r="A391" t="s">
        <v>9</v>
      </c>
      <c r="B391" t="s">
        <v>36</v>
      </c>
      <c r="C391" t="s">
        <v>38</v>
      </c>
      <c r="D391" t="s">
        <v>9</v>
      </c>
      <c r="E391" t="s">
        <v>1449</v>
      </c>
      <c r="F391" t="s">
        <v>1438</v>
      </c>
      <c r="G391" t="s">
        <v>4013</v>
      </c>
      <c r="H391" t="s">
        <v>4037</v>
      </c>
      <c r="I391" t="s">
        <v>4038</v>
      </c>
      <c r="J391" t="s">
        <v>1439</v>
      </c>
      <c r="K391" t="s">
        <v>4899</v>
      </c>
      <c r="L391" t="s">
        <v>1450</v>
      </c>
      <c r="M391" t="s">
        <v>1442</v>
      </c>
      <c r="N391" t="s">
        <v>164</v>
      </c>
      <c r="O391" t="s">
        <v>4013</v>
      </c>
      <c r="P391" t="s">
        <v>4037</v>
      </c>
      <c r="Q391" t="s">
        <v>4038</v>
      </c>
      <c r="R391" t="s">
        <v>1439</v>
      </c>
      <c r="S391" t="s">
        <v>4899</v>
      </c>
      <c r="T391" t="s">
        <v>4138</v>
      </c>
      <c r="U391" t="s">
        <v>4139</v>
      </c>
      <c r="V391" t="s">
        <v>624</v>
      </c>
      <c r="W391" t="s">
        <v>4140</v>
      </c>
      <c r="X391" t="s">
        <v>4141</v>
      </c>
      <c r="Y391" t="s">
        <v>4142</v>
      </c>
      <c r="Z391" t="s">
        <v>4879</v>
      </c>
      <c r="AA391" t="s">
        <v>4880</v>
      </c>
      <c r="AB391" t="s">
        <v>624</v>
      </c>
      <c r="AC391" t="s">
        <v>50</v>
      </c>
      <c r="AD391" t="s">
        <v>50</v>
      </c>
      <c r="AE391" t="s">
        <v>50</v>
      </c>
      <c r="AF391" t="s">
        <v>4881</v>
      </c>
      <c r="AG391" t="s">
        <v>4475</v>
      </c>
      <c r="AH391" t="s">
        <v>4881</v>
      </c>
      <c r="AI391" t="s">
        <v>4475</v>
      </c>
      <c r="AJ391" t="s">
        <v>4881</v>
      </c>
      <c r="AK391" t="s">
        <v>4475</v>
      </c>
      <c r="AL391" t="s">
        <v>4146</v>
      </c>
    </row>
    <row r="392" spans="1:38" ht="11.25" customHeight="1">
      <c r="A392" t="s">
        <v>9</v>
      </c>
      <c r="B392" t="s">
        <v>36</v>
      </c>
      <c r="C392" t="s">
        <v>38</v>
      </c>
      <c r="D392" t="s">
        <v>9</v>
      </c>
      <c r="E392" t="s">
        <v>1449</v>
      </c>
      <c r="F392" t="s">
        <v>1438</v>
      </c>
      <c r="G392" t="s">
        <v>4013</v>
      </c>
      <c r="H392" t="s">
        <v>4037</v>
      </c>
      <c r="I392" t="s">
        <v>4038</v>
      </c>
      <c r="J392" t="s">
        <v>1439</v>
      </c>
      <c r="K392" t="s">
        <v>4899</v>
      </c>
      <c r="L392" t="s">
        <v>1450</v>
      </c>
      <c r="M392" t="s">
        <v>1442</v>
      </c>
      <c r="N392" t="s">
        <v>164</v>
      </c>
      <c r="O392" t="s">
        <v>4013</v>
      </c>
      <c r="P392" t="s">
        <v>4037</v>
      </c>
      <c r="Q392" t="s">
        <v>4038</v>
      </c>
      <c r="R392" t="s">
        <v>1439</v>
      </c>
      <c r="S392" t="s">
        <v>4899</v>
      </c>
      <c r="T392" t="s">
        <v>4138</v>
      </c>
      <c r="U392" t="s">
        <v>4139</v>
      </c>
      <c r="V392" t="s">
        <v>624</v>
      </c>
      <c r="W392" t="s">
        <v>4140</v>
      </c>
      <c r="X392" t="s">
        <v>4141</v>
      </c>
      <c r="Y392" t="s">
        <v>4142</v>
      </c>
      <c r="Z392" t="s">
        <v>4879</v>
      </c>
      <c r="AA392" t="s">
        <v>4880</v>
      </c>
      <c r="AB392" t="s">
        <v>624</v>
      </c>
      <c r="AC392" t="s">
        <v>50</v>
      </c>
      <c r="AD392" t="s">
        <v>50</v>
      </c>
      <c r="AE392" t="s">
        <v>50</v>
      </c>
      <c r="AF392" t="s">
        <v>164</v>
      </c>
      <c r="AG392" t="s">
        <v>4900</v>
      </c>
      <c r="AH392" t="s">
        <v>164</v>
      </c>
      <c r="AI392" t="s">
        <v>4900</v>
      </c>
      <c r="AJ392" t="s">
        <v>164</v>
      </c>
      <c r="AK392" t="s">
        <v>4900</v>
      </c>
      <c r="AL392" t="s">
        <v>4268</v>
      </c>
    </row>
    <row r="393" spans="1:38" ht="11.25" customHeight="1">
      <c r="A393" t="s">
        <v>9</v>
      </c>
      <c r="B393" t="s">
        <v>36</v>
      </c>
      <c r="C393" t="s">
        <v>38</v>
      </c>
      <c r="D393" t="s">
        <v>9</v>
      </c>
      <c r="E393" t="s">
        <v>1456</v>
      </c>
      <c r="F393" t="s">
        <v>1457</v>
      </c>
      <c r="G393" t="s">
        <v>4013</v>
      </c>
      <c r="H393" t="s">
        <v>4037</v>
      </c>
      <c r="I393" t="s">
        <v>4038</v>
      </c>
      <c r="J393" t="s">
        <v>1439</v>
      </c>
      <c r="K393" t="s">
        <v>4899</v>
      </c>
      <c r="L393" t="s">
        <v>1458</v>
      </c>
      <c r="M393" t="s">
        <v>1442</v>
      </c>
      <c r="N393" t="s">
        <v>164</v>
      </c>
      <c r="O393" t="s">
        <v>4013</v>
      </c>
      <c r="P393" t="s">
        <v>4037</v>
      </c>
      <c r="Q393" t="s">
        <v>4038</v>
      </c>
      <c r="R393" t="s">
        <v>1439</v>
      </c>
      <c r="S393" t="s">
        <v>4899</v>
      </c>
      <c r="T393" t="s">
        <v>4138</v>
      </c>
      <c r="U393" t="s">
        <v>4139</v>
      </c>
      <c r="V393" t="s">
        <v>624</v>
      </c>
      <c r="W393" t="s">
        <v>4140</v>
      </c>
      <c r="X393" t="s">
        <v>4141</v>
      </c>
      <c r="Y393" t="s">
        <v>4142</v>
      </c>
      <c r="Z393" t="s">
        <v>4882</v>
      </c>
      <c r="AA393" t="s">
        <v>4880</v>
      </c>
      <c r="AB393" t="s">
        <v>624</v>
      </c>
      <c r="AC393" t="s">
        <v>50</v>
      </c>
      <c r="AD393" t="s">
        <v>6</v>
      </c>
      <c r="AE393" t="s">
        <v>6</v>
      </c>
      <c r="AF393" t="s">
        <v>1556</v>
      </c>
      <c r="AG393" t="s">
        <v>4883</v>
      </c>
      <c r="AH393" t="s">
        <v>9</v>
      </c>
      <c r="AI393" t="s">
        <v>9</v>
      </c>
      <c r="AJ393" t="s">
        <v>9</v>
      </c>
      <c r="AK393" t="s">
        <v>9</v>
      </c>
      <c r="AL393" t="s">
        <v>4268</v>
      </c>
    </row>
    <row r="394" spans="1:38" ht="11.25" customHeight="1">
      <c r="A394" t="s">
        <v>9</v>
      </c>
      <c r="B394" t="s">
        <v>36</v>
      </c>
      <c r="C394" t="s">
        <v>38</v>
      </c>
      <c r="D394" t="s">
        <v>9</v>
      </c>
      <c r="E394" t="s">
        <v>4901</v>
      </c>
      <c r="F394" t="s">
        <v>1438</v>
      </c>
      <c r="G394" t="s">
        <v>155</v>
      </c>
      <c r="H394" t="s">
        <v>155</v>
      </c>
      <c r="I394" t="s">
        <v>156</v>
      </c>
      <c r="J394" t="s">
        <v>1501</v>
      </c>
      <c r="K394" t="s">
        <v>1502</v>
      </c>
      <c r="L394" t="s">
        <v>4902</v>
      </c>
      <c r="M394" t="s">
        <v>4903</v>
      </c>
      <c r="N394" t="s">
        <v>164</v>
      </c>
      <c r="O394" t="s">
        <v>155</v>
      </c>
      <c r="P394" t="s">
        <v>155</v>
      </c>
      <c r="Q394" t="s">
        <v>156</v>
      </c>
      <c r="R394" t="s">
        <v>1501</v>
      </c>
      <c r="S394" t="s">
        <v>1502</v>
      </c>
      <c r="T394" t="s">
        <v>4165</v>
      </c>
      <c r="U394" t="s">
        <v>4166</v>
      </c>
      <c r="V394" t="s">
        <v>624</v>
      </c>
      <c r="W394" t="s">
        <v>4140</v>
      </c>
      <c r="X394" t="s">
        <v>4167</v>
      </c>
      <c r="Y394" t="s">
        <v>4168</v>
      </c>
      <c r="Z394" t="s">
        <v>4904</v>
      </c>
      <c r="AA394" t="s">
        <v>4905</v>
      </c>
      <c r="AB394" t="s">
        <v>624</v>
      </c>
      <c r="AC394" t="s">
        <v>50</v>
      </c>
      <c r="AD394" t="s">
        <v>50</v>
      </c>
      <c r="AE394" t="s">
        <v>50</v>
      </c>
      <c r="AF394" t="s">
        <v>4906</v>
      </c>
      <c r="AG394" t="s">
        <v>4907</v>
      </c>
      <c r="AH394" t="s">
        <v>4906</v>
      </c>
      <c r="AI394" t="s">
        <v>4907</v>
      </c>
      <c r="AJ394" t="s">
        <v>4906</v>
      </c>
      <c r="AK394" t="s">
        <v>4907</v>
      </c>
      <c r="AL394" t="s">
        <v>4146</v>
      </c>
    </row>
    <row r="395" spans="1:38" ht="11.25" customHeight="1">
      <c r="A395" t="s">
        <v>9</v>
      </c>
      <c r="B395" t="s">
        <v>36</v>
      </c>
      <c r="C395" t="s">
        <v>38</v>
      </c>
      <c r="D395" t="s">
        <v>9</v>
      </c>
      <c r="E395" t="s">
        <v>4908</v>
      </c>
      <c r="F395" t="s">
        <v>4148</v>
      </c>
      <c r="G395" t="s">
        <v>155</v>
      </c>
      <c r="H395" t="s">
        <v>155</v>
      </c>
      <c r="I395" t="s">
        <v>156</v>
      </c>
      <c r="J395" t="s">
        <v>1501</v>
      </c>
      <c r="K395" t="s">
        <v>1502</v>
      </c>
      <c r="L395" t="s">
        <v>4902</v>
      </c>
      <c r="M395" t="s">
        <v>4903</v>
      </c>
      <c r="N395" t="s">
        <v>164</v>
      </c>
      <c r="O395" t="s">
        <v>155</v>
      </c>
      <c r="P395" t="s">
        <v>155</v>
      </c>
      <c r="Q395" t="s">
        <v>156</v>
      </c>
      <c r="R395" t="s">
        <v>1501</v>
      </c>
      <c r="S395" t="s">
        <v>1502</v>
      </c>
      <c r="T395" t="s">
        <v>4165</v>
      </c>
      <c r="U395" t="s">
        <v>4166</v>
      </c>
      <c r="V395" t="s">
        <v>624</v>
      </c>
      <c r="W395" t="s">
        <v>4140</v>
      </c>
      <c r="X395" t="s">
        <v>4167</v>
      </c>
      <c r="Y395" t="s">
        <v>4168</v>
      </c>
      <c r="Z395" t="s">
        <v>4904</v>
      </c>
      <c r="AA395" t="s">
        <v>4905</v>
      </c>
      <c r="AB395" t="s">
        <v>624</v>
      </c>
      <c r="AC395" t="s">
        <v>6</v>
      </c>
      <c r="AD395" t="s">
        <v>50</v>
      </c>
      <c r="AE395" t="s">
        <v>6</v>
      </c>
      <c r="AF395" t="s">
        <v>9</v>
      </c>
      <c r="AG395" t="s">
        <v>9</v>
      </c>
      <c r="AH395" t="s">
        <v>4906</v>
      </c>
      <c r="AI395" t="s">
        <v>4909</v>
      </c>
      <c r="AJ395" t="s">
        <v>4906</v>
      </c>
      <c r="AK395" t="s">
        <v>4909</v>
      </c>
      <c r="AL395" t="s">
        <v>9</v>
      </c>
    </row>
    <row r="396" spans="1:38" ht="11.25" customHeight="1">
      <c r="A396" t="s">
        <v>9</v>
      </c>
      <c r="B396" t="s">
        <v>36</v>
      </c>
      <c r="C396" t="s">
        <v>38</v>
      </c>
      <c r="D396" t="s">
        <v>9</v>
      </c>
      <c r="E396" t="s">
        <v>4910</v>
      </c>
      <c r="F396" t="s">
        <v>4148</v>
      </c>
      <c r="G396" t="s">
        <v>155</v>
      </c>
      <c r="H396" t="s">
        <v>155</v>
      </c>
      <c r="I396" t="s">
        <v>156</v>
      </c>
      <c r="J396" t="s">
        <v>1501</v>
      </c>
      <c r="K396" t="s">
        <v>1502</v>
      </c>
      <c r="L396" t="s">
        <v>4902</v>
      </c>
      <c r="M396" t="s">
        <v>4903</v>
      </c>
      <c r="N396" t="s">
        <v>164</v>
      </c>
      <c r="O396" t="s">
        <v>155</v>
      </c>
      <c r="P396" t="s">
        <v>155</v>
      </c>
      <c r="Q396" t="s">
        <v>156</v>
      </c>
      <c r="R396" t="s">
        <v>1501</v>
      </c>
      <c r="S396" t="s">
        <v>1502</v>
      </c>
      <c r="T396" t="s">
        <v>4165</v>
      </c>
      <c r="U396" t="s">
        <v>4166</v>
      </c>
      <c r="V396" t="s">
        <v>624</v>
      </c>
      <c r="W396" t="s">
        <v>4140</v>
      </c>
      <c r="X396" t="s">
        <v>4167</v>
      </c>
      <c r="Y396" t="s">
        <v>4168</v>
      </c>
      <c r="Z396" t="s">
        <v>4904</v>
      </c>
      <c r="AA396" t="s">
        <v>4905</v>
      </c>
      <c r="AB396" t="s">
        <v>624</v>
      </c>
      <c r="AC396" t="s">
        <v>6</v>
      </c>
      <c r="AD396" t="s">
        <v>50</v>
      </c>
      <c r="AE396" t="s">
        <v>6</v>
      </c>
      <c r="AF396" t="s">
        <v>9</v>
      </c>
      <c r="AG396" t="s">
        <v>9</v>
      </c>
      <c r="AH396" t="s">
        <v>4906</v>
      </c>
      <c r="AI396" t="s">
        <v>4909</v>
      </c>
      <c r="AJ396" t="s">
        <v>4906</v>
      </c>
      <c r="AK396" t="s">
        <v>4909</v>
      </c>
      <c r="AL396" t="s">
        <v>9</v>
      </c>
    </row>
    <row r="397" spans="1:38" ht="11.25" customHeight="1">
      <c r="A397" t="s">
        <v>9</v>
      </c>
      <c r="B397" t="s">
        <v>36</v>
      </c>
      <c r="C397" t="s">
        <v>38</v>
      </c>
      <c r="D397" t="s">
        <v>9</v>
      </c>
      <c r="E397" t="s">
        <v>4324</v>
      </c>
      <c r="F397" t="s">
        <v>1438</v>
      </c>
      <c r="G397" t="s">
        <v>155</v>
      </c>
      <c r="H397" t="s">
        <v>155</v>
      </c>
      <c r="I397" t="s">
        <v>156</v>
      </c>
      <c r="J397" t="s">
        <v>1501</v>
      </c>
      <c r="K397" t="s">
        <v>1502</v>
      </c>
      <c r="L397" t="s">
        <v>4911</v>
      </c>
      <c r="M397" t="s">
        <v>4912</v>
      </c>
      <c r="N397" t="s">
        <v>164</v>
      </c>
      <c r="O397" t="s">
        <v>155</v>
      </c>
      <c r="P397" t="s">
        <v>155</v>
      </c>
      <c r="Q397" t="s">
        <v>156</v>
      </c>
      <c r="R397" t="s">
        <v>1501</v>
      </c>
      <c r="S397" t="s">
        <v>1502</v>
      </c>
      <c r="T397" t="s">
        <v>4138</v>
      </c>
      <c r="U397" t="s">
        <v>4139</v>
      </c>
      <c r="V397" t="s">
        <v>624</v>
      </c>
      <c r="W397" t="s">
        <v>4140</v>
      </c>
      <c r="X397" t="s">
        <v>4141</v>
      </c>
      <c r="Y397" t="s">
        <v>4142</v>
      </c>
      <c r="Z397" t="s">
        <v>4913</v>
      </c>
      <c r="AA397" t="s">
        <v>4914</v>
      </c>
      <c r="AB397" t="s">
        <v>624</v>
      </c>
      <c r="AC397" t="s">
        <v>50</v>
      </c>
      <c r="AD397" t="s">
        <v>50</v>
      </c>
      <c r="AE397" t="s">
        <v>50</v>
      </c>
      <c r="AF397" t="s">
        <v>89</v>
      </c>
      <c r="AG397" t="s">
        <v>4915</v>
      </c>
      <c r="AH397" t="s">
        <v>89</v>
      </c>
      <c r="AI397" t="s">
        <v>4915</v>
      </c>
      <c r="AJ397" t="s">
        <v>89</v>
      </c>
      <c r="AK397" t="s">
        <v>4915</v>
      </c>
      <c r="AL397" t="s">
        <v>4146</v>
      </c>
    </row>
    <row r="398" spans="1:38" ht="11.25" customHeight="1">
      <c r="A398" t="s">
        <v>9</v>
      </c>
      <c r="B398" t="s">
        <v>36</v>
      </c>
      <c r="C398" t="s">
        <v>38</v>
      </c>
      <c r="D398" t="s">
        <v>9</v>
      </c>
      <c r="E398" t="s">
        <v>1507</v>
      </c>
      <c r="F398" t="s">
        <v>1438</v>
      </c>
      <c r="G398" t="s">
        <v>155</v>
      </c>
      <c r="H398" t="s">
        <v>155</v>
      </c>
      <c r="I398" t="s">
        <v>156</v>
      </c>
      <c r="J398" t="s">
        <v>1501</v>
      </c>
      <c r="K398" t="s">
        <v>1502</v>
      </c>
      <c r="L398" t="s">
        <v>4916</v>
      </c>
      <c r="M398" t="s">
        <v>4917</v>
      </c>
      <c r="N398" t="s">
        <v>164</v>
      </c>
      <c r="O398" t="s">
        <v>155</v>
      </c>
      <c r="P398" t="s">
        <v>155</v>
      </c>
      <c r="Q398" t="s">
        <v>156</v>
      </c>
      <c r="R398" t="s">
        <v>1501</v>
      </c>
      <c r="S398" t="s">
        <v>1502</v>
      </c>
      <c r="T398" t="s">
        <v>4165</v>
      </c>
      <c r="U398" t="s">
        <v>4166</v>
      </c>
      <c r="V398" t="s">
        <v>624</v>
      </c>
      <c r="W398" t="s">
        <v>4140</v>
      </c>
      <c r="X398" t="s">
        <v>4167</v>
      </c>
      <c r="Y398" t="s">
        <v>4168</v>
      </c>
      <c r="Z398" t="s">
        <v>4904</v>
      </c>
      <c r="AA398" t="s">
        <v>4905</v>
      </c>
      <c r="AB398" t="s">
        <v>624</v>
      </c>
      <c r="AC398" t="s">
        <v>50</v>
      </c>
      <c r="AD398" t="s">
        <v>50</v>
      </c>
      <c r="AE398" t="s">
        <v>50</v>
      </c>
      <c r="AF398" t="s">
        <v>100</v>
      </c>
      <c r="AG398" t="s">
        <v>164</v>
      </c>
      <c r="AH398" t="s">
        <v>1266</v>
      </c>
      <c r="AI398" t="s">
        <v>4918</v>
      </c>
      <c r="AJ398" t="s">
        <v>1266</v>
      </c>
      <c r="AK398" t="s">
        <v>4918</v>
      </c>
      <c r="AL398" t="s">
        <v>4146</v>
      </c>
    </row>
    <row r="399" spans="1:38" ht="11.25" customHeight="1">
      <c r="A399" t="s">
        <v>9</v>
      </c>
      <c r="B399" t="s">
        <v>36</v>
      </c>
      <c r="C399" t="s">
        <v>38</v>
      </c>
      <c r="D399" t="s">
        <v>9</v>
      </c>
      <c r="E399" t="s">
        <v>4919</v>
      </c>
      <c r="F399" t="s">
        <v>4148</v>
      </c>
      <c r="G399" t="s">
        <v>155</v>
      </c>
      <c r="H399" t="s">
        <v>155</v>
      </c>
      <c r="I399" t="s">
        <v>156</v>
      </c>
      <c r="J399" t="s">
        <v>1501</v>
      </c>
      <c r="K399" t="s">
        <v>1502</v>
      </c>
      <c r="L399" t="s">
        <v>4916</v>
      </c>
      <c r="M399" t="s">
        <v>4917</v>
      </c>
      <c r="N399" t="s">
        <v>164</v>
      </c>
      <c r="O399" t="s">
        <v>155</v>
      </c>
      <c r="P399" t="s">
        <v>155</v>
      </c>
      <c r="Q399" t="s">
        <v>156</v>
      </c>
      <c r="R399" t="s">
        <v>1501</v>
      </c>
      <c r="S399" t="s">
        <v>1502</v>
      </c>
      <c r="T399" t="s">
        <v>4165</v>
      </c>
      <c r="U399" t="s">
        <v>4166</v>
      </c>
      <c r="V399" t="s">
        <v>624</v>
      </c>
      <c r="W399" t="s">
        <v>4140</v>
      </c>
      <c r="X399" t="s">
        <v>4167</v>
      </c>
      <c r="Y399" t="s">
        <v>4168</v>
      </c>
      <c r="Z399" t="s">
        <v>4904</v>
      </c>
      <c r="AA399" t="s">
        <v>4905</v>
      </c>
      <c r="AB399" t="s">
        <v>624</v>
      </c>
      <c r="AC399" t="s">
        <v>6</v>
      </c>
      <c r="AD399" t="s">
        <v>50</v>
      </c>
      <c r="AE399" t="s">
        <v>6</v>
      </c>
      <c r="AF399" t="s">
        <v>9</v>
      </c>
      <c r="AG399" t="s">
        <v>9</v>
      </c>
      <c r="AH399" t="s">
        <v>1266</v>
      </c>
      <c r="AI399" t="s">
        <v>4918</v>
      </c>
      <c r="AJ399" t="s">
        <v>1266</v>
      </c>
      <c r="AK399" t="s">
        <v>4918</v>
      </c>
      <c r="AL399" t="s">
        <v>9</v>
      </c>
    </row>
    <row r="400" spans="1:38" ht="11.25" customHeight="1">
      <c r="A400" t="s">
        <v>9</v>
      </c>
      <c r="B400" t="s">
        <v>36</v>
      </c>
      <c r="C400" t="s">
        <v>38</v>
      </c>
      <c r="D400" t="s">
        <v>9</v>
      </c>
      <c r="E400" t="s">
        <v>4920</v>
      </c>
      <c r="F400" t="s">
        <v>1438</v>
      </c>
      <c r="G400" t="s">
        <v>155</v>
      </c>
      <c r="H400" t="s">
        <v>155</v>
      </c>
      <c r="I400" t="s">
        <v>156</v>
      </c>
      <c r="J400" t="s">
        <v>1501</v>
      </c>
      <c r="K400" t="s">
        <v>1502</v>
      </c>
      <c r="L400" t="s">
        <v>4921</v>
      </c>
      <c r="M400" t="s">
        <v>1465</v>
      </c>
      <c r="N400" t="s">
        <v>164</v>
      </c>
      <c r="O400" t="s">
        <v>155</v>
      </c>
      <c r="P400" t="s">
        <v>155</v>
      </c>
      <c r="Q400" t="s">
        <v>156</v>
      </c>
      <c r="R400" t="s">
        <v>1501</v>
      </c>
      <c r="S400" t="s">
        <v>1502</v>
      </c>
      <c r="T400" t="s">
        <v>4165</v>
      </c>
      <c r="U400" t="s">
        <v>4166</v>
      </c>
      <c r="V400" t="s">
        <v>624</v>
      </c>
      <c r="W400" t="s">
        <v>4140</v>
      </c>
      <c r="X400" t="s">
        <v>4167</v>
      </c>
      <c r="Y400" t="s">
        <v>4168</v>
      </c>
      <c r="Z400" t="s">
        <v>4922</v>
      </c>
      <c r="AA400" t="s">
        <v>4923</v>
      </c>
      <c r="AB400" t="s">
        <v>624</v>
      </c>
      <c r="AC400" t="s">
        <v>50</v>
      </c>
      <c r="AD400" t="s">
        <v>50</v>
      </c>
      <c r="AE400" t="s">
        <v>50</v>
      </c>
      <c r="AF400" t="s">
        <v>4614</v>
      </c>
      <c r="AG400" t="s">
        <v>4924</v>
      </c>
      <c r="AH400" t="s">
        <v>4614</v>
      </c>
      <c r="AI400" t="s">
        <v>4924</v>
      </c>
      <c r="AJ400" t="s">
        <v>4614</v>
      </c>
      <c r="AK400" t="s">
        <v>4924</v>
      </c>
      <c r="AL400" t="s">
        <v>4146</v>
      </c>
    </row>
    <row r="401" spans="1:38" ht="11.25" customHeight="1">
      <c r="A401" t="s">
        <v>9</v>
      </c>
      <c r="B401" t="s">
        <v>36</v>
      </c>
      <c r="C401" t="s">
        <v>38</v>
      </c>
      <c r="D401" t="s">
        <v>9</v>
      </c>
      <c r="E401" t="s">
        <v>4518</v>
      </c>
      <c r="F401" t="s">
        <v>1438</v>
      </c>
      <c r="G401" t="s">
        <v>155</v>
      </c>
      <c r="H401" t="s">
        <v>155</v>
      </c>
      <c r="I401" t="s">
        <v>156</v>
      </c>
      <c r="J401" t="s">
        <v>1501</v>
      </c>
      <c r="K401" t="s">
        <v>1502</v>
      </c>
      <c r="L401" t="s">
        <v>4925</v>
      </c>
      <c r="M401" t="s">
        <v>1442</v>
      </c>
      <c r="N401" t="s">
        <v>164</v>
      </c>
      <c r="O401" t="s">
        <v>155</v>
      </c>
      <c r="P401" t="s">
        <v>155</v>
      </c>
      <c r="Q401" t="s">
        <v>156</v>
      </c>
      <c r="R401" t="s">
        <v>1501</v>
      </c>
      <c r="S401" t="s">
        <v>1502</v>
      </c>
      <c r="T401" t="s">
        <v>4165</v>
      </c>
      <c r="U401" t="s">
        <v>4166</v>
      </c>
      <c r="V401" t="s">
        <v>624</v>
      </c>
      <c r="W401" t="s">
        <v>4140</v>
      </c>
      <c r="X401" t="s">
        <v>4167</v>
      </c>
      <c r="Y401" t="s">
        <v>4168</v>
      </c>
      <c r="Z401" t="s">
        <v>4904</v>
      </c>
      <c r="AA401" t="s">
        <v>4905</v>
      </c>
      <c r="AB401" t="s">
        <v>624</v>
      </c>
      <c r="AC401" t="s">
        <v>50</v>
      </c>
      <c r="AD401" t="s">
        <v>50</v>
      </c>
      <c r="AE401" t="s">
        <v>50</v>
      </c>
      <c r="AF401" t="s">
        <v>4926</v>
      </c>
      <c r="AG401" t="s">
        <v>4927</v>
      </c>
      <c r="AH401" t="s">
        <v>4926</v>
      </c>
      <c r="AI401" t="s">
        <v>4927</v>
      </c>
      <c r="AJ401" t="s">
        <v>4926</v>
      </c>
      <c r="AK401" t="s">
        <v>4927</v>
      </c>
      <c r="AL401" t="s">
        <v>4146</v>
      </c>
    </row>
    <row r="402" spans="1:38" ht="11.25" customHeight="1">
      <c r="A402" t="s">
        <v>9</v>
      </c>
      <c r="B402" t="s">
        <v>36</v>
      </c>
      <c r="C402" t="s">
        <v>38</v>
      </c>
      <c r="D402" t="s">
        <v>9</v>
      </c>
      <c r="E402" t="s">
        <v>1449</v>
      </c>
      <c r="F402" t="s">
        <v>1438</v>
      </c>
      <c r="G402" t="s">
        <v>155</v>
      </c>
      <c r="H402" t="s">
        <v>155</v>
      </c>
      <c r="I402" t="s">
        <v>156</v>
      </c>
      <c r="J402" t="s">
        <v>1501</v>
      </c>
      <c r="K402" t="s">
        <v>1502</v>
      </c>
      <c r="L402" t="s">
        <v>4447</v>
      </c>
      <c r="M402" t="s">
        <v>1442</v>
      </c>
      <c r="N402" t="s">
        <v>164</v>
      </c>
      <c r="O402" t="s">
        <v>155</v>
      </c>
      <c r="P402" t="s">
        <v>155</v>
      </c>
      <c r="Q402" t="s">
        <v>156</v>
      </c>
      <c r="R402" t="s">
        <v>1501</v>
      </c>
      <c r="S402" t="s">
        <v>1502</v>
      </c>
      <c r="T402" t="s">
        <v>4138</v>
      </c>
      <c r="U402" t="s">
        <v>4139</v>
      </c>
      <c r="V402" t="s">
        <v>624</v>
      </c>
      <c r="W402" t="s">
        <v>4140</v>
      </c>
      <c r="X402" t="s">
        <v>4141</v>
      </c>
      <c r="Y402" t="s">
        <v>4142</v>
      </c>
      <c r="Z402" t="s">
        <v>4928</v>
      </c>
      <c r="AA402" t="s">
        <v>4929</v>
      </c>
      <c r="AB402" t="s">
        <v>624</v>
      </c>
      <c r="AC402" t="s">
        <v>50</v>
      </c>
      <c r="AD402" t="s">
        <v>50</v>
      </c>
      <c r="AE402" t="s">
        <v>50</v>
      </c>
      <c r="AF402" t="s">
        <v>114</v>
      </c>
      <c r="AG402" t="s">
        <v>4930</v>
      </c>
      <c r="AH402" t="s">
        <v>114</v>
      </c>
      <c r="AI402" t="s">
        <v>4930</v>
      </c>
      <c r="AJ402" t="s">
        <v>114</v>
      </c>
      <c r="AK402" t="s">
        <v>4930</v>
      </c>
      <c r="AL402" t="s">
        <v>4146</v>
      </c>
    </row>
    <row r="403" spans="1:38" ht="11.25" customHeight="1">
      <c r="A403" t="s">
        <v>9</v>
      </c>
      <c r="B403" t="s">
        <v>36</v>
      </c>
      <c r="C403" t="s">
        <v>38</v>
      </c>
      <c r="D403" t="s">
        <v>9</v>
      </c>
      <c r="E403" t="s">
        <v>4155</v>
      </c>
      <c r="F403" t="s">
        <v>4148</v>
      </c>
      <c r="G403" t="s">
        <v>155</v>
      </c>
      <c r="H403" t="s">
        <v>155</v>
      </c>
      <c r="I403" t="s">
        <v>156</v>
      </c>
      <c r="J403" t="s">
        <v>1501</v>
      </c>
      <c r="K403" t="s">
        <v>1502</v>
      </c>
      <c r="L403" t="s">
        <v>4447</v>
      </c>
      <c r="M403" t="s">
        <v>1442</v>
      </c>
      <c r="N403" t="s">
        <v>164</v>
      </c>
      <c r="O403" t="s">
        <v>155</v>
      </c>
      <c r="P403" t="s">
        <v>155</v>
      </c>
      <c r="Q403" t="s">
        <v>156</v>
      </c>
      <c r="R403" t="s">
        <v>1501</v>
      </c>
      <c r="S403" t="s">
        <v>1502</v>
      </c>
      <c r="T403" t="s">
        <v>4138</v>
      </c>
      <c r="U403" t="s">
        <v>4139</v>
      </c>
      <c r="V403" t="s">
        <v>624</v>
      </c>
      <c r="W403" t="s">
        <v>4140</v>
      </c>
      <c r="X403" t="s">
        <v>4141</v>
      </c>
      <c r="Y403" t="s">
        <v>4142</v>
      </c>
      <c r="Z403" t="s">
        <v>4928</v>
      </c>
      <c r="AA403" t="s">
        <v>4929</v>
      </c>
      <c r="AB403" t="s">
        <v>624</v>
      </c>
      <c r="AC403" t="s">
        <v>6</v>
      </c>
      <c r="AD403" t="s">
        <v>50</v>
      </c>
      <c r="AE403" t="s">
        <v>6</v>
      </c>
      <c r="AF403" t="s">
        <v>9</v>
      </c>
      <c r="AG403" t="s">
        <v>9</v>
      </c>
      <c r="AH403" t="s">
        <v>114</v>
      </c>
      <c r="AI403" t="s">
        <v>4930</v>
      </c>
      <c r="AJ403" t="s">
        <v>114</v>
      </c>
      <c r="AK403" t="s">
        <v>4930</v>
      </c>
      <c r="AL403" t="s">
        <v>9</v>
      </c>
    </row>
    <row r="404" spans="1:38" ht="11.25" customHeight="1">
      <c r="A404" t="s">
        <v>9</v>
      </c>
      <c r="B404" t="s">
        <v>36</v>
      </c>
      <c r="C404" t="s">
        <v>38</v>
      </c>
      <c r="D404" t="s">
        <v>9</v>
      </c>
      <c r="E404" t="s">
        <v>1456</v>
      </c>
      <c r="F404" t="s">
        <v>1438</v>
      </c>
      <c r="G404" t="s">
        <v>155</v>
      </c>
      <c r="H404" t="s">
        <v>155</v>
      </c>
      <c r="I404" t="s">
        <v>156</v>
      </c>
      <c r="J404" t="s">
        <v>1501</v>
      </c>
      <c r="K404" t="s">
        <v>1502</v>
      </c>
      <c r="L404" t="s">
        <v>4931</v>
      </c>
      <c r="M404" t="s">
        <v>4932</v>
      </c>
      <c r="N404" t="s">
        <v>164</v>
      </c>
      <c r="O404" t="s">
        <v>155</v>
      </c>
      <c r="P404" t="s">
        <v>155</v>
      </c>
      <c r="Q404" t="s">
        <v>156</v>
      </c>
      <c r="R404" t="s">
        <v>1501</v>
      </c>
      <c r="S404" t="s">
        <v>1502</v>
      </c>
      <c r="T404" t="s">
        <v>4138</v>
      </c>
      <c r="U404" t="s">
        <v>4139</v>
      </c>
      <c r="V404" t="s">
        <v>624</v>
      </c>
      <c r="W404" t="s">
        <v>4140</v>
      </c>
      <c r="X404" t="s">
        <v>4141</v>
      </c>
      <c r="Y404" t="s">
        <v>4142</v>
      </c>
      <c r="Z404" t="s">
        <v>4933</v>
      </c>
      <c r="AA404" t="s">
        <v>4914</v>
      </c>
      <c r="AB404" t="s">
        <v>624</v>
      </c>
      <c r="AC404" t="s">
        <v>50</v>
      </c>
      <c r="AD404" t="s">
        <v>50</v>
      </c>
      <c r="AE404" t="s">
        <v>50</v>
      </c>
      <c r="AF404" t="s">
        <v>4934</v>
      </c>
      <c r="AG404" t="s">
        <v>734</v>
      </c>
      <c r="AH404" t="s">
        <v>4934</v>
      </c>
      <c r="AI404" t="s">
        <v>734</v>
      </c>
      <c r="AJ404" t="s">
        <v>4934</v>
      </c>
      <c r="AK404" t="s">
        <v>734</v>
      </c>
      <c r="AL404" t="s">
        <v>4146</v>
      </c>
    </row>
    <row r="405" spans="1:38" ht="11.25" customHeight="1">
      <c r="A405" t="s">
        <v>9</v>
      </c>
      <c r="B405" t="s">
        <v>36</v>
      </c>
      <c r="C405" t="s">
        <v>38</v>
      </c>
      <c r="D405" t="s">
        <v>9</v>
      </c>
      <c r="E405" t="s">
        <v>1500</v>
      </c>
      <c r="F405" t="s">
        <v>1438</v>
      </c>
      <c r="G405" t="s">
        <v>155</v>
      </c>
      <c r="H405" t="s">
        <v>155</v>
      </c>
      <c r="I405" t="s">
        <v>156</v>
      </c>
      <c r="J405" t="s">
        <v>1501</v>
      </c>
      <c r="K405" t="s">
        <v>1502</v>
      </c>
      <c r="L405" t="s">
        <v>1503</v>
      </c>
      <c r="M405" t="s">
        <v>1504</v>
      </c>
      <c r="N405" t="s">
        <v>164</v>
      </c>
      <c r="O405" t="s">
        <v>155</v>
      </c>
      <c r="P405" t="s">
        <v>155</v>
      </c>
      <c r="Q405" t="s">
        <v>156</v>
      </c>
      <c r="R405" t="s">
        <v>1501</v>
      </c>
      <c r="S405" t="s">
        <v>1502</v>
      </c>
      <c r="T405" t="s">
        <v>4138</v>
      </c>
      <c r="U405" t="s">
        <v>4139</v>
      </c>
      <c r="V405" t="s">
        <v>624</v>
      </c>
      <c r="W405" t="s">
        <v>4140</v>
      </c>
      <c r="X405" t="s">
        <v>4141</v>
      </c>
      <c r="Y405" t="s">
        <v>4142</v>
      </c>
      <c r="Z405" t="s">
        <v>4935</v>
      </c>
      <c r="AA405" t="s">
        <v>4914</v>
      </c>
      <c r="AB405" t="s">
        <v>624</v>
      </c>
      <c r="AC405" t="s">
        <v>50</v>
      </c>
      <c r="AD405" t="s">
        <v>50</v>
      </c>
      <c r="AE405" t="s">
        <v>50</v>
      </c>
      <c r="AF405" t="s">
        <v>89</v>
      </c>
      <c r="AG405" t="s">
        <v>4173</v>
      </c>
      <c r="AH405" t="s">
        <v>89</v>
      </c>
      <c r="AI405" t="s">
        <v>4173</v>
      </c>
      <c r="AJ405" t="s">
        <v>89</v>
      </c>
      <c r="AK405" t="s">
        <v>4173</v>
      </c>
      <c r="AL405" t="s">
        <v>4146</v>
      </c>
    </row>
    <row r="406" spans="1:38" ht="11.25" customHeight="1">
      <c r="A406" t="s">
        <v>9</v>
      </c>
      <c r="B406" t="s">
        <v>36</v>
      </c>
      <c r="C406" t="s">
        <v>38</v>
      </c>
      <c r="D406" t="s">
        <v>9</v>
      </c>
      <c r="E406" t="s">
        <v>4936</v>
      </c>
      <c r="F406" t="s">
        <v>1457</v>
      </c>
      <c r="G406" t="s">
        <v>155</v>
      </c>
      <c r="H406" t="s">
        <v>155</v>
      </c>
      <c r="I406" t="s">
        <v>156</v>
      </c>
      <c r="J406" t="s">
        <v>1501</v>
      </c>
      <c r="K406" t="s">
        <v>1502</v>
      </c>
      <c r="L406" t="s">
        <v>4937</v>
      </c>
      <c r="M406" t="s">
        <v>1442</v>
      </c>
      <c r="N406" t="s">
        <v>164</v>
      </c>
      <c r="O406" t="s">
        <v>155</v>
      </c>
      <c r="P406" t="s">
        <v>155</v>
      </c>
      <c r="Q406" t="s">
        <v>156</v>
      </c>
      <c r="R406" t="s">
        <v>1501</v>
      </c>
      <c r="S406" t="s">
        <v>1502</v>
      </c>
      <c r="T406" t="s">
        <v>4138</v>
      </c>
      <c r="U406" t="s">
        <v>4139</v>
      </c>
      <c r="V406" t="s">
        <v>624</v>
      </c>
      <c r="W406" t="s">
        <v>4140</v>
      </c>
      <c r="X406" t="s">
        <v>4938</v>
      </c>
      <c r="Y406" t="s">
        <v>4142</v>
      </c>
      <c r="Z406" t="s">
        <v>624</v>
      </c>
      <c r="AA406" t="s">
        <v>4939</v>
      </c>
      <c r="AB406" t="s">
        <v>624</v>
      </c>
      <c r="AC406" t="s">
        <v>50</v>
      </c>
      <c r="AD406" t="s">
        <v>6</v>
      </c>
      <c r="AE406" t="s">
        <v>6</v>
      </c>
      <c r="AF406" t="s">
        <v>164</v>
      </c>
      <c r="AG406" t="s">
        <v>4940</v>
      </c>
      <c r="AH406" t="s">
        <v>9</v>
      </c>
      <c r="AI406" t="s">
        <v>9</v>
      </c>
      <c r="AJ406" t="s">
        <v>9</v>
      </c>
      <c r="AK406" t="s">
        <v>9</v>
      </c>
      <c r="AL406" t="s">
        <v>4268</v>
      </c>
    </row>
    <row r="407" spans="1:38" ht="11.25" customHeight="1">
      <c r="A407" t="s">
        <v>9</v>
      </c>
      <c r="B407" t="s">
        <v>36</v>
      </c>
      <c r="C407" t="s">
        <v>38</v>
      </c>
      <c r="D407" t="s">
        <v>9</v>
      </c>
      <c r="E407" t="s">
        <v>1471</v>
      </c>
      <c r="F407" t="s">
        <v>1438</v>
      </c>
      <c r="G407" t="s">
        <v>155</v>
      </c>
      <c r="H407" t="s">
        <v>155</v>
      </c>
      <c r="I407" t="s">
        <v>156</v>
      </c>
      <c r="J407" t="s">
        <v>1501</v>
      </c>
      <c r="K407" t="s">
        <v>1502</v>
      </c>
      <c r="L407" t="s">
        <v>4941</v>
      </c>
      <c r="M407" t="s">
        <v>1442</v>
      </c>
      <c r="N407" t="s">
        <v>164</v>
      </c>
      <c r="O407" t="s">
        <v>155</v>
      </c>
      <c r="P407" t="s">
        <v>155</v>
      </c>
      <c r="Q407" t="s">
        <v>156</v>
      </c>
      <c r="R407" t="s">
        <v>1501</v>
      </c>
      <c r="S407" t="s">
        <v>1502</v>
      </c>
      <c r="T407" t="s">
        <v>4138</v>
      </c>
      <c r="U407" t="s">
        <v>4139</v>
      </c>
      <c r="V407" t="s">
        <v>624</v>
      </c>
      <c r="W407" t="s">
        <v>4140</v>
      </c>
      <c r="X407" t="s">
        <v>4141</v>
      </c>
      <c r="Y407" t="s">
        <v>4142</v>
      </c>
      <c r="Z407" t="s">
        <v>4942</v>
      </c>
      <c r="AA407" t="s">
        <v>4943</v>
      </c>
      <c r="AB407" t="s">
        <v>624</v>
      </c>
      <c r="AC407" t="s">
        <v>50</v>
      </c>
      <c r="AD407" t="s">
        <v>50</v>
      </c>
      <c r="AE407" t="s">
        <v>50</v>
      </c>
      <c r="AF407" t="s">
        <v>1139</v>
      </c>
      <c r="AG407" t="s">
        <v>4944</v>
      </c>
      <c r="AH407" t="s">
        <v>1139</v>
      </c>
      <c r="AI407" t="s">
        <v>4945</v>
      </c>
      <c r="AJ407" t="s">
        <v>1139</v>
      </c>
      <c r="AK407" t="s">
        <v>4945</v>
      </c>
      <c r="AL407" t="s">
        <v>4146</v>
      </c>
    </row>
    <row r="408" spans="1:38" ht="11.25" customHeight="1">
      <c r="A408" t="s">
        <v>9</v>
      </c>
      <c r="B408" t="s">
        <v>36</v>
      </c>
      <c r="C408" t="s">
        <v>38</v>
      </c>
      <c r="D408" t="s">
        <v>9</v>
      </c>
      <c r="E408" t="s">
        <v>4223</v>
      </c>
      <c r="F408" t="s">
        <v>1438</v>
      </c>
      <c r="G408" t="s">
        <v>155</v>
      </c>
      <c r="H408" t="s">
        <v>155</v>
      </c>
      <c r="I408" t="s">
        <v>156</v>
      </c>
      <c r="J408" t="s">
        <v>1501</v>
      </c>
      <c r="K408" t="s">
        <v>1502</v>
      </c>
      <c r="L408" t="s">
        <v>4946</v>
      </c>
      <c r="M408" t="s">
        <v>1442</v>
      </c>
      <c r="N408" t="s">
        <v>164</v>
      </c>
      <c r="O408" t="s">
        <v>155</v>
      </c>
      <c r="P408" t="s">
        <v>155</v>
      </c>
      <c r="Q408" t="s">
        <v>156</v>
      </c>
      <c r="R408" t="s">
        <v>1501</v>
      </c>
      <c r="S408" t="s">
        <v>1502</v>
      </c>
      <c r="T408" t="s">
        <v>4165</v>
      </c>
      <c r="U408" t="s">
        <v>4168</v>
      </c>
      <c r="V408" t="s">
        <v>624</v>
      </c>
      <c r="W408" t="s">
        <v>4140</v>
      </c>
      <c r="X408" t="s">
        <v>4167</v>
      </c>
      <c r="Y408" t="s">
        <v>4168</v>
      </c>
      <c r="Z408" t="s">
        <v>4947</v>
      </c>
      <c r="AA408" t="s">
        <v>4948</v>
      </c>
      <c r="AB408" t="s">
        <v>624</v>
      </c>
      <c r="AC408" t="s">
        <v>50</v>
      </c>
      <c r="AD408" t="s">
        <v>50</v>
      </c>
      <c r="AE408" t="s">
        <v>50</v>
      </c>
      <c r="AF408" t="s">
        <v>4949</v>
      </c>
      <c r="AG408" t="s">
        <v>4950</v>
      </c>
      <c r="AH408" t="s">
        <v>4949</v>
      </c>
      <c r="AI408" t="s">
        <v>4950</v>
      </c>
      <c r="AJ408" t="s">
        <v>4949</v>
      </c>
      <c r="AK408" t="s">
        <v>4950</v>
      </c>
      <c r="AL408" t="s">
        <v>4146</v>
      </c>
    </row>
    <row r="409" spans="1:38" ht="11.25" customHeight="1">
      <c r="A409" t="s">
        <v>9</v>
      </c>
      <c r="B409" t="s">
        <v>36</v>
      </c>
      <c r="C409" t="s">
        <v>38</v>
      </c>
      <c r="D409" t="s">
        <v>9</v>
      </c>
      <c r="E409" t="s">
        <v>4261</v>
      </c>
      <c r="F409" t="s">
        <v>1438</v>
      </c>
      <c r="G409" t="s">
        <v>155</v>
      </c>
      <c r="H409" t="s">
        <v>155</v>
      </c>
      <c r="I409" t="s">
        <v>156</v>
      </c>
      <c r="J409" t="s">
        <v>1501</v>
      </c>
      <c r="K409" t="s">
        <v>1502</v>
      </c>
      <c r="L409" t="s">
        <v>4951</v>
      </c>
      <c r="M409" t="s">
        <v>4952</v>
      </c>
      <c r="N409" t="s">
        <v>164</v>
      </c>
      <c r="O409" t="s">
        <v>155</v>
      </c>
      <c r="P409" t="s">
        <v>155</v>
      </c>
      <c r="Q409" t="s">
        <v>156</v>
      </c>
      <c r="R409" t="s">
        <v>1501</v>
      </c>
      <c r="S409" t="s">
        <v>1502</v>
      </c>
      <c r="T409" t="s">
        <v>4138</v>
      </c>
      <c r="U409" t="s">
        <v>4139</v>
      </c>
      <c r="V409" t="s">
        <v>624</v>
      </c>
      <c r="W409" t="s">
        <v>4140</v>
      </c>
      <c r="X409" t="s">
        <v>4141</v>
      </c>
      <c r="Y409" t="s">
        <v>4142</v>
      </c>
      <c r="Z409" t="s">
        <v>4953</v>
      </c>
      <c r="AA409" t="s">
        <v>4914</v>
      </c>
      <c r="AB409" t="s">
        <v>624</v>
      </c>
      <c r="AC409" t="s">
        <v>50</v>
      </c>
      <c r="AD409" t="s">
        <v>50</v>
      </c>
      <c r="AE409" t="s">
        <v>50</v>
      </c>
      <c r="AF409" t="s">
        <v>355</v>
      </c>
      <c r="AG409" t="s">
        <v>4524</v>
      </c>
      <c r="AH409" t="s">
        <v>355</v>
      </c>
      <c r="AI409" t="s">
        <v>4524</v>
      </c>
      <c r="AJ409" t="s">
        <v>355</v>
      </c>
      <c r="AK409" t="s">
        <v>4524</v>
      </c>
      <c r="AL409" t="s">
        <v>4146</v>
      </c>
    </row>
    <row r="410" spans="1:38" ht="11.25" customHeight="1">
      <c r="A410" t="s">
        <v>9</v>
      </c>
      <c r="B410" t="s">
        <v>36</v>
      </c>
      <c r="C410" t="s">
        <v>38</v>
      </c>
      <c r="D410" t="s">
        <v>9</v>
      </c>
      <c r="E410" t="s">
        <v>4234</v>
      </c>
      <c r="F410" t="s">
        <v>1438</v>
      </c>
      <c r="G410" t="s">
        <v>155</v>
      </c>
      <c r="H410" t="s">
        <v>155</v>
      </c>
      <c r="I410" t="s">
        <v>156</v>
      </c>
      <c r="J410" t="s">
        <v>4954</v>
      </c>
      <c r="K410" t="s">
        <v>4955</v>
      </c>
      <c r="L410" t="s">
        <v>4956</v>
      </c>
      <c r="M410" t="s">
        <v>1442</v>
      </c>
      <c r="N410" t="s">
        <v>164</v>
      </c>
      <c r="O410" t="s">
        <v>155</v>
      </c>
      <c r="P410" t="s">
        <v>155</v>
      </c>
      <c r="Q410" t="s">
        <v>156</v>
      </c>
      <c r="R410" t="s">
        <v>4954</v>
      </c>
      <c r="S410" t="s">
        <v>4955</v>
      </c>
      <c r="T410" t="s">
        <v>4165</v>
      </c>
      <c r="U410" t="s">
        <v>4166</v>
      </c>
      <c r="V410" t="s">
        <v>624</v>
      </c>
      <c r="W410" t="s">
        <v>4140</v>
      </c>
      <c r="X410" t="s">
        <v>4167</v>
      </c>
      <c r="Y410" t="s">
        <v>4168</v>
      </c>
      <c r="Z410" t="s">
        <v>4313</v>
      </c>
      <c r="AA410" t="s">
        <v>4957</v>
      </c>
      <c r="AB410" t="s">
        <v>624</v>
      </c>
      <c r="AC410" t="s">
        <v>50</v>
      </c>
      <c r="AD410" t="s">
        <v>50</v>
      </c>
      <c r="AE410" t="s">
        <v>50</v>
      </c>
      <c r="AF410" t="s">
        <v>100</v>
      </c>
      <c r="AG410" t="s">
        <v>4958</v>
      </c>
      <c r="AH410" t="s">
        <v>79</v>
      </c>
      <c r="AI410" t="s">
        <v>164</v>
      </c>
      <c r="AJ410" t="s">
        <v>79</v>
      </c>
      <c r="AK410" t="s">
        <v>164</v>
      </c>
      <c r="AL410" t="s">
        <v>4146</v>
      </c>
    </row>
    <row r="411" spans="1:38" ht="11.25" customHeight="1">
      <c r="A411" t="s">
        <v>9</v>
      </c>
      <c r="B411" t="s">
        <v>36</v>
      </c>
      <c r="C411" t="s">
        <v>38</v>
      </c>
      <c r="D411" t="s">
        <v>9</v>
      </c>
      <c r="E411" t="s">
        <v>4240</v>
      </c>
      <c r="F411" t="s">
        <v>1438</v>
      </c>
      <c r="G411" t="s">
        <v>155</v>
      </c>
      <c r="H411" t="s">
        <v>155</v>
      </c>
      <c r="I411" t="s">
        <v>156</v>
      </c>
      <c r="J411" t="s">
        <v>4959</v>
      </c>
      <c r="K411" t="s">
        <v>4960</v>
      </c>
      <c r="L411" t="s">
        <v>4961</v>
      </c>
      <c r="M411" t="s">
        <v>1442</v>
      </c>
      <c r="N411" t="s">
        <v>164</v>
      </c>
      <c r="O411" t="s">
        <v>155</v>
      </c>
      <c r="P411" t="s">
        <v>155</v>
      </c>
      <c r="Q411" t="s">
        <v>156</v>
      </c>
      <c r="R411" t="s">
        <v>4959</v>
      </c>
      <c r="S411" t="s">
        <v>4960</v>
      </c>
      <c r="T411" t="s">
        <v>4165</v>
      </c>
      <c r="U411" t="s">
        <v>4166</v>
      </c>
      <c r="V411" t="s">
        <v>624</v>
      </c>
      <c r="W411" t="s">
        <v>4140</v>
      </c>
      <c r="X411" t="s">
        <v>4167</v>
      </c>
      <c r="Y411" t="s">
        <v>4168</v>
      </c>
      <c r="Z411" t="s">
        <v>4313</v>
      </c>
      <c r="AA411" t="s">
        <v>4957</v>
      </c>
      <c r="AB411" t="s">
        <v>624</v>
      </c>
      <c r="AC411" t="s">
        <v>50</v>
      </c>
      <c r="AD411" t="s">
        <v>50</v>
      </c>
      <c r="AE411" t="s">
        <v>50</v>
      </c>
      <c r="AF411" t="s">
        <v>1217</v>
      </c>
      <c r="AG411" t="s">
        <v>4962</v>
      </c>
      <c r="AH411" t="s">
        <v>1217</v>
      </c>
      <c r="AI411" t="s">
        <v>4962</v>
      </c>
      <c r="AJ411" t="s">
        <v>1217</v>
      </c>
      <c r="AK411" t="s">
        <v>4962</v>
      </c>
      <c r="AL411" t="s">
        <v>4146</v>
      </c>
    </row>
    <row r="412" spans="1:38" ht="11.25" customHeight="1">
      <c r="A412" t="s">
        <v>9</v>
      </c>
      <c r="B412" t="s">
        <v>36</v>
      </c>
      <c r="C412" t="s">
        <v>38</v>
      </c>
      <c r="D412" t="s">
        <v>9</v>
      </c>
      <c r="E412" t="s">
        <v>4234</v>
      </c>
      <c r="F412" t="s">
        <v>1438</v>
      </c>
      <c r="G412" t="s">
        <v>4040</v>
      </c>
      <c r="H412" t="s">
        <v>4045</v>
      </c>
      <c r="I412" t="s">
        <v>4046</v>
      </c>
      <c r="J412" t="s">
        <v>4954</v>
      </c>
      <c r="K412" t="s">
        <v>4963</v>
      </c>
      <c r="L412" t="s">
        <v>4956</v>
      </c>
      <c r="M412" t="s">
        <v>1442</v>
      </c>
      <c r="N412" t="s">
        <v>164</v>
      </c>
      <c r="O412" t="s">
        <v>4040</v>
      </c>
      <c r="P412" t="s">
        <v>4045</v>
      </c>
      <c r="Q412" t="s">
        <v>4046</v>
      </c>
      <c r="R412" t="s">
        <v>4954</v>
      </c>
      <c r="S412" t="s">
        <v>4963</v>
      </c>
      <c r="T412" t="s">
        <v>4165</v>
      </c>
      <c r="U412" t="s">
        <v>4166</v>
      </c>
      <c r="V412" t="s">
        <v>624</v>
      </c>
      <c r="W412" t="s">
        <v>4140</v>
      </c>
      <c r="X412" t="s">
        <v>4167</v>
      </c>
      <c r="Y412" t="s">
        <v>4168</v>
      </c>
      <c r="Z412" t="s">
        <v>4313</v>
      </c>
      <c r="AA412" t="s">
        <v>4957</v>
      </c>
      <c r="AB412" t="s">
        <v>624</v>
      </c>
      <c r="AC412" t="s">
        <v>50</v>
      </c>
      <c r="AD412" t="s">
        <v>50</v>
      </c>
      <c r="AE412" t="s">
        <v>50</v>
      </c>
      <c r="AF412" t="s">
        <v>100</v>
      </c>
      <c r="AG412" t="s">
        <v>4958</v>
      </c>
      <c r="AH412" t="s">
        <v>79</v>
      </c>
      <c r="AI412" t="s">
        <v>164</v>
      </c>
      <c r="AJ412" t="s">
        <v>79</v>
      </c>
      <c r="AK412" t="s">
        <v>164</v>
      </c>
      <c r="AL412" t="s">
        <v>4146</v>
      </c>
    </row>
    <row r="413" spans="1:38" ht="11.25" customHeight="1">
      <c r="A413" t="s">
        <v>9</v>
      </c>
      <c r="B413" t="s">
        <v>36</v>
      </c>
      <c r="C413" t="s">
        <v>38</v>
      </c>
      <c r="D413" t="s">
        <v>9</v>
      </c>
      <c r="E413" t="s">
        <v>4240</v>
      </c>
      <c r="F413" t="s">
        <v>1438</v>
      </c>
      <c r="G413" t="s">
        <v>4040</v>
      </c>
      <c r="H413" t="s">
        <v>4054</v>
      </c>
      <c r="I413" t="s">
        <v>4055</v>
      </c>
      <c r="J413" t="s">
        <v>4959</v>
      </c>
      <c r="K413" t="s">
        <v>4964</v>
      </c>
      <c r="L413" t="s">
        <v>4961</v>
      </c>
      <c r="M413" t="s">
        <v>1442</v>
      </c>
      <c r="N413" t="s">
        <v>164</v>
      </c>
      <c r="O413" t="s">
        <v>4040</v>
      </c>
      <c r="P413" t="s">
        <v>4054</v>
      </c>
      <c r="Q413" t="s">
        <v>4055</v>
      </c>
      <c r="R413" t="s">
        <v>4959</v>
      </c>
      <c r="S413" t="s">
        <v>4964</v>
      </c>
      <c r="T413" t="s">
        <v>4165</v>
      </c>
      <c r="U413" t="s">
        <v>4166</v>
      </c>
      <c r="V413" t="s">
        <v>624</v>
      </c>
      <c r="W413" t="s">
        <v>4140</v>
      </c>
      <c r="X413" t="s">
        <v>4167</v>
      </c>
      <c r="Y413" t="s">
        <v>4168</v>
      </c>
      <c r="Z413" t="s">
        <v>4313</v>
      </c>
      <c r="AA413" t="s">
        <v>4957</v>
      </c>
      <c r="AB413" t="s">
        <v>624</v>
      </c>
      <c r="AC413" t="s">
        <v>50</v>
      </c>
      <c r="AD413" t="s">
        <v>50</v>
      </c>
      <c r="AE413" t="s">
        <v>50</v>
      </c>
      <c r="AF413" t="s">
        <v>1217</v>
      </c>
      <c r="AG413" t="s">
        <v>4962</v>
      </c>
      <c r="AH413" t="s">
        <v>1217</v>
      </c>
      <c r="AI413" t="s">
        <v>4962</v>
      </c>
      <c r="AJ413" t="s">
        <v>1217</v>
      </c>
      <c r="AK413" t="s">
        <v>4962</v>
      </c>
      <c r="AL413" t="s">
        <v>4146</v>
      </c>
    </row>
    <row r="414" spans="1:38" ht="11.25" customHeight="1">
      <c r="A414" t="s">
        <v>9</v>
      </c>
      <c r="B414" t="s">
        <v>36</v>
      </c>
      <c r="C414" t="s">
        <v>38</v>
      </c>
      <c r="D414" t="s">
        <v>9</v>
      </c>
      <c r="E414" t="s">
        <v>4901</v>
      </c>
      <c r="F414" t="s">
        <v>1438</v>
      </c>
      <c r="G414" t="s">
        <v>4040</v>
      </c>
      <c r="H414" t="s">
        <v>4058</v>
      </c>
      <c r="I414" t="s">
        <v>4059</v>
      </c>
      <c r="J414" t="s">
        <v>1501</v>
      </c>
      <c r="K414" t="s">
        <v>4965</v>
      </c>
      <c r="L414" t="s">
        <v>4902</v>
      </c>
      <c r="M414" t="s">
        <v>4903</v>
      </c>
      <c r="N414" t="s">
        <v>164</v>
      </c>
      <c r="O414" t="s">
        <v>4040</v>
      </c>
      <c r="P414" t="s">
        <v>4058</v>
      </c>
      <c r="Q414" t="s">
        <v>4059</v>
      </c>
      <c r="R414" t="s">
        <v>1501</v>
      </c>
      <c r="S414" t="s">
        <v>4965</v>
      </c>
      <c r="T414" t="s">
        <v>4165</v>
      </c>
      <c r="U414" t="s">
        <v>4166</v>
      </c>
      <c r="V414" t="s">
        <v>624</v>
      </c>
      <c r="W414" t="s">
        <v>4140</v>
      </c>
      <c r="X414" t="s">
        <v>4167</v>
      </c>
      <c r="Y414" t="s">
        <v>4168</v>
      </c>
      <c r="Z414" t="s">
        <v>4904</v>
      </c>
      <c r="AA414" t="s">
        <v>4905</v>
      </c>
      <c r="AB414" t="s">
        <v>624</v>
      </c>
      <c r="AC414" t="s">
        <v>50</v>
      </c>
      <c r="AD414" t="s">
        <v>50</v>
      </c>
      <c r="AE414" t="s">
        <v>50</v>
      </c>
      <c r="AF414" t="s">
        <v>4906</v>
      </c>
      <c r="AG414" t="s">
        <v>4907</v>
      </c>
      <c r="AH414" t="s">
        <v>4906</v>
      </c>
      <c r="AI414" t="s">
        <v>4907</v>
      </c>
      <c r="AJ414" t="s">
        <v>4906</v>
      </c>
      <c r="AK414" t="s">
        <v>4907</v>
      </c>
      <c r="AL414" t="s">
        <v>4146</v>
      </c>
    </row>
    <row r="415" spans="1:38" ht="11.25" customHeight="1">
      <c r="A415" t="s">
        <v>9</v>
      </c>
      <c r="B415" t="s">
        <v>36</v>
      </c>
      <c r="C415" t="s">
        <v>38</v>
      </c>
      <c r="D415" t="s">
        <v>9</v>
      </c>
      <c r="E415" t="s">
        <v>4908</v>
      </c>
      <c r="F415" t="s">
        <v>4148</v>
      </c>
      <c r="G415" t="s">
        <v>4040</v>
      </c>
      <c r="H415" t="s">
        <v>4058</v>
      </c>
      <c r="I415" t="s">
        <v>4059</v>
      </c>
      <c r="J415" t="s">
        <v>1501</v>
      </c>
      <c r="K415" t="s">
        <v>4965</v>
      </c>
      <c r="L415" t="s">
        <v>4902</v>
      </c>
      <c r="M415" t="s">
        <v>4903</v>
      </c>
      <c r="N415" t="s">
        <v>164</v>
      </c>
      <c r="O415" t="s">
        <v>4040</v>
      </c>
      <c r="P415" t="s">
        <v>4058</v>
      </c>
      <c r="Q415" t="s">
        <v>4059</v>
      </c>
      <c r="R415" t="s">
        <v>1501</v>
      </c>
      <c r="S415" t="s">
        <v>4965</v>
      </c>
      <c r="T415" t="s">
        <v>4165</v>
      </c>
      <c r="U415" t="s">
        <v>4166</v>
      </c>
      <c r="V415" t="s">
        <v>624</v>
      </c>
      <c r="W415" t="s">
        <v>4140</v>
      </c>
      <c r="X415" t="s">
        <v>4167</v>
      </c>
      <c r="Y415" t="s">
        <v>4168</v>
      </c>
      <c r="Z415" t="s">
        <v>4904</v>
      </c>
      <c r="AA415" t="s">
        <v>4905</v>
      </c>
      <c r="AB415" t="s">
        <v>624</v>
      </c>
      <c r="AC415" t="s">
        <v>6</v>
      </c>
      <c r="AD415" t="s">
        <v>50</v>
      </c>
      <c r="AE415" t="s">
        <v>6</v>
      </c>
      <c r="AF415" t="s">
        <v>9</v>
      </c>
      <c r="AG415" t="s">
        <v>9</v>
      </c>
      <c r="AH415" t="s">
        <v>4906</v>
      </c>
      <c r="AI415" t="s">
        <v>4909</v>
      </c>
      <c r="AJ415" t="s">
        <v>4906</v>
      </c>
      <c r="AK415" t="s">
        <v>4909</v>
      </c>
      <c r="AL415" t="s">
        <v>9</v>
      </c>
    </row>
    <row r="416" spans="1:38" ht="11.25" customHeight="1">
      <c r="A416" t="s">
        <v>9</v>
      </c>
      <c r="B416" t="s">
        <v>36</v>
      </c>
      <c r="C416" t="s">
        <v>38</v>
      </c>
      <c r="D416" t="s">
        <v>9</v>
      </c>
      <c r="E416" t="s">
        <v>4910</v>
      </c>
      <c r="F416" t="s">
        <v>4148</v>
      </c>
      <c r="G416" t="s">
        <v>4040</v>
      </c>
      <c r="H416" t="s">
        <v>4058</v>
      </c>
      <c r="I416" t="s">
        <v>4059</v>
      </c>
      <c r="J416" t="s">
        <v>1501</v>
      </c>
      <c r="K416" t="s">
        <v>4965</v>
      </c>
      <c r="L416" t="s">
        <v>4902</v>
      </c>
      <c r="M416" t="s">
        <v>4903</v>
      </c>
      <c r="N416" t="s">
        <v>164</v>
      </c>
      <c r="O416" t="s">
        <v>4040</v>
      </c>
      <c r="P416" t="s">
        <v>4058</v>
      </c>
      <c r="Q416" t="s">
        <v>4059</v>
      </c>
      <c r="R416" t="s">
        <v>1501</v>
      </c>
      <c r="S416" t="s">
        <v>4965</v>
      </c>
      <c r="T416" t="s">
        <v>4165</v>
      </c>
      <c r="U416" t="s">
        <v>4166</v>
      </c>
      <c r="V416" t="s">
        <v>624</v>
      </c>
      <c r="W416" t="s">
        <v>4140</v>
      </c>
      <c r="X416" t="s">
        <v>4167</v>
      </c>
      <c r="Y416" t="s">
        <v>4168</v>
      </c>
      <c r="Z416" t="s">
        <v>4904</v>
      </c>
      <c r="AA416" t="s">
        <v>4905</v>
      </c>
      <c r="AB416" t="s">
        <v>624</v>
      </c>
      <c r="AC416" t="s">
        <v>6</v>
      </c>
      <c r="AD416" t="s">
        <v>50</v>
      </c>
      <c r="AE416" t="s">
        <v>6</v>
      </c>
      <c r="AF416" t="s">
        <v>9</v>
      </c>
      <c r="AG416" t="s">
        <v>9</v>
      </c>
      <c r="AH416" t="s">
        <v>4906</v>
      </c>
      <c r="AI416" t="s">
        <v>4909</v>
      </c>
      <c r="AJ416" t="s">
        <v>4906</v>
      </c>
      <c r="AK416" t="s">
        <v>4909</v>
      </c>
      <c r="AL416" t="s">
        <v>9</v>
      </c>
    </row>
    <row r="417" spans="1:38" ht="11.25" customHeight="1">
      <c r="A417" t="s">
        <v>9</v>
      </c>
      <c r="B417" t="s">
        <v>36</v>
      </c>
      <c r="C417" t="s">
        <v>38</v>
      </c>
      <c r="D417" t="s">
        <v>9</v>
      </c>
      <c r="E417" t="s">
        <v>4324</v>
      </c>
      <c r="F417" t="s">
        <v>1438</v>
      </c>
      <c r="G417" t="s">
        <v>4040</v>
      </c>
      <c r="H417" t="s">
        <v>4058</v>
      </c>
      <c r="I417" t="s">
        <v>4059</v>
      </c>
      <c r="J417" t="s">
        <v>1501</v>
      </c>
      <c r="K417" t="s">
        <v>4965</v>
      </c>
      <c r="L417" t="s">
        <v>4911</v>
      </c>
      <c r="M417" t="s">
        <v>4912</v>
      </c>
      <c r="N417" t="s">
        <v>164</v>
      </c>
      <c r="O417" t="s">
        <v>4040</v>
      </c>
      <c r="P417" t="s">
        <v>4058</v>
      </c>
      <c r="Q417" t="s">
        <v>4059</v>
      </c>
      <c r="R417" t="s">
        <v>1501</v>
      </c>
      <c r="S417" t="s">
        <v>4965</v>
      </c>
      <c r="T417" t="s">
        <v>4138</v>
      </c>
      <c r="U417" t="s">
        <v>4139</v>
      </c>
      <c r="V417" t="s">
        <v>624</v>
      </c>
      <c r="W417" t="s">
        <v>4140</v>
      </c>
      <c r="X417" t="s">
        <v>4141</v>
      </c>
      <c r="Y417" t="s">
        <v>4142</v>
      </c>
      <c r="Z417" t="s">
        <v>4913</v>
      </c>
      <c r="AA417" t="s">
        <v>4914</v>
      </c>
      <c r="AB417" t="s">
        <v>624</v>
      </c>
      <c r="AC417" t="s">
        <v>50</v>
      </c>
      <c r="AD417" t="s">
        <v>50</v>
      </c>
      <c r="AE417" t="s">
        <v>50</v>
      </c>
      <c r="AF417" t="s">
        <v>89</v>
      </c>
      <c r="AG417" t="s">
        <v>4915</v>
      </c>
      <c r="AH417" t="s">
        <v>89</v>
      </c>
      <c r="AI417" t="s">
        <v>4915</v>
      </c>
      <c r="AJ417" t="s">
        <v>89</v>
      </c>
      <c r="AK417" t="s">
        <v>4915</v>
      </c>
      <c r="AL417" t="s">
        <v>4146</v>
      </c>
    </row>
    <row r="418" spans="1:38" ht="11.25" customHeight="1">
      <c r="A418" t="s">
        <v>9</v>
      </c>
      <c r="B418" t="s">
        <v>36</v>
      </c>
      <c r="C418" t="s">
        <v>38</v>
      </c>
      <c r="D418" t="s">
        <v>9</v>
      </c>
      <c r="E418" t="s">
        <v>1507</v>
      </c>
      <c r="F418" t="s">
        <v>1438</v>
      </c>
      <c r="G418" t="s">
        <v>4040</v>
      </c>
      <c r="H418" t="s">
        <v>4058</v>
      </c>
      <c r="I418" t="s">
        <v>4059</v>
      </c>
      <c r="J418" t="s">
        <v>1501</v>
      </c>
      <c r="K418" t="s">
        <v>4965</v>
      </c>
      <c r="L418" t="s">
        <v>4916</v>
      </c>
      <c r="M418" t="s">
        <v>4917</v>
      </c>
      <c r="N418" t="s">
        <v>164</v>
      </c>
      <c r="O418" t="s">
        <v>4040</v>
      </c>
      <c r="P418" t="s">
        <v>4058</v>
      </c>
      <c r="Q418" t="s">
        <v>4059</v>
      </c>
      <c r="R418" t="s">
        <v>1501</v>
      </c>
      <c r="S418" t="s">
        <v>4965</v>
      </c>
      <c r="T418" t="s">
        <v>4165</v>
      </c>
      <c r="U418" t="s">
        <v>4166</v>
      </c>
      <c r="V418" t="s">
        <v>624</v>
      </c>
      <c r="W418" t="s">
        <v>4140</v>
      </c>
      <c r="X418" t="s">
        <v>4167</v>
      </c>
      <c r="Y418" t="s">
        <v>4168</v>
      </c>
      <c r="Z418" t="s">
        <v>4904</v>
      </c>
      <c r="AA418" t="s">
        <v>4905</v>
      </c>
      <c r="AB418" t="s">
        <v>624</v>
      </c>
      <c r="AC418" t="s">
        <v>50</v>
      </c>
      <c r="AD418" t="s">
        <v>50</v>
      </c>
      <c r="AE418" t="s">
        <v>50</v>
      </c>
      <c r="AF418" t="s">
        <v>100</v>
      </c>
      <c r="AG418" t="s">
        <v>164</v>
      </c>
      <c r="AH418" t="s">
        <v>1266</v>
      </c>
      <c r="AI418" t="s">
        <v>4918</v>
      </c>
      <c r="AJ418" t="s">
        <v>1266</v>
      </c>
      <c r="AK418" t="s">
        <v>4918</v>
      </c>
      <c r="AL418" t="s">
        <v>4146</v>
      </c>
    </row>
    <row r="419" spans="1:38" ht="11.25" customHeight="1">
      <c r="A419" t="s">
        <v>9</v>
      </c>
      <c r="B419" t="s">
        <v>36</v>
      </c>
      <c r="C419" t="s">
        <v>38</v>
      </c>
      <c r="D419" t="s">
        <v>9</v>
      </c>
      <c r="E419" t="s">
        <v>4919</v>
      </c>
      <c r="F419" t="s">
        <v>4148</v>
      </c>
      <c r="G419" t="s">
        <v>4040</v>
      </c>
      <c r="H419" t="s">
        <v>4058</v>
      </c>
      <c r="I419" t="s">
        <v>4059</v>
      </c>
      <c r="J419" t="s">
        <v>1501</v>
      </c>
      <c r="K419" t="s">
        <v>4965</v>
      </c>
      <c r="L419" t="s">
        <v>4916</v>
      </c>
      <c r="M419" t="s">
        <v>4917</v>
      </c>
      <c r="N419" t="s">
        <v>164</v>
      </c>
      <c r="O419" t="s">
        <v>4040</v>
      </c>
      <c r="P419" t="s">
        <v>4058</v>
      </c>
      <c r="Q419" t="s">
        <v>4059</v>
      </c>
      <c r="R419" t="s">
        <v>1501</v>
      </c>
      <c r="S419" t="s">
        <v>4965</v>
      </c>
      <c r="T419" t="s">
        <v>4165</v>
      </c>
      <c r="U419" t="s">
        <v>4166</v>
      </c>
      <c r="V419" t="s">
        <v>624</v>
      </c>
      <c r="W419" t="s">
        <v>4140</v>
      </c>
      <c r="X419" t="s">
        <v>4167</v>
      </c>
      <c r="Y419" t="s">
        <v>4168</v>
      </c>
      <c r="Z419" t="s">
        <v>4904</v>
      </c>
      <c r="AA419" t="s">
        <v>4905</v>
      </c>
      <c r="AB419" t="s">
        <v>624</v>
      </c>
      <c r="AC419" t="s">
        <v>6</v>
      </c>
      <c r="AD419" t="s">
        <v>50</v>
      </c>
      <c r="AE419" t="s">
        <v>6</v>
      </c>
      <c r="AF419" t="s">
        <v>9</v>
      </c>
      <c r="AG419" t="s">
        <v>9</v>
      </c>
      <c r="AH419" t="s">
        <v>1266</v>
      </c>
      <c r="AI419" t="s">
        <v>4918</v>
      </c>
      <c r="AJ419" t="s">
        <v>1266</v>
      </c>
      <c r="AK419" t="s">
        <v>4918</v>
      </c>
      <c r="AL419" t="s">
        <v>9</v>
      </c>
    </row>
    <row r="420" spans="1:38" ht="11.25" customHeight="1">
      <c r="A420" t="s">
        <v>9</v>
      </c>
      <c r="B420" t="s">
        <v>36</v>
      </c>
      <c r="C420" t="s">
        <v>38</v>
      </c>
      <c r="D420" t="s">
        <v>9</v>
      </c>
      <c r="E420" t="s">
        <v>4920</v>
      </c>
      <c r="F420" t="s">
        <v>1438</v>
      </c>
      <c r="G420" t="s">
        <v>4040</v>
      </c>
      <c r="H420" t="s">
        <v>4058</v>
      </c>
      <c r="I420" t="s">
        <v>4059</v>
      </c>
      <c r="J420" t="s">
        <v>1501</v>
      </c>
      <c r="K420" t="s">
        <v>4965</v>
      </c>
      <c r="L420" t="s">
        <v>4921</v>
      </c>
      <c r="M420" t="s">
        <v>1465</v>
      </c>
      <c r="N420" t="s">
        <v>164</v>
      </c>
      <c r="O420" t="s">
        <v>4040</v>
      </c>
      <c r="P420" t="s">
        <v>4058</v>
      </c>
      <c r="Q420" t="s">
        <v>4059</v>
      </c>
      <c r="R420" t="s">
        <v>1501</v>
      </c>
      <c r="S420" t="s">
        <v>4965</v>
      </c>
      <c r="T420" t="s">
        <v>4165</v>
      </c>
      <c r="U420" t="s">
        <v>4166</v>
      </c>
      <c r="V420" t="s">
        <v>624</v>
      </c>
      <c r="W420" t="s">
        <v>4140</v>
      </c>
      <c r="X420" t="s">
        <v>4167</v>
      </c>
      <c r="Y420" t="s">
        <v>4168</v>
      </c>
      <c r="Z420" t="s">
        <v>4922</v>
      </c>
      <c r="AA420" t="s">
        <v>4923</v>
      </c>
      <c r="AB420" t="s">
        <v>624</v>
      </c>
      <c r="AC420" t="s">
        <v>50</v>
      </c>
      <c r="AD420" t="s">
        <v>50</v>
      </c>
      <c r="AE420" t="s">
        <v>50</v>
      </c>
      <c r="AF420" t="s">
        <v>4614</v>
      </c>
      <c r="AG420" t="s">
        <v>4924</v>
      </c>
      <c r="AH420" t="s">
        <v>4614</v>
      </c>
      <c r="AI420" t="s">
        <v>4924</v>
      </c>
      <c r="AJ420" t="s">
        <v>4614</v>
      </c>
      <c r="AK420" t="s">
        <v>4924</v>
      </c>
      <c r="AL420" t="s">
        <v>4146</v>
      </c>
    </row>
    <row r="421" spans="1:38" ht="11.25" customHeight="1">
      <c r="A421" t="s">
        <v>9</v>
      </c>
      <c r="B421" t="s">
        <v>36</v>
      </c>
      <c r="C421" t="s">
        <v>38</v>
      </c>
      <c r="D421" t="s">
        <v>9</v>
      </c>
      <c r="E421" t="s">
        <v>4518</v>
      </c>
      <c r="F421" t="s">
        <v>1438</v>
      </c>
      <c r="G421" t="s">
        <v>4040</v>
      </c>
      <c r="H421" t="s">
        <v>4058</v>
      </c>
      <c r="I421" t="s">
        <v>4059</v>
      </c>
      <c r="J421" t="s">
        <v>1501</v>
      </c>
      <c r="K421" t="s">
        <v>4965</v>
      </c>
      <c r="L421" t="s">
        <v>4925</v>
      </c>
      <c r="M421" t="s">
        <v>1442</v>
      </c>
      <c r="N421" t="s">
        <v>164</v>
      </c>
      <c r="O421" t="s">
        <v>4040</v>
      </c>
      <c r="P421" t="s">
        <v>4058</v>
      </c>
      <c r="Q421" t="s">
        <v>4059</v>
      </c>
      <c r="R421" t="s">
        <v>1501</v>
      </c>
      <c r="S421" t="s">
        <v>4965</v>
      </c>
      <c r="T421" t="s">
        <v>4165</v>
      </c>
      <c r="U421" t="s">
        <v>4166</v>
      </c>
      <c r="V421" t="s">
        <v>624</v>
      </c>
      <c r="W421" t="s">
        <v>4140</v>
      </c>
      <c r="X421" t="s">
        <v>4167</v>
      </c>
      <c r="Y421" t="s">
        <v>4168</v>
      </c>
      <c r="Z421" t="s">
        <v>4904</v>
      </c>
      <c r="AA421" t="s">
        <v>4905</v>
      </c>
      <c r="AB421" t="s">
        <v>624</v>
      </c>
      <c r="AC421" t="s">
        <v>50</v>
      </c>
      <c r="AD421" t="s">
        <v>50</v>
      </c>
      <c r="AE421" t="s">
        <v>50</v>
      </c>
      <c r="AF421" t="s">
        <v>4926</v>
      </c>
      <c r="AG421" t="s">
        <v>4927</v>
      </c>
      <c r="AH421" t="s">
        <v>4926</v>
      </c>
      <c r="AI421" t="s">
        <v>4927</v>
      </c>
      <c r="AJ421" t="s">
        <v>4926</v>
      </c>
      <c r="AK421" t="s">
        <v>4927</v>
      </c>
      <c r="AL421" t="s">
        <v>4146</v>
      </c>
    </row>
    <row r="422" spans="1:38" ht="11.25" customHeight="1">
      <c r="A422" t="s">
        <v>9</v>
      </c>
      <c r="B422" t="s">
        <v>36</v>
      </c>
      <c r="C422" t="s">
        <v>38</v>
      </c>
      <c r="D422" t="s">
        <v>9</v>
      </c>
      <c r="E422" t="s">
        <v>1449</v>
      </c>
      <c r="F422" t="s">
        <v>1438</v>
      </c>
      <c r="G422" t="s">
        <v>4040</v>
      </c>
      <c r="H422" t="s">
        <v>4058</v>
      </c>
      <c r="I422" t="s">
        <v>4059</v>
      </c>
      <c r="J422" t="s">
        <v>1501</v>
      </c>
      <c r="K422" t="s">
        <v>4965</v>
      </c>
      <c r="L422" t="s">
        <v>4447</v>
      </c>
      <c r="M422" t="s">
        <v>1442</v>
      </c>
      <c r="N422" t="s">
        <v>164</v>
      </c>
      <c r="O422" t="s">
        <v>4040</v>
      </c>
      <c r="P422" t="s">
        <v>4058</v>
      </c>
      <c r="Q422" t="s">
        <v>4059</v>
      </c>
      <c r="R422" t="s">
        <v>1501</v>
      </c>
      <c r="S422" t="s">
        <v>4965</v>
      </c>
      <c r="T422" t="s">
        <v>4138</v>
      </c>
      <c r="U422" t="s">
        <v>4139</v>
      </c>
      <c r="V422" t="s">
        <v>624</v>
      </c>
      <c r="W422" t="s">
        <v>4140</v>
      </c>
      <c r="X422" t="s">
        <v>4141</v>
      </c>
      <c r="Y422" t="s">
        <v>4142</v>
      </c>
      <c r="Z422" t="s">
        <v>4928</v>
      </c>
      <c r="AA422" t="s">
        <v>4929</v>
      </c>
      <c r="AB422" t="s">
        <v>624</v>
      </c>
      <c r="AC422" t="s">
        <v>50</v>
      </c>
      <c r="AD422" t="s">
        <v>50</v>
      </c>
      <c r="AE422" t="s">
        <v>50</v>
      </c>
      <c r="AF422" t="s">
        <v>114</v>
      </c>
      <c r="AG422" t="s">
        <v>4930</v>
      </c>
      <c r="AH422" t="s">
        <v>114</v>
      </c>
      <c r="AI422" t="s">
        <v>4930</v>
      </c>
      <c r="AJ422" t="s">
        <v>114</v>
      </c>
      <c r="AK422" t="s">
        <v>4930</v>
      </c>
      <c r="AL422" t="s">
        <v>4146</v>
      </c>
    </row>
    <row r="423" spans="1:38" ht="11.25" customHeight="1">
      <c r="A423" t="s">
        <v>9</v>
      </c>
      <c r="B423" t="s">
        <v>36</v>
      </c>
      <c r="C423" t="s">
        <v>38</v>
      </c>
      <c r="D423" t="s">
        <v>9</v>
      </c>
      <c r="E423" t="s">
        <v>4155</v>
      </c>
      <c r="F423" t="s">
        <v>4148</v>
      </c>
      <c r="G423" t="s">
        <v>4040</v>
      </c>
      <c r="H423" t="s">
        <v>4058</v>
      </c>
      <c r="I423" t="s">
        <v>4059</v>
      </c>
      <c r="J423" t="s">
        <v>1501</v>
      </c>
      <c r="K423" t="s">
        <v>4965</v>
      </c>
      <c r="L423" t="s">
        <v>4447</v>
      </c>
      <c r="M423" t="s">
        <v>1442</v>
      </c>
      <c r="N423" t="s">
        <v>164</v>
      </c>
      <c r="O423" t="s">
        <v>4040</v>
      </c>
      <c r="P423" t="s">
        <v>4058</v>
      </c>
      <c r="Q423" t="s">
        <v>4059</v>
      </c>
      <c r="R423" t="s">
        <v>1501</v>
      </c>
      <c r="S423" t="s">
        <v>4965</v>
      </c>
      <c r="T423" t="s">
        <v>4138</v>
      </c>
      <c r="U423" t="s">
        <v>4139</v>
      </c>
      <c r="V423" t="s">
        <v>624</v>
      </c>
      <c r="W423" t="s">
        <v>4140</v>
      </c>
      <c r="X423" t="s">
        <v>4141</v>
      </c>
      <c r="Y423" t="s">
        <v>4142</v>
      </c>
      <c r="Z423" t="s">
        <v>4928</v>
      </c>
      <c r="AA423" t="s">
        <v>4929</v>
      </c>
      <c r="AB423" t="s">
        <v>624</v>
      </c>
      <c r="AC423" t="s">
        <v>6</v>
      </c>
      <c r="AD423" t="s">
        <v>50</v>
      </c>
      <c r="AE423" t="s">
        <v>6</v>
      </c>
      <c r="AF423" t="s">
        <v>9</v>
      </c>
      <c r="AG423" t="s">
        <v>9</v>
      </c>
      <c r="AH423" t="s">
        <v>114</v>
      </c>
      <c r="AI423" t="s">
        <v>4930</v>
      </c>
      <c r="AJ423" t="s">
        <v>114</v>
      </c>
      <c r="AK423" t="s">
        <v>4930</v>
      </c>
      <c r="AL423" t="s">
        <v>9</v>
      </c>
    </row>
    <row r="424" spans="1:38" ht="11.25" customHeight="1">
      <c r="A424" t="s">
        <v>9</v>
      </c>
      <c r="B424" t="s">
        <v>36</v>
      </c>
      <c r="C424" t="s">
        <v>38</v>
      </c>
      <c r="D424" t="s">
        <v>9</v>
      </c>
      <c r="E424" t="s">
        <v>1456</v>
      </c>
      <c r="F424" t="s">
        <v>1438</v>
      </c>
      <c r="G424" t="s">
        <v>4040</v>
      </c>
      <c r="H424" t="s">
        <v>4058</v>
      </c>
      <c r="I424" t="s">
        <v>4059</v>
      </c>
      <c r="J424" t="s">
        <v>1501</v>
      </c>
      <c r="K424" t="s">
        <v>4965</v>
      </c>
      <c r="L424" t="s">
        <v>4931</v>
      </c>
      <c r="M424" t="s">
        <v>4932</v>
      </c>
      <c r="N424" t="s">
        <v>164</v>
      </c>
      <c r="O424" t="s">
        <v>4040</v>
      </c>
      <c r="P424" t="s">
        <v>4058</v>
      </c>
      <c r="Q424" t="s">
        <v>4059</v>
      </c>
      <c r="R424" t="s">
        <v>1501</v>
      </c>
      <c r="S424" t="s">
        <v>4965</v>
      </c>
      <c r="T424" t="s">
        <v>4138</v>
      </c>
      <c r="U424" t="s">
        <v>4139</v>
      </c>
      <c r="V424" t="s">
        <v>624</v>
      </c>
      <c r="W424" t="s">
        <v>4140</v>
      </c>
      <c r="X424" t="s">
        <v>4141</v>
      </c>
      <c r="Y424" t="s">
        <v>4142</v>
      </c>
      <c r="Z424" t="s">
        <v>4933</v>
      </c>
      <c r="AA424" t="s">
        <v>4914</v>
      </c>
      <c r="AB424" t="s">
        <v>624</v>
      </c>
      <c r="AC424" t="s">
        <v>50</v>
      </c>
      <c r="AD424" t="s">
        <v>50</v>
      </c>
      <c r="AE424" t="s">
        <v>50</v>
      </c>
      <c r="AF424" t="s">
        <v>4934</v>
      </c>
      <c r="AG424" t="s">
        <v>734</v>
      </c>
      <c r="AH424" t="s">
        <v>4934</v>
      </c>
      <c r="AI424" t="s">
        <v>734</v>
      </c>
      <c r="AJ424" t="s">
        <v>4934</v>
      </c>
      <c r="AK424" t="s">
        <v>734</v>
      </c>
      <c r="AL424" t="s">
        <v>4146</v>
      </c>
    </row>
    <row r="425" spans="1:38" ht="11.25" customHeight="1">
      <c r="A425" t="s">
        <v>9</v>
      </c>
      <c r="B425" t="s">
        <v>36</v>
      </c>
      <c r="C425" t="s">
        <v>38</v>
      </c>
      <c r="D425" t="s">
        <v>9</v>
      </c>
      <c r="E425" t="s">
        <v>1500</v>
      </c>
      <c r="F425" t="s">
        <v>1438</v>
      </c>
      <c r="G425" t="s">
        <v>4040</v>
      </c>
      <c r="H425" t="s">
        <v>4058</v>
      </c>
      <c r="I425" t="s">
        <v>4059</v>
      </c>
      <c r="J425" t="s">
        <v>1501</v>
      </c>
      <c r="K425" t="s">
        <v>4965</v>
      </c>
      <c r="L425" t="s">
        <v>1503</v>
      </c>
      <c r="M425" t="s">
        <v>1504</v>
      </c>
      <c r="N425" t="s">
        <v>164</v>
      </c>
      <c r="O425" t="s">
        <v>4040</v>
      </c>
      <c r="P425" t="s">
        <v>4058</v>
      </c>
      <c r="Q425" t="s">
        <v>4059</v>
      </c>
      <c r="R425" t="s">
        <v>1501</v>
      </c>
      <c r="S425" t="s">
        <v>4965</v>
      </c>
      <c r="T425" t="s">
        <v>4138</v>
      </c>
      <c r="U425" t="s">
        <v>4139</v>
      </c>
      <c r="V425" t="s">
        <v>624</v>
      </c>
      <c r="W425" t="s">
        <v>4140</v>
      </c>
      <c r="X425" t="s">
        <v>4141</v>
      </c>
      <c r="Y425" t="s">
        <v>4142</v>
      </c>
      <c r="Z425" t="s">
        <v>4935</v>
      </c>
      <c r="AA425" t="s">
        <v>4914</v>
      </c>
      <c r="AB425" t="s">
        <v>624</v>
      </c>
      <c r="AC425" t="s">
        <v>50</v>
      </c>
      <c r="AD425" t="s">
        <v>50</v>
      </c>
      <c r="AE425" t="s">
        <v>50</v>
      </c>
      <c r="AF425" t="s">
        <v>89</v>
      </c>
      <c r="AG425" t="s">
        <v>4173</v>
      </c>
      <c r="AH425" t="s">
        <v>89</v>
      </c>
      <c r="AI425" t="s">
        <v>4173</v>
      </c>
      <c r="AJ425" t="s">
        <v>89</v>
      </c>
      <c r="AK425" t="s">
        <v>4173</v>
      </c>
      <c r="AL425" t="s">
        <v>4146</v>
      </c>
    </row>
    <row r="426" spans="1:38" ht="11.25" customHeight="1">
      <c r="A426" t="s">
        <v>9</v>
      </c>
      <c r="B426" t="s">
        <v>36</v>
      </c>
      <c r="C426" t="s">
        <v>38</v>
      </c>
      <c r="D426" t="s">
        <v>9</v>
      </c>
      <c r="E426" t="s">
        <v>4936</v>
      </c>
      <c r="F426" t="s">
        <v>1457</v>
      </c>
      <c r="G426" t="s">
        <v>4040</v>
      </c>
      <c r="H426" t="s">
        <v>4058</v>
      </c>
      <c r="I426" t="s">
        <v>4059</v>
      </c>
      <c r="J426" t="s">
        <v>1501</v>
      </c>
      <c r="K426" t="s">
        <v>4965</v>
      </c>
      <c r="L426" t="s">
        <v>4937</v>
      </c>
      <c r="M426" t="s">
        <v>1442</v>
      </c>
      <c r="N426" t="s">
        <v>164</v>
      </c>
      <c r="O426" t="s">
        <v>4040</v>
      </c>
      <c r="P426" t="s">
        <v>4058</v>
      </c>
      <c r="Q426" t="s">
        <v>4059</v>
      </c>
      <c r="R426" t="s">
        <v>1501</v>
      </c>
      <c r="S426" t="s">
        <v>4965</v>
      </c>
      <c r="T426" t="s">
        <v>4138</v>
      </c>
      <c r="U426" t="s">
        <v>4139</v>
      </c>
      <c r="V426" t="s">
        <v>624</v>
      </c>
      <c r="W426" t="s">
        <v>4140</v>
      </c>
      <c r="X426" t="s">
        <v>4938</v>
      </c>
      <c r="Y426" t="s">
        <v>4142</v>
      </c>
      <c r="Z426" t="s">
        <v>624</v>
      </c>
      <c r="AA426" t="s">
        <v>4939</v>
      </c>
      <c r="AB426" t="s">
        <v>624</v>
      </c>
      <c r="AC426" t="s">
        <v>50</v>
      </c>
      <c r="AD426" t="s">
        <v>6</v>
      </c>
      <c r="AE426" t="s">
        <v>6</v>
      </c>
      <c r="AF426" t="s">
        <v>164</v>
      </c>
      <c r="AG426" t="s">
        <v>4940</v>
      </c>
      <c r="AH426" t="s">
        <v>9</v>
      </c>
      <c r="AI426" t="s">
        <v>9</v>
      </c>
      <c r="AJ426" t="s">
        <v>9</v>
      </c>
      <c r="AK426" t="s">
        <v>9</v>
      </c>
      <c r="AL426" t="s">
        <v>4268</v>
      </c>
    </row>
    <row r="427" spans="1:38" ht="11.25" customHeight="1">
      <c r="A427" t="s">
        <v>9</v>
      </c>
      <c r="B427" t="s">
        <v>36</v>
      </c>
      <c r="C427" t="s">
        <v>38</v>
      </c>
      <c r="D427" t="s">
        <v>9</v>
      </c>
      <c r="E427" t="s">
        <v>1471</v>
      </c>
      <c r="F427" t="s">
        <v>1438</v>
      </c>
      <c r="G427" t="s">
        <v>4040</v>
      </c>
      <c r="H427" t="s">
        <v>4058</v>
      </c>
      <c r="I427" t="s">
        <v>4059</v>
      </c>
      <c r="J427" t="s">
        <v>1501</v>
      </c>
      <c r="K427" t="s">
        <v>4965</v>
      </c>
      <c r="L427" t="s">
        <v>4941</v>
      </c>
      <c r="M427" t="s">
        <v>1442</v>
      </c>
      <c r="N427" t="s">
        <v>164</v>
      </c>
      <c r="O427" t="s">
        <v>4040</v>
      </c>
      <c r="P427" t="s">
        <v>4058</v>
      </c>
      <c r="Q427" t="s">
        <v>4059</v>
      </c>
      <c r="R427" t="s">
        <v>1501</v>
      </c>
      <c r="S427" t="s">
        <v>4965</v>
      </c>
      <c r="T427" t="s">
        <v>4138</v>
      </c>
      <c r="U427" t="s">
        <v>4139</v>
      </c>
      <c r="V427" t="s">
        <v>624</v>
      </c>
      <c r="W427" t="s">
        <v>4140</v>
      </c>
      <c r="X427" t="s">
        <v>4141</v>
      </c>
      <c r="Y427" t="s">
        <v>4142</v>
      </c>
      <c r="Z427" t="s">
        <v>4942</v>
      </c>
      <c r="AA427" t="s">
        <v>4943</v>
      </c>
      <c r="AB427" t="s">
        <v>624</v>
      </c>
      <c r="AC427" t="s">
        <v>50</v>
      </c>
      <c r="AD427" t="s">
        <v>50</v>
      </c>
      <c r="AE427" t="s">
        <v>50</v>
      </c>
      <c r="AF427" t="s">
        <v>1139</v>
      </c>
      <c r="AG427" t="s">
        <v>4944</v>
      </c>
      <c r="AH427" t="s">
        <v>1139</v>
      </c>
      <c r="AI427" t="s">
        <v>4945</v>
      </c>
      <c r="AJ427" t="s">
        <v>1139</v>
      </c>
      <c r="AK427" t="s">
        <v>4945</v>
      </c>
      <c r="AL427" t="s">
        <v>4146</v>
      </c>
    </row>
    <row r="428" spans="1:38" ht="11.25" customHeight="1">
      <c r="A428" t="s">
        <v>9</v>
      </c>
      <c r="B428" t="s">
        <v>36</v>
      </c>
      <c r="C428" t="s">
        <v>38</v>
      </c>
      <c r="D428" t="s">
        <v>9</v>
      </c>
      <c r="E428" t="s">
        <v>4223</v>
      </c>
      <c r="F428" t="s">
        <v>1438</v>
      </c>
      <c r="G428" t="s">
        <v>4040</v>
      </c>
      <c r="H428" t="s">
        <v>4058</v>
      </c>
      <c r="I428" t="s">
        <v>4059</v>
      </c>
      <c r="J428" t="s">
        <v>1501</v>
      </c>
      <c r="K428" t="s">
        <v>4965</v>
      </c>
      <c r="L428" t="s">
        <v>4946</v>
      </c>
      <c r="M428" t="s">
        <v>1442</v>
      </c>
      <c r="N428" t="s">
        <v>164</v>
      </c>
      <c r="O428" t="s">
        <v>4040</v>
      </c>
      <c r="P428" t="s">
        <v>4058</v>
      </c>
      <c r="Q428" t="s">
        <v>4059</v>
      </c>
      <c r="R428" t="s">
        <v>1501</v>
      </c>
      <c r="S428" t="s">
        <v>4965</v>
      </c>
      <c r="T428" t="s">
        <v>4165</v>
      </c>
      <c r="U428" t="s">
        <v>4168</v>
      </c>
      <c r="V428" t="s">
        <v>624</v>
      </c>
      <c r="W428" t="s">
        <v>4140</v>
      </c>
      <c r="X428" t="s">
        <v>4167</v>
      </c>
      <c r="Y428" t="s">
        <v>4168</v>
      </c>
      <c r="Z428" t="s">
        <v>4947</v>
      </c>
      <c r="AA428" t="s">
        <v>4948</v>
      </c>
      <c r="AB428" t="s">
        <v>624</v>
      </c>
      <c r="AC428" t="s">
        <v>50</v>
      </c>
      <c r="AD428" t="s">
        <v>50</v>
      </c>
      <c r="AE428" t="s">
        <v>50</v>
      </c>
      <c r="AF428" t="s">
        <v>4949</v>
      </c>
      <c r="AG428" t="s">
        <v>4950</v>
      </c>
      <c r="AH428" t="s">
        <v>4949</v>
      </c>
      <c r="AI428" t="s">
        <v>4950</v>
      </c>
      <c r="AJ428" t="s">
        <v>4949</v>
      </c>
      <c r="AK428" t="s">
        <v>4950</v>
      </c>
      <c r="AL428" t="s">
        <v>4146</v>
      </c>
    </row>
    <row r="429" spans="1:38" ht="11.25" customHeight="1">
      <c r="A429" t="s">
        <v>9</v>
      </c>
      <c r="B429" t="s">
        <v>36</v>
      </c>
      <c r="C429" t="s">
        <v>38</v>
      </c>
      <c r="D429" t="s">
        <v>9</v>
      </c>
      <c r="E429" t="s">
        <v>4261</v>
      </c>
      <c r="F429" t="s">
        <v>1438</v>
      </c>
      <c r="G429" t="s">
        <v>4040</v>
      </c>
      <c r="H429" t="s">
        <v>4058</v>
      </c>
      <c r="I429" t="s">
        <v>4059</v>
      </c>
      <c r="J429" t="s">
        <v>1501</v>
      </c>
      <c r="K429" t="s">
        <v>4965</v>
      </c>
      <c r="L429" t="s">
        <v>4951</v>
      </c>
      <c r="M429" t="s">
        <v>4952</v>
      </c>
      <c r="N429" t="s">
        <v>164</v>
      </c>
      <c r="O429" t="s">
        <v>4040</v>
      </c>
      <c r="P429" t="s">
        <v>4058</v>
      </c>
      <c r="Q429" t="s">
        <v>4059</v>
      </c>
      <c r="R429" t="s">
        <v>1501</v>
      </c>
      <c r="S429" t="s">
        <v>4965</v>
      </c>
      <c r="T429" t="s">
        <v>4138</v>
      </c>
      <c r="U429" t="s">
        <v>4139</v>
      </c>
      <c r="V429" t="s">
        <v>624</v>
      </c>
      <c r="W429" t="s">
        <v>4140</v>
      </c>
      <c r="X429" t="s">
        <v>4141</v>
      </c>
      <c r="Y429" t="s">
        <v>4142</v>
      </c>
      <c r="Z429" t="s">
        <v>4953</v>
      </c>
      <c r="AA429" t="s">
        <v>4914</v>
      </c>
      <c r="AB429" t="s">
        <v>624</v>
      </c>
      <c r="AC429" t="s">
        <v>50</v>
      </c>
      <c r="AD429" t="s">
        <v>50</v>
      </c>
      <c r="AE429" t="s">
        <v>50</v>
      </c>
      <c r="AF429" t="s">
        <v>355</v>
      </c>
      <c r="AG429" t="s">
        <v>4524</v>
      </c>
      <c r="AH429" t="s">
        <v>355</v>
      </c>
      <c r="AI429" t="s">
        <v>4524</v>
      </c>
      <c r="AJ429" t="s">
        <v>355</v>
      </c>
      <c r="AK429" t="s">
        <v>4524</v>
      </c>
      <c r="AL429" t="s">
        <v>4146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8"/>
  </cols>
  <sheetData>
    <row r="1" spans="1:2" ht="11.25" customHeight="1">
      <c r="A1" s="118" t="s">
        <v>183</v>
      </c>
      <c r="B1" s="118" t="s">
        <v>4966</v>
      </c>
    </row>
    <row r="2" spans="1:2" ht="11.25" customHeight="1">
      <c r="A2" s="118" t="s">
        <v>86</v>
      </c>
      <c r="B2" s="118" t="s">
        <v>4967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2"/>
    <col min="2" max="2" width="65.28515625" style="1612" customWidth="1"/>
  </cols>
  <sheetData>
    <row r="1" spans="1:2" ht="11.25" customHeight="1">
      <c r="A1" s="763" t="s">
        <v>4968</v>
      </c>
      <c r="B1" s="763" t="s">
        <v>4969</v>
      </c>
    </row>
    <row r="2" spans="1:2" ht="11.25" customHeight="1">
      <c r="A2" s="763">
        <v>4213775</v>
      </c>
      <c r="B2" s="763" t="s">
        <v>1741</v>
      </c>
    </row>
    <row r="3" spans="1:2" ht="11.25" customHeight="1">
      <c r="A3" s="763">
        <v>4213784</v>
      </c>
      <c r="B3" s="763" t="s">
        <v>1773</v>
      </c>
    </row>
    <row r="4" spans="1:2" ht="11.25" customHeight="1">
      <c r="A4" s="763">
        <v>4213781</v>
      </c>
      <c r="B4" s="763" t="s">
        <v>1766</v>
      </c>
    </row>
    <row r="5" spans="1:2" ht="11.25" customHeight="1">
      <c r="A5" s="763">
        <v>4213776</v>
      </c>
      <c r="B5" s="763" t="s">
        <v>213</v>
      </c>
    </row>
    <row r="6" spans="1:2" ht="11.25" customHeight="1">
      <c r="A6" s="763">
        <v>4213777</v>
      </c>
      <c r="B6" s="763" t="s">
        <v>219</v>
      </c>
    </row>
    <row r="7" spans="1:2" ht="11.25" customHeight="1">
      <c r="A7" s="763">
        <v>4213778</v>
      </c>
      <c r="B7" s="763" t="s">
        <v>225</v>
      </c>
    </row>
    <row r="8" spans="1:2" ht="11.25" customHeight="1">
      <c r="A8" s="763">
        <v>4213780</v>
      </c>
      <c r="B8" s="763" t="s">
        <v>231</v>
      </c>
    </row>
    <row r="9" spans="1:2" ht="11.25" customHeight="1">
      <c r="A9" s="763">
        <v>4213779</v>
      </c>
      <c r="B9" s="763" t="s">
        <v>1903</v>
      </c>
    </row>
    <row r="10" spans="1:2" ht="11.25" customHeight="1">
      <c r="A10" s="763">
        <v>4213783</v>
      </c>
      <c r="B10" s="763" t="s">
        <v>1919</v>
      </c>
    </row>
    <row r="11" spans="1:2" ht="11.25" customHeight="1">
      <c r="A11" s="763">
        <v>4213782</v>
      </c>
      <c r="B11" s="763" t="s">
        <v>237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4" hidden="1" customWidth="1"/>
    <col min="2" max="2" width="9.140625" style="1557" hidden="1" customWidth="1"/>
    <col min="3" max="3" width="3" style="1731" customWidth="1"/>
    <col min="4" max="4" width="5" style="1557" customWidth="1"/>
    <col min="5" max="5" width="38" style="1557" customWidth="1"/>
    <col min="6" max="7" width="3" style="1557" customWidth="1"/>
    <col min="8" max="8" width="38" style="1557" customWidth="1"/>
    <col min="9" max="9" width="35" style="1557" customWidth="1"/>
    <col min="10" max="10" width="103" style="1557" customWidth="1"/>
    <col min="11" max="11" width="3" style="1711" customWidth="1"/>
    <col min="12" max="14" width="10" style="1564" customWidth="1"/>
    <col min="15" max="15" width="13" style="1564" customWidth="1"/>
    <col min="16" max="16" width="15" style="1564" customWidth="1"/>
    <col min="17" max="17" width="16" style="1564" customWidth="1"/>
    <col min="18" max="21" width="10" style="1564" customWidth="1"/>
    <col min="22" max="22" width="10.5703125" style="1557" hidden="1"/>
  </cols>
  <sheetData>
    <row r="1" spans="1:22" ht="22.5" hidden="1" customHeight="1">
      <c r="E1" s="346"/>
      <c r="F1" s="346"/>
      <c r="G1" s="346"/>
      <c r="H1" s="3593" t="s">
        <v>397</v>
      </c>
      <c r="I1" s="3593"/>
      <c r="V1" s="1529" t="s">
        <v>1</v>
      </c>
    </row>
    <row r="2" spans="1:22" s="1557" customFormat="1" ht="14.25" hidden="1" customHeight="1">
      <c r="C2" s="1541"/>
      <c r="D2" s="3717" t="s">
        <v>164</v>
      </c>
      <c r="E2" s="3719"/>
      <c r="F2" s="1547"/>
      <c r="G2" s="1542" t="s">
        <v>164</v>
      </c>
      <c r="H2" s="1545"/>
      <c r="I2" s="1543"/>
      <c r="L2" s="1544"/>
      <c r="M2" s="1544"/>
      <c r="N2" s="1544"/>
      <c r="O2" s="1544" t="s">
        <v>427</v>
      </c>
      <c r="P2" s="1544"/>
      <c r="Q2" s="1544"/>
      <c r="R2" s="1546" t="s">
        <v>426</v>
      </c>
      <c r="S2" s="1546" t="s">
        <v>426</v>
      </c>
      <c r="T2" s="1544"/>
      <c r="U2" s="1544"/>
      <c r="V2" s="1540">
        <v>0</v>
      </c>
    </row>
    <row r="3" spans="1:22" s="1557" customFormat="1" ht="14.25" hidden="1" customHeight="1">
      <c r="C3" s="1541"/>
      <c r="D3" s="3718"/>
      <c r="E3" s="3720"/>
      <c r="F3" s="339"/>
      <c r="G3" s="797"/>
      <c r="H3" s="797" t="s">
        <v>428</v>
      </c>
      <c r="I3" s="248"/>
      <c r="L3" s="1544"/>
      <c r="M3" s="1544"/>
      <c r="N3" s="1544"/>
      <c r="O3" s="1544"/>
      <c r="P3" s="1544"/>
      <c r="Q3" s="1544"/>
      <c r="R3" s="1546"/>
      <c r="S3" s="1546"/>
      <c r="T3" s="1544"/>
      <c r="U3" s="1544"/>
      <c r="V3" s="1540">
        <v>0</v>
      </c>
    </row>
    <row r="4" spans="1:22" ht="14.25" hidden="1" customHeight="1">
      <c r="V4" s="1529">
        <v>0</v>
      </c>
    </row>
    <row r="5" spans="1:22" s="1535" customFormat="1" ht="5.25" customHeight="1">
      <c r="C5" s="635"/>
      <c r="D5" s="636"/>
      <c r="E5" s="636"/>
      <c r="F5" s="636"/>
      <c r="G5" s="636"/>
      <c r="H5" s="636" t="s">
        <v>401</v>
      </c>
      <c r="I5" s="636"/>
      <c r="J5" s="636"/>
      <c r="L5" s="1536"/>
      <c r="M5" s="1536"/>
      <c r="N5" s="1536"/>
      <c r="O5" s="1536"/>
      <c r="P5" s="1536"/>
      <c r="Q5" s="1536"/>
      <c r="R5" s="1536"/>
      <c r="S5" s="1536"/>
      <c r="T5" s="1536"/>
      <c r="U5" s="1536"/>
      <c r="V5" s="1535">
        <v>5</v>
      </c>
    </row>
    <row r="6" spans="1:22" ht="29.25" customHeight="1">
      <c r="C6" s="1438"/>
      <c r="D6" s="3721" t="s">
        <v>429</v>
      </c>
      <c r="E6" s="3721"/>
      <c r="F6" s="3721"/>
      <c r="G6" s="3721"/>
      <c r="H6" s="3721"/>
      <c r="I6" s="3721"/>
      <c r="J6" s="425"/>
      <c r="K6" s="1537"/>
      <c r="V6" s="1529">
        <v>28</v>
      </c>
    </row>
    <row r="7" spans="1:22" ht="18" customHeight="1">
      <c r="C7" s="1438"/>
      <c r="D7" s="3667" t="str">
        <f>IF(org=0,"Не определено",org)</f>
        <v>ООО "Смоленскрегионтеплоэнерго"</v>
      </c>
      <c r="E7" s="3667"/>
      <c r="F7" s="3667"/>
      <c r="G7" s="3667"/>
      <c r="H7" s="3667"/>
      <c r="I7" s="3667"/>
      <c r="J7" s="425"/>
      <c r="K7" s="1537"/>
      <c r="V7" s="1529">
        <v>17</v>
      </c>
    </row>
    <row r="8" spans="1:22" s="1534" customFormat="1" ht="5.25" customHeight="1">
      <c r="A8" s="1533"/>
      <c r="C8" s="420"/>
      <c r="D8" s="419"/>
      <c r="E8" s="419"/>
      <c r="F8" s="419"/>
      <c r="G8" s="419"/>
      <c r="H8" s="419"/>
      <c r="I8" s="419"/>
      <c r="J8" s="419"/>
      <c r="L8" s="1536"/>
      <c r="M8" s="1536"/>
      <c r="N8" s="1536"/>
      <c r="O8" s="1536"/>
      <c r="P8" s="1536"/>
      <c r="Q8" s="1536"/>
      <c r="R8" s="1536"/>
      <c r="S8" s="1536"/>
      <c r="T8" s="1536"/>
      <c r="U8" s="1536"/>
      <c r="V8" s="1534">
        <v>5</v>
      </c>
    </row>
    <row r="9" spans="1:22" s="1534" customFormat="1" ht="5.25" customHeight="1">
      <c r="A9" s="1533"/>
      <c r="C9" s="420"/>
      <c r="D9" s="419"/>
      <c r="E9" s="419"/>
      <c r="F9" s="419"/>
      <c r="G9" s="419"/>
      <c r="H9" s="419"/>
      <c r="I9" s="419"/>
      <c r="J9" s="419"/>
      <c r="L9" s="1544"/>
      <c r="M9" s="1544"/>
      <c r="N9" s="1544"/>
      <c r="O9" s="1544"/>
      <c r="P9" s="1544"/>
      <c r="Q9" s="1544"/>
      <c r="R9" s="1544"/>
      <c r="S9" s="1544"/>
      <c r="T9" s="1544"/>
      <c r="U9" s="1544"/>
      <c r="V9" s="1534">
        <v>5</v>
      </c>
    </row>
    <row r="10" spans="1:22" ht="14.65" customHeight="1">
      <c r="C10" s="1438"/>
      <c r="D10" s="3705" t="s">
        <v>345</v>
      </c>
      <c r="E10" s="3706"/>
      <c r="F10" s="3706"/>
      <c r="G10" s="3706"/>
      <c r="H10" s="3706"/>
      <c r="I10" s="3706"/>
      <c r="J10" s="3646" t="s">
        <v>346</v>
      </c>
      <c r="V10" s="1529">
        <v>14</v>
      </c>
    </row>
    <row r="11" spans="1:22" ht="27.4" customHeight="1">
      <c r="C11" s="1438"/>
      <c r="D11" s="3618" t="s">
        <v>76</v>
      </c>
      <c r="E11" s="3646" t="s">
        <v>160</v>
      </c>
      <c r="F11" s="3683" t="s">
        <v>76</v>
      </c>
      <c r="G11" s="3684"/>
      <c r="H11" s="3666" t="s">
        <v>430</v>
      </c>
      <c r="I11" s="3666" t="s">
        <v>431</v>
      </c>
      <c r="J11" s="3646"/>
      <c r="V11" s="1529">
        <v>26</v>
      </c>
    </row>
    <row r="12" spans="1:22" ht="14.65" customHeight="1">
      <c r="C12" s="1438"/>
      <c r="D12" s="3618"/>
      <c r="E12" s="3646"/>
      <c r="F12" s="3688"/>
      <c r="G12" s="3689"/>
      <c r="H12" s="3716"/>
      <c r="I12" s="3716"/>
      <c r="J12" s="3646"/>
      <c r="V12" s="1529">
        <v>14</v>
      </c>
    </row>
    <row r="13" spans="1:22" s="1563" customFormat="1" ht="11.25" hidden="1" customHeight="1">
      <c r="C13" s="432"/>
      <c r="D13" s="433" t="s">
        <v>421</v>
      </c>
      <c r="E13" s="433"/>
      <c r="F13" s="433"/>
      <c r="G13" s="433"/>
      <c r="H13" s="431"/>
      <c r="I13" s="431"/>
      <c r="J13" s="369"/>
      <c r="L13" s="1536"/>
      <c r="M13" s="1536"/>
      <c r="N13" s="1536"/>
      <c r="O13" s="1536"/>
      <c r="P13" s="1536"/>
      <c r="Q13" s="1536"/>
      <c r="R13" s="1536"/>
      <c r="S13" s="1536"/>
      <c r="T13" s="1536"/>
      <c r="U13" s="1536"/>
      <c r="V13" s="430">
        <v>0</v>
      </c>
    </row>
    <row r="14" spans="1:22" ht="14.65" customHeight="1">
      <c r="A14" s="1529"/>
      <c r="C14" s="1438"/>
      <c r="D14" s="3717" t="s">
        <v>164</v>
      </c>
      <c r="E14" s="3719"/>
      <c r="F14" s="1539"/>
      <c r="G14" s="1538" t="s">
        <v>164</v>
      </c>
      <c r="H14" s="1545"/>
      <c r="I14" s="1543"/>
      <c r="J14" s="3660" t="s">
        <v>432</v>
      </c>
      <c r="K14" s="1529"/>
      <c r="R14" s="434" t="s">
        <v>426</v>
      </c>
      <c r="S14" s="434" t="s">
        <v>426</v>
      </c>
      <c r="V14" s="1529">
        <v>14</v>
      </c>
    </row>
    <row r="15" spans="1:22" ht="14.65" customHeight="1">
      <c r="A15" s="1529"/>
      <c r="C15" s="1438"/>
      <c r="D15" s="3718"/>
      <c r="E15" s="3720"/>
      <c r="F15" s="339"/>
      <c r="G15" s="797"/>
      <c r="H15" s="797" t="s">
        <v>428</v>
      </c>
      <c r="I15" s="248"/>
      <c r="J15" s="3661"/>
      <c r="K15" s="1529"/>
      <c r="R15" s="434"/>
      <c r="S15" s="434"/>
      <c r="V15" s="1529">
        <v>14</v>
      </c>
    </row>
    <row r="16" spans="1:22" ht="14.65" customHeight="1">
      <c r="A16" s="1529"/>
      <c r="C16" s="1438"/>
      <c r="D16" s="339"/>
      <c r="E16" s="797" t="s">
        <v>174</v>
      </c>
      <c r="F16" s="248"/>
      <c r="G16" s="248"/>
      <c r="H16" s="340"/>
      <c r="I16" s="340"/>
      <c r="J16" s="3662"/>
      <c r="K16" s="1529"/>
      <c r="V16" s="1529">
        <v>14</v>
      </c>
    </row>
    <row r="17" spans="1:22" ht="14.65" customHeight="1">
      <c r="K17" s="1529"/>
      <c r="V17" s="1529">
        <v>14</v>
      </c>
    </row>
    <row r="18" spans="1:22" ht="22.5" hidden="1" customHeight="1">
      <c r="A18" s="1530" t="s">
        <v>70</v>
      </c>
      <c r="B18" s="1529">
        <v>0</v>
      </c>
      <c r="C18" s="385">
        <v>3</v>
      </c>
      <c r="D18" s="1529">
        <v>5</v>
      </c>
      <c r="E18" s="1529">
        <v>38</v>
      </c>
      <c r="F18" s="1529">
        <v>3</v>
      </c>
      <c r="G18" s="1529">
        <v>3</v>
      </c>
      <c r="H18" s="1529">
        <v>38</v>
      </c>
      <c r="I18" s="1529">
        <v>35</v>
      </c>
      <c r="J18" s="1529">
        <v>103</v>
      </c>
      <c r="K18" s="1531">
        <v>3</v>
      </c>
      <c r="L18" s="1536">
        <v>10</v>
      </c>
      <c r="M18" s="1536">
        <v>10</v>
      </c>
      <c r="N18" s="1536">
        <v>10</v>
      </c>
      <c r="O18" s="1536">
        <v>13</v>
      </c>
      <c r="P18" s="1536">
        <v>15</v>
      </c>
      <c r="Q18" s="1536">
        <v>16</v>
      </c>
      <c r="R18" s="1536">
        <v>10</v>
      </c>
      <c r="S18" s="1536">
        <v>10</v>
      </c>
      <c r="T18" s="1536">
        <v>10</v>
      </c>
      <c r="U18" s="1536">
        <v>10</v>
      </c>
      <c r="V18" s="1529">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2"/>
  </cols>
  <sheetData>
    <row r="1" spans="1:2" ht="11.25" customHeight="1">
      <c r="A1" s="763" t="s">
        <v>4968</v>
      </c>
      <c r="B1" s="2" t="s">
        <v>4970</v>
      </c>
    </row>
    <row r="2" spans="1:2" ht="11.25" customHeight="1">
      <c r="A2" s="763" t="s">
        <v>4971</v>
      </c>
      <c r="B2" t="s">
        <v>2009</v>
      </c>
    </row>
    <row r="3" spans="1:2" ht="11.25" customHeight="1">
      <c r="A3" s="1612" t="s">
        <v>4972</v>
      </c>
      <c r="B3" t="s">
        <v>2018</v>
      </c>
    </row>
    <row r="4" spans="1:2" ht="11.25" customHeight="1">
      <c r="A4" s="1612" t="s">
        <v>4973</v>
      </c>
      <c r="B4" t="s">
        <v>2027</v>
      </c>
    </row>
    <row r="5" spans="1:2" ht="11.25" customHeight="1">
      <c r="A5" s="1612" t="s">
        <v>4974</v>
      </c>
      <c r="B5" t="s">
        <v>2036</v>
      </c>
    </row>
    <row r="6" spans="1:2" ht="11.25" customHeight="1">
      <c r="A6" s="1612" t="s">
        <v>4975</v>
      </c>
      <c r="B6" t="s">
        <v>2041</v>
      </c>
    </row>
    <row r="7" spans="1:2" ht="11.25" customHeight="1">
      <c r="A7" s="1612" t="s">
        <v>4976</v>
      </c>
      <c r="B7" t="s">
        <v>2049</v>
      </c>
    </row>
    <row r="8" spans="1:2" ht="11.25" customHeight="1">
      <c r="A8" s="1612" t="s">
        <v>4977</v>
      </c>
      <c r="B8" t="s">
        <v>2056</v>
      </c>
    </row>
    <row r="9" spans="1:2" ht="11.25" customHeight="1">
      <c r="A9" s="1612" t="s">
        <v>4978</v>
      </c>
      <c r="B9" t="s">
        <v>2062</v>
      </c>
    </row>
    <row r="10" spans="1:2" ht="11.25" customHeight="1">
      <c r="A10" s="1612" t="s">
        <v>4979</v>
      </c>
      <c r="B10" t="s">
        <v>2066</v>
      </c>
    </row>
    <row r="11" spans="1:2" ht="11.25" customHeight="1">
      <c r="A11" s="1612" t="s">
        <v>4980</v>
      </c>
      <c r="B11" t="s">
        <v>2073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1"/>
  <sheetViews>
    <sheetView showGridLines="0" workbookViewId="0"/>
  </sheetViews>
  <sheetFormatPr defaultRowHeight="11.25" customHeight="1"/>
  <sheetData>
    <row r="1" spans="1:7" ht="11.25" customHeight="1">
      <c r="A1" s="307" t="s">
        <v>3544</v>
      </c>
      <c r="B1" s="307" t="s">
        <v>3545</v>
      </c>
      <c r="C1" s="307" t="s">
        <v>3546</v>
      </c>
      <c r="D1" s="307" t="s">
        <v>3547</v>
      </c>
      <c r="E1" t="s">
        <v>3548</v>
      </c>
      <c r="F1" t="s">
        <v>3549</v>
      </c>
      <c r="G1" t="s">
        <v>3550</v>
      </c>
    </row>
    <row r="2" spans="1:7" ht="11.25" customHeight="1">
      <c r="A2" t="s">
        <v>3</v>
      </c>
      <c r="B2" t="s">
        <v>3551</v>
      </c>
      <c r="C2" t="s">
        <v>3552</v>
      </c>
      <c r="D2" t="s">
        <v>3551</v>
      </c>
      <c r="E2" t="s">
        <v>3552</v>
      </c>
      <c r="F2" t="s">
        <v>3553</v>
      </c>
      <c r="G2" t="s">
        <v>164</v>
      </c>
    </row>
    <row r="3" spans="1:7" ht="11.25" customHeight="1">
      <c r="A3" t="s">
        <v>3</v>
      </c>
      <c r="B3" t="s">
        <v>3554</v>
      </c>
      <c r="C3" t="s">
        <v>3555</v>
      </c>
      <c r="D3" t="s">
        <v>3554</v>
      </c>
      <c r="E3" t="s">
        <v>3555</v>
      </c>
      <c r="F3" t="s">
        <v>3556</v>
      </c>
      <c r="G3" t="s">
        <v>89</v>
      </c>
    </row>
    <row r="4" spans="1:7" ht="11.25" customHeight="1">
      <c r="A4" t="s">
        <v>3</v>
      </c>
      <c r="B4" t="s">
        <v>3554</v>
      </c>
      <c r="C4" t="s">
        <v>3555</v>
      </c>
      <c r="D4" t="s">
        <v>3557</v>
      </c>
      <c r="E4" t="s">
        <v>3558</v>
      </c>
      <c r="F4" t="s">
        <v>3559</v>
      </c>
      <c r="G4" t="s">
        <v>78</v>
      </c>
    </row>
    <row r="5" spans="1:7" ht="11.25" customHeight="1">
      <c r="A5" t="s">
        <v>3</v>
      </c>
      <c r="B5" t="s">
        <v>3554</v>
      </c>
      <c r="C5" t="s">
        <v>3555</v>
      </c>
      <c r="D5" t="s">
        <v>3560</v>
      </c>
      <c r="E5" t="s">
        <v>3561</v>
      </c>
      <c r="F5" t="s">
        <v>3562</v>
      </c>
      <c r="G5" t="s">
        <v>79</v>
      </c>
    </row>
    <row r="6" spans="1:7" ht="11.25" customHeight="1">
      <c r="A6" t="s">
        <v>3</v>
      </c>
      <c r="B6" t="s">
        <v>3554</v>
      </c>
      <c r="C6" t="s">
        <v>3555</v>
      </c>
      <c r="D6" t="s">
        <v>3563</v>
      </c>
      <c r="E6" t="s">
        <v>3564</v>
      </c>
      <c r="F6" t="s">
        <v>3562</v>
      </c>
      <c r="G6" t="s">
        <v>100</v>
      </c>
    </row>
    <row r="7" spans="1:7" ht="11.25" customHeight="1">
      <c r="A7" t="s">
        <v>3</v>
      </c>
      <c r="B7" t="s">
        <v>3554</v>
      </c>
      <c r="C7" t="s">
        <v>3555</v>
      </c>
      <c r="D7" t="s">
        <v>3565</v>
      </c>
      <c r="E7" t="s">
        <v>3566</v>
      </c>
      <c r="F7" t="s">
        <v>3562</v>
      </c>
      <c r="G7" t="s">
        <v>80</v>
      </c>
    </row>
    <row r="8" spans="1:7" ht="11.25" customHeight="1">
      <c r="A8" t="s">
        <v>3</v>
      </c>
      <c r="B8" t="s">
        <v>3567</v>
      </c>
      <c r="C8" t="s">
        <v>3568</v>
      </c>
      <c r="D8" t="s">
        <v>3569</v>
      </c>
      <c r="E8" t="s">
        <v>3570</v>
      </c>
      <c r="F8" t="s">
        <v>3562</v>
      </c>
      <c r="G8" t="s">
        <v>110</v>
      </c>
    </row>
    <row r="9" spans="1:7" ht="11.25" customHeight="1">
      <c r="A9" t="s">
        <v>3</v>
      </c>
      <c r="B9" t="s">
        <v>3567</v>
      </c>
      <c r="C9" t="s">
        <v>3568</v>
      </c>
      <c r="D9" t="s">
        <v>3567</v>
      </c>
      <c r="E9" t="s">
        <v>3568</v>
      </c>
      <c r="F9" t="s">
        <v>3556</v>
      </c>
      <c r="G9" t="s">
        <v>114</v>
      </c>
    </row>
    <row r="10" spans="1:7" ht="11.25" customHeight="1">
      <c r="A10" t="s">
        <v>3</v>
      </c>
      <c r="B10" t="s">
        <v>3567</v>
      </c>
      <c r="C10" t="s">
        <v>3568</v>
      </c>
      <c r="D10" t="s">
        <v>3571</v>
      </c>
      <c r="E10" t="s">
        <v>3572</v>
      </c>
      <c r="F10" t="s">
        <v>3559</v>
      </c>
      <c r="G10" t="s">
        <v>118</v>
      </c>
    </row>
    <row r="11" spans="1:7" ht="11.25" customHeight="1">
      <c r="A11" t="s">
        <v>3</v>
      </c>
      <c r="B11" t="s">
        <v>3567</v>
      </c>
      <c r="C11" t="s">
        <v>3568</v>
      </c>
      <c r="D11" t="s">
        <v>3573</v>
      </c>
      <c r="E11" t="s">
        <v>3574</v>
      </c>
      <c r="F11" t="s">
        <v>3562</v>
      </c>
      <c r="G11" t="s">
        <v>122</v>
      </c>
    </row>
    <row r="12" spans="1:7" ht="11.25" customHeight="1">
      <c r="A12" t="s">
        <v>3</v>
      </c>
      <c r="B12" t="s">
        <v>3567</v>
      </c>
      <c r="C12" t="s">
        <v>3568</v>
      </c>
      <c r="D12" t="s">
        <v>3575</v>
      </c>
      <c r="E12" t="s">
        <v>3576</v>
      </c>
      <c r="F12" t="s">
        <v>3562</v>
      </c>
      <c r="G12" t="s">
        <v>126</v>
      </c>
    </row>
    <row r="13" spans="1:7" ht="11.25" customHeight="1">
      <c r="A13" t="s">
        <v>3</v>
      </c>
      <c r="B13" t="s">
        <v>3567</v>
      </c>
      <c r="C13" t="s">
        <v>3568</v>
      </c>
      <c r="D13" t="s">
        <v>3577</v>
      </c>
      <c r="E13" t="s">
        <v>3578</v>
      </c>
      <c r="F13" t="s">
        <v>3562</v>
      </c>
      <c r="G13" t="s">
        <v>130</v>
      </c>
    </row>
    <row r="14" spans="1:7" ht="11.25" customHeight="1">
      <c r="A14" t="s">
        <v>3</v>
      </c>
      <c r="B14" t="s">
        <v>3567</v>
      </c>
      <c r="C14" t="s">
        <v>3568</v>
      </c>
      <c r="D14" t="s">
        <v>3579</v>
      </c>
      <c r="E14" t="s">
        <v>3580</v>
      </c>
      <c r="F14" t="s">
        <v>3562</v>
      </c>
      <c r="G14" t="s">
        <v>134</v>
      </c>
    </row>
    <row r="15" spans="1:7" ht="11.25" customHeight="1">
      <c r="A15" t="s">
        <v>3</v>
      </c>
      <c r="B15" t="s">
        <v>3567</v>
      </c>
      <c r="C15" t="s">
        <v>3568</v>
      </c>
      <c r="D15" t="s">
        <v>3581</v>
      </c>
      <c r="E15" t="s">
        <v>3582</v>
      </c>
      <c r="F15" t="s">
        <v>3562</v>
      </c>
      <c r="G15" t="s">
        <v>138</v>
      </c>
    </row>
    <row r="16" spans="1:7" ht="11.25" customHeight="1">
      <c r="A16" t="s">
        <v>3</v>
      </c>
      <c r="B16" t="s">
        <v>3567</v>
      </c>
      <c r="C16" t="s">
        <v>3568</v>
      </c>
      <c r="D16" t="s">
        <v>3583</v>
      </c>
      <c r="E16" t="s">
        <v>3584</v>
      </c>
      <c r="F16" t="s">
        <v>3562</v>
      </c>
      <c r="G16" t="s">
        <v>142</v>
      </c>
    </row>
    <row r="17" spans="1:7" ht="11.25" customHeight="1">
      <c r="A17" t="s">
        <v>3</v>
      </c>
      <c r="B17" t="s">
        <v>3585</v>
      </c>
      <c r="C17" t="s">
        <v>3586</v>
      </c>
      <c r="D17" t="s">
        <v>3585</v>
      </c>
      <c r="E17" t="s">
        <v>3586</v>
      </c>
      <c r="F17" t="s">
        <v>3556</v>
      </c>
      <c r="G17" t="s">
        <v>149</v>
      </c>
    </row>
    <row r="18" spans="1:7" ht="11.25" customHeight="1">
      <c r="A18" t="s">
        <v>3</v>
      </c>
      <c r="B18" t="s">
        <v>3585</v>
      </c>
      <c r="C18" t="s">
        <v>3586</v>
      </c>
      <c r="D18" t="s">
        <v>3587</v>
      </c>
      <c r="E18" t="s">
        <v>3588</v>
      </c>
      <c r="F18" t="s">
        <v>3559</v>
      </c>
      <c r="G18" t="s">
        <v>153</v>
      </c>
    </row>
    <row r="19" spans="1:7" ht="11.25" customHeight="1">
      <c r="A19" t="s">
        <v>3</v>
      </c>
      <c r="B19" t="s">
        <v>3585</v>
      </c>
      <c r="C19" t="s">
        <v>3586</v>
      </c>
      <c r="D19" t="s">
        <v>3589</v>
      </c>
      <c r="E19" t="s">
        <v>3590</v>
      </c>
      <c r="F19" t="s">
        <v>3562</v>
      </c>
      <c r="G19" t="s">
        <v>2023</v>
      </c>
    </row>
    <row r="20" spans="1:7" ht="11.25" customHeight="1">
      <c r="A20" t="s">
        <v>3</v>
      </c>
      <c r="B20" t="s">
        <v>3585</v>
      </c>
      <c r="C20" t="s">
        <v>3586</v>
      </c>
      <c r="D20" t="s">
        <v>3591</v>
      </c>
      <c r="E20" t="s">
        <v>3592</v>
      </c>
      <c r="F20" t="s">
        <v>3562</v>
      </c>
      <c r="G20" t="s">
        <v>1400</v>
      </c>
    </row>
    <row r="21" spans="1:7" ht="11.25" customHeight="1">
      <c r="A21" t="s">
        <v>3</v>
      </c>
      <c r="B21" t="s">
        <v>3585</v>
      </c>
      <c r="C21" t="s">
        <v>3586</v>
      </c>
      <c r="D21" t="s">
        <v>3593</v>
      </c>
      <c r="E21" t="s">
        <v>3594</v>
      </c>
      <c r="F21" t="s">
        <v>3562</v>
      </c>
      <c r="G21" t="s">
        <v>2045</v>
      </c>
    </row>
    <row r="22" spans="1:7" ht="11.25" customHeight="1">
      <c r="A22" t="s">
        <v>3</v>
      </c>
      <c r="B22" t="s">
        <v>3595</v>
      </c>
      <c r="C22" t="s">
        <v>3596</v>
      </c>
      <c r="D22" t="s">
        <v>3595</v>
      </c>
      <c r="E22" t="s">
        <v>3596</v>
      </c>
      <c r="F22" t="s">
        <v>3553</v>
      </c>
      <c r="G22" t="s">
        <v>2053</v>
      </c>
    </row>
    <row r="23" spans="1:7" ht="11.25" customHeight="1">
      <c r="A23" t="s">
        <v>3</v>
      </c>
      <c r="B23" t="s">
        <v>3597</v>
      </c>
      <c r="C23" t="s">
        <v>3598</v>
      </c>
      <c r="D23" t="s">
        <v>3599</v>
      </c>
      <c r="E23" t="s">
        <v>3600</v>
      </c>
      <c r="F23" t="s">
        <v>3562</v>
      </c>
      <c r="G23" t="s">
        <v>2060</v>
      </c>
    </row>
    <row r="24" spans="1:7" ht="11.25" customHeight="1">
      <c r="A24" t="s">
        <v>3</v>
      </c>
      <c r="B24" t="s">
        <v>3597</v>
      </c>
      <c r="C24" t="s">
        <v>3598</v>
      </c>
      <c r="D24" t="s">
        <v>3597</v>
      </c>
      <c r="E24" t="s">
        <v>3598</v>
      </c>
      <c r="F24" t="s">
        <v>3556</v>
      </c>
      <c r="G24" t="s">
        <v>2064</v>
      </c>
    </row>
    <row r="25" spans="1:7" ht="11.25" customHeight="1">
      <c r="A25" t="s">
        <v>3</v>
      </c>
      <c r="B25" t="s">
        <v>3597</v>
      </c>
      <c r="C25" t="s">
        <v>3598</v>
      </c>
      <c r="D25" t="s">
        <v>3601</v>
      </c>
      <c r="E25" t="s">
        <v>3602</v>
      </c>
      <c r="F25" t="s">
        <v>3562</v>
      </c>
      <c r="G25" t="s">
        <v>2069</v>
      </c>
    </row>
    <row r="26" spans="1:7" ht="11.25" customHeight="1">
      <c r="A26" t="s">
        <v>3</v>
      </c>
      <c r="B26" t="s">
        <v>3597</v>
      </c>
      <c r="C26" t="s">
        <v>3598</v>
      </c>
      <c r="D26" t="s">
        <v>3603</v>
      </c>
      <c r="E26" t="s">
        <v>3604</v>
      </c>
      <c r="F26" t="s">
        <v>3562</v>
      </c>
      <c r="G26" t="s">
        <v>1392</v>
      </c>
    </row>
    <row r="27" spans="1:7" ht="11.25" customHeight="1">
      <c r="A27" t="s">
        <v>3</v>
      </c>
      <c r="B27" t="s">
        <v>3605</v>
      </c>
      <c r="C27" t="s">
        <v>3606</v>
      </c>
      <c r="D27" t="s">
        <v>3605</v>
      </c>
      <c r="E27" t="s">
        <v>3606</v>
      </c>
      <c r="F27" t="s">
        <v>3607</v>
      </c>
      <c r="G27" t="s">
        <v>2078</v>
      </c>
    </row>
    <row r="28" spans="1:7" ht="11.25" customHeight="1">
      <c r="A28" t="s">
        <v>3</v>
      </c>
      <c r="B28" t="s">
        <v>3608</v>
      </c>
      <c r="C28" t="s">
        <v>3609</v>
      </c>
      <c r="D28" t="s">
        <v>3608</v>
      </c>
      <c r="E28" t="s">
        <v>3609</v>
      </c>
      <c r="F28" t="s">
        <v>3607</v>
      </c>
      <c r="G28" t="s">
        <v>1352</v>
      </c>
    </row>
    <row r="29" spans="1:7" ht="11.25" customHeight="1">
      <c r="A29" t="s">
        <v>3</v>
      </c>
      <c r="B29" t="s">
        <v>3610</v>
      </c>
      <c r="C29" t="s">
        <v>3611</v>
      </c>
      <c r="D29" t="s">
        <v>3610</v>
      </c>
      <c r="E29" t="s">
        <v>3611</v>
      </c>
      <c r="F29" t="s">
        <v>3553</v>
      </c>
      <c r="G29" t="s">
        <v>1358</v>
      </c>
    </row>
    <row r="30" spans="1:7" ht="11.25" customHeight="1">
      <c r="A30" t="s">
        <v>3</v>
      </c>
      <c r="B30" t="s">
        <v>3612</v>
      </c>
      <c r="C30" t="s">
        <v>3613</v>
      </c>
      <c r="D30" t="s">
        <v>3614</v>
      </c>
      <c r="E30" t="s">
        <v>3615</v>
      </c>
      <c r="F30" t="s">
        <v>3562</v>
      </c>
      <c r="G30" t="s">
        <v>2087</v>
      </c>
    </row>
    <row r="31" spans="1:7" ht="11.25" customHeight="1">
      <c r="A31" t="s">
        <v>3</v>
      </c>
      <c r="B31" t="s">
        <v>3612</v>
      </c>
      <c r="C31" t="s">
        <v>3613</v>
      </c>
      <c r="D31" t="s">
        <v>3612</v>
      </c>
      <c r="E31" t="s">
        <v>3613</v>
      </c>
      <c r="F31" t="s">
        <v>3556</v>
      </c>
      <c r="G31" t="s">
        <v>2089</v>
      </c>
    </row>
    <row r="32" spans="1:7" ht="11.25" customHeight="1">
      <c r="A32" t="s">
        <v>3</v>
      </c>
      <c r="B32" t="s">
        <v>3612</v>
      </c>
      <c r="C32" t="s">
        <v>3613</v>
      </c>
      <c r="D32" t="s">
        <v>3616</v>
      </c>
      <c r="E32" t="s">
        <v>3617</v>
      </c>
      <c r="F32" t="s">
        <v>3559</v>
      </c>
      <c r="G32" t="s">
        <v>1366</v>
      </c>
    </row>
    <row r="33" spans="1:7" ht="11.25" customHeight="1">
      <c r="A33" t="s">
        <v>3</v>
      </c>
      <c r="B33" t="s">
        <v>3612</v>
      </c>
      <c r="C33" t="s">
        <v>3613</v>
      </c>
      <c r="D33" t="s">
        <v>3618</v>
      </c>
      <c r="E33" t="s">
        <v>3619</v>
      </c>
      <c r="F33" t="s">
        <v>3562</v>
      </c>
      <c r="G33" t="s">
        <v>2095</v>
      </c>
    </row>
    <row r="34" spans="1:7" ht="11.25" customHeight="1">
      <c r="A34" t="s">
        <v>3</v>
      </c>
      <c r="B34" t="s">
        <v>3612</v>
      </c>
      <c r="C34" t="s">
        <v>3613</v>
      </c>
      <c r="D34" t="s">
        <v>3620</v>
      </c>
      <c r="E34" t="s">
        <v>3621</v>
      </c>
      <c r="F34" t="s">
        <v>3622</v>
      </c>
      <c r="G34" t="s">
        <v>2100</v>
      </c>
    </row>
    <row r="35" spans="1:7" ht="11.25" customHeight="1">
      <c r="A35" t="s">
        <v>3</v>
      </c>
      <c r="B35" t="s">
        <v>3612</v>
      </c>
      <c r="C35" t="s">
        <v>3613</v>
      </c>
      <c r="D35" t="s">
        <v>3623</v>
      </c>
      <c r="E35" t="s">
        <v>3624</v>
      </c>
      <c r="F35" t="s">
        <v>3562</v>
      </c>
      <c r="G35" t="s">
        <v>2104</v>
      </c>
    </row>
    <row r="36" spans="1:7" ht="11.25" customHeight="1">
      <c r="A36" t="s">
        <v>3</v>
      </c>
      <c r="B36" t="s">
        <v>3612</v>
      </c>
      <c r="C36" t="s">
        <v>3613</v>
      </c>
      <c r="D36" t="s">
        <v>3625</v>
      </c>
      <c r="E36" t="s">
        <v>3626</v>
      </c>
      <c r="F36" t="s">
        <v>3562</v>
      </c>
      <c r="G36" t="s">
        <v>2112</v>
      </c>
    </row>
    <row r="37" spans="1:7" ht="11.25" customHeight="1">
      <c r="A37" t="s">
        <v>3</v>
      </c>
      <c r="B37" t="s">
        <v>3627</v>
      </c>
      <c r="C37" t="s">
        <v>3628</v>
      </c>
      <c r="D37" t="s">
        <v>3629</v>
      </c>
      <c r="E37" t="s">
        <v>3630</v>
      </c>
      <c r="F37" t="s">
        <v>3562</v>
      </c>
      <c r="G37" t="s">
        <v>2122</v>
      </c>
    </row>
    <row r="38" spans="1:7" ht="11.25" customHeight="1">
      <c r="A38" t="s">
        <v>3</v>
      </c>
      <c r="B38" t="s">
        <v>3627</v>
      </c>
      <c r="C38" t="s">
        <v>3628</v>
      </c>
      <c r="D38" t="s">
        <v>3631</v>
      </c>
      <c r="E38" t="s">
        <v>3632</v>
      </c>
      <c r="F38" t="s">
        <v>3622</v>
      </c>
      <c r="G38" t="s">
        <v>2126</v>
      </c>
    </row>
    <row r="39" spans="1:7" ht="11.25" customHeight="1">
      <c r="A39" t="s">
        <v>3</v>
      </c>
      <c r="B39" t="s">
        <v>3627</v>
      </c>
      <c r="C39" t="s">
        <v>3628</v>
      </c>
      <c r="D39" t="s">
        <v>3627</v>
      </c>
      <c r="E39" t="s">
        <v>3628</v>
      </c>
      <c r="F39" t="s">
        <v>3556</v>
      </c>
      <c r="G39" t="s">
        <v>2129</v>
      </c>
    </row>
    <row r="40" spans="1:7" ht="11.25" customHeight="1">
      <c r="A40" t="s">
        <v>3</v>
      </c>
      <c r="B40" t="s">
        <v>3627</v>
      </c>
      <c r="C40" t="s">
        <v>3628</v>
      </c>
      <c r="D40" t="s">
        <v>3633</v>
      </c>
      <c r="E40" t="s">
        <v>3634</v>
      </c>
      <c r="F40" t="s">
        <v>3559</v>
      </c>
      <c r="G40" t="s">
        <v>2136</v>
      </c>
    </row>
    <row r="41" spans="1:7" ht="11.25" customHeight="1">
      <c r="A41" t="s">
        <v>3</v>
      </c>
      <c r="B41" t="s">
        <v>3627</v>
      </c>
      <c r="C41" t="s">
        <v>3628</v>
      </c>
      <c r="D41" t="s">
        <v>3635</v>
      </c>
      <c r="E41" t="s">
        <v>3636</v>
      </c>
      <c r="F41" t="s">
        <v>3562</v>
      </c>
      <c r="G41" t="s">
        <v>2145</v>
      </c>
    </row>
    <row r="42" spans="1:7" ht="11.25" customHeight="1">
      <c r="A42" t="s">
        <v>3</v>
      </c>
      <c r="B42" t="s">
        <v>3627</v>
      </c>
      <c r="C42" t="s">
        <v>3628</v>
      </c>
      <c r="D42" t="s">
        <v>3637</v>
      </c>
      <c r="E42" t="s">
        <v>3638</v>
      </c>
      <c r="F42" t="s">
        <v>3562</v>
      </c>
      <c r="G42" t="s">
        <v>2150</v>
      </c>
    </row>
    <row r="43" spans="1:7" ht="11.25" customHeight="1">
      <c r="A43" t="s">
        <v>3</v>
      </c>
      <c r="B43" t="s">
        <v>3639</v>
      </c>
      <c r="C43" t="s">
        <v>3640</v>
      </c>
      <c r="D43" t="s">
        <v>3641</v>
      </c>
      <c r="E43" t="s">
        <v>3642</v>
      </c>
      <c r="F43" t="s">
        <v>3562</v>
      </c>
      <c r="G43" t="s">
        <v>2158</v>
      </c>
    </row>
    <row r="44" spans="1:7" ht="11.25" customHeight="1">
      <c r="A44" t="s">
        <v>3</v>
      </c>
      <c r="B44" t="s">
        <v>3639</v>
      </c>
      <c r="C44" t="s">
        <v>3640</v>
      </c>
      <c r="D44" t="s">
        <v>3639</v>
      </c>
      <c r="E44" t="s">
        <v>3640</v>
      </c>
      <c r="F44" t="s">
        <v>3556</v>
      </c>
      <c r="G44" t="s">
        <v>2163</v>
      </c>
    </row>
    <row r="45" spans="1:7" ht="11.25" customHeight="1">
      <c r="A45" t="s">
        <v>3</v>
      </c>
      <c r="B45" t="s">
        <v>3639</v>
      </c>
      <c r="C45" t="s">
        <v>3640</v>
      </c>
      <c r="D45" t="s">
        <v>3643</v>
      </c>
      <c r="E45" t="s">
        <v>3644</v>
      </c>
      <c r="F45" t="s">
        <v>3559</v>
      </c>
      <c r="G45" t="s">
        <v>1375</v>
      </c>
    </row>
    <row r="46" spans="1:7" ht="11.25" customHeight="1">
      <c r="A46" t="s">
        <v>3</v>
      </c>
      <c r="B46" t="s">
        <v>3639</v>
      </c>
      <c r="C46" t="s">
        <v>3640</v>
      </c>
      <c r="D46" t="s">
        <v>3645</v>
      </c>
      <c r="E46" t="s">
        <v>3646</v>
      </c>
      <c r="F46" t="s">
        <v>3622</v>
      </c>
      <c r="G46" t="s">
        <v>2169</v>
      </c>
    </row>
    <row r="47" spans="1:7" ht="11.25" customHeight="1">
      <c r="A47" t="s">
        <v>3</v>
      </c>
      <c r="B47" t="s">
        <v>3639</v>
      </c>
      <c r="C47" t="s">
        <v>3640</v>
      </c>
      <c r="D47" t="s">
        <v>3647</v>
      </c>
      <c r="E47" t="s">
        <v>3648</v>
      </c>
      <c r="F47" t="s">
        <v>3562</v>
      </c>
      <c r="G47" t="s">
        <v>2174</v>
      </c>
    </row>
    <row r="48" spans="1:7" ht="11.25" customHeight="1">
      <c r="A48" t="s">
        <v>3</v>
      </c>
      <c r="B48" t="s">
        <v>3639</v>
      </c>
      <c r="C48" t="s">
        <v>3640</v>
      </c>
      <c r="D48" t="s">
        <v>3649</v>
      </c>
      <c r="E48" t="s">
        <v>3650</v>
      </c>
      <c r="F48" t="s">
        <v>3562</v>
      </c>
      <c r="G48" t="s">
        <v>2178</v>
      </c>
    </row>
    <row r="49" spans="1:7" ht="11.25" customHeight="1">
      <c r="A49" t="s">
        <v>3</v>
      </c>
      <c r="B49" t="s">
        <v>3651</v>
      </c>
      <c r="C49" t="s">
        <v>3652</v>
      </c>
      <c r="D49" t="s">
        <v>3653</v>
      </c>
      <c r="E49" t="s">
        <v>3654</v>
      </c>
      <c r="F49" t="s">
        <v>3562</v>
      </c>
      <c r="G49" t="s">
        <v>2182</v>
      </c>
    </row>
    <row r="50" spans="1:7" ht="11.25" customHeight="1">
      <c r="A50" t="s">
        <v>3</v>
      </c>
      <c r="B50" t="s">
        <v>3651</v>
      </c>
      <c r="C50" t="s">
        <v>3652</v>
      </c>
      <c r="D50" t="s">
        <v>3651</v>
      </c>
      <c r="E50" t="s">
        <v>3652</v>
      </c>
      <c r="F50" t="s">
        <v>3556</v>
      </c>
      <c r="G50" t="s">
        <v>2186</v>
      </c>
    </row>
    <row r="51" spans="1:7" ht="11.25" customHeight="1">
      <c r="A51" t="s">
        <v>3</v>
      </c>
      <c r="B51" t="s">
        <v>3651</v>
      </c>
      <c r="C51" t="s">
        <v>3652</v>
      </c>
      <c r="D51" t="s">
        <v>3655</v>
      </c>
      <c r="E51" t="s">
        <v>3656</v>
      </c>
      <c r="F51" t="s">
        <v>3559</v>
      </c>
      <c r="G51" t="s">
        <v>2189</v>
      </c>
    </row>
    <row r="52" spans="1:7" ht="11.25" customHeight="1">
      <c r="A52" t="s">
        <v>3</v>
      </c>
      <c r="B52" t="s">
        <v>3651</v>
      </c>
      <c r="C52" t="s">
        <v>3652</v>
      </c>
      <c r="D52" t="s">
        <v>3657</v>
      </c>
      <c r="E52" t="s">
        <v>3658</v>
      </c>
      <c r="F52" t="s">
        <v>3562</v>
      </c>
      <c r="G52" t="s">
        <v>2193</v>
      </c>
    </row>
    <row r="53" spans="1:7" ht="11.25" customHeight="1">
      <c r="A53" t="s">
        <v>3</v>
      </c>
      <c r="B53" t="s">
        <v>3651</v>
      </c>
      <c r="C53" t="s">
        <v>3652</v>
      </c>
      <c r="D53" t="s">
        <v>3659</v>
      </c>
      <c r="E53" t="s">
        <v>3660</v>
      </c>
      <c r="F53" t="s">
        <v>3562</v>
      </c>
      <c r="G53" t="s">
        <v>2196</v>
      </c>
    </row>
    <row r="54" spans="1:7" ht="11.25" customHeight="1">
      <c r="A54" t="s">
        <v>3</v>
      </c>
      <c r="B54" t="s">
        <v>1527</v>
      </c>
      <c r="C54" t="s">
        <v>3661</v>
      </c>
      <c r="D54" t="s">
        <v>3662</v>
      </c>
      <c r="E54" t="s">
        <v>3663</v>
      </c>
      <c r="F54" t="s">
        <v>3562</v>
      </c>
      <c r="G54" t="s">
        <v>2202</v>
      </c>
    </row>
    <row r="55" spans="1:7" ht="11.25" customHeight="1">
      <c r="A55" t="s">
        <v>3</v>
      </c>
      <c r="B55" t="s">
        <v>1527</v>
      </c>
      <c r="C55" t="s">
        <v>3661</v>
      </c>
      <c r="D55" t="s">
        <v>1527</v>
      </c>
      <c r="E55" t="s">
        <v>3661</v>
      </c>
      <c r="F55" t="s">
        <v>3556</v>
      </c>
      <c r="G55" t="s">
        <v>3664</v>
      </c>
    </row>
    <row r="56" spans="1:7" ht="11.25" customHeight="1">
      <c r="A56" t="s">
        <v>3</v>
      </c>
      <c r="B56" t="s">
        <v>1527</v>
      </c>
      <c r="C56" t="s">
        <v>3661</v>
      </c>
      <c r="D56" t="s">
        <v>1528</v>
      </c>
      <c r="E56" t="s">
        <v>1529</v>
      </c>
      <c r="F56" t="s">
        <v>3562</v>
      </c>
      <c r="G56" t="s">
        <v>3665</v>
      </c>
    </row>
    <row r="57" spans="1:7" ht="11.25" customHeight="1">
      <c r="A57" t="s">
        <v>3</v>
      </c>
      <c r="B57" t="s">
        <v>1527</v>
      </c>
      <c r="C57" t="s">
        <v>3661</v>
      </c>
      <c r="D57" t="s">
        <v>3666</v>
      </c>
      <c r="E57" t="s">
        <v>3667</v>
      </c>
      <c r="F57" t="s">
        <v>3562</v>
      </c>
      <c r="G57" t="s">
        <v>1383</v>
      </c>
    </row>
    <row r="58" spans="1:7" ht="11.25" customHeight="1">
      <c r="A58" t="s">
        <v>3</v>
      </c>
      <c r="B58" t="s">
        <v>1527</v>
      </c>
      <c r="C58" t="s">
        <v>3661</v>
      </c>
      <c r="D58" t="s">
        <v>3668</v>
      </c>
      <c r="E58" t="s">
        <v>3669</v>
      </c>
      <c r="F58" t="s">
        <v>3562</v>
      </c>
      <c r="G58" t="s">
        <v>3670</v>
      </c>
    </row>
    <row r="59" spans="1:7" ht="11.25" customHeight="1">
      <c r="A59" t="s">
        <v>3</v>
      </c>
      <c r="B59" t="s">
        <v>3671</v>
      </c>
      <c r="C59" t="s">
        <v>3672</v>
      </c>
      <c r="D59" t="s">
        <v>3671</v>
      </c>
      <c r="E59" t="s">
        <v>3672</v>
      </c>
      <c r="F59" t="s">
        <v>3553</v>
      </c>
      <c r="G59" t="s">
        <v>3673</v>
      </c>
    </row>
    <row r="60" spans="1:7" ht="11.25" customHeight="1">
      <c r="A60" t="s">
        <v>3</v>
      </c>
      <c r="B60" t="s">
        <v>3674</v>
      </c>
      <c r="C60" t="s">
        <v>3675</v>
      </c>
      <c r="D60" t="s">
        <v>3676</v>
      </c>
      <c r="E60" t="s">
        <v>3677</v>
      </c>
      <c r="F60" t="s">
        <v>3562</v>
      </c>
      <c r="G60" t="s">
        <v>3678</v>
      </c>
    </row>
    <row r="61" spans="1:7" ht="11.25" customHeight="1">
      <c r="A61" t="s">
        <v>3</v>
      </c>
      <c r="B61" t="s">
        <v>3674</v>
      </c>
      <c r="C61" t="s">
        <v>3675</v>
      </c>
      <c r="D61" t="s">
        <v>3674</v>
      </c>
      <c r="E61" t="s">
        <v>3675</v>
      </c>
      <c r="F61" t="s">
        <v>3556</v>
      </c>
      <c r="G61" t="s">
        <v>2513</v>
      </c>
    </row>
    <row r="62" spans="1:7" ht="11.25" customHeight="1">
      <c r="A62" t="s">
        <v>3</v>
      </c>
      <c r="B62" t="s">
        <v>3674</v>
      </c>
      <c r="C62" t="s">
        <v>3675</v>
      </c>
      <c r="D62" t="s">
        <v>3679</v>
      </c>
      <c r="E62" t="s">
        <v>3680</v>
      </c>
      <c r="F62" t="s">
        <v>3622</v>
      </c>
      <c r="G62" t="s">
        <v>3681</v>
      </c>
    </row>
    <row r="63" spans="1:7" ht="11.25" customHeight="1">
      <c r="A63" t="s">
        <v>3</v>
      </c>
      <c r="B63" t="s">
        <v>3674</v>
      </c>
      <c r="C63" t="s">
        <v>3675</v>
      </c>
      <c r="D63" t="s">
        <v>3682</v>
      </c>
      <c r="E63" t="s">
        <v>3683</v>
      </c>
      <c r="F63" t="s">
        <v>3562</v>
      </c>
      <c r="G63" t="s">
        <v>2713</v>
      </c>
    </row>
    <row r="64" spans="1:7" ht="11.25" customHeight="1">
      <c r="A64" t="s">
        <v>3</v>
      </c>
      <c r="B64" t="s">
        <v>3674</v>
      </c>
      <c r="C64" t="s">
        <v>3675</v>
      </c>
      <c r="D64" t="s">
        <v>3684</v>
      </c>
      <c r="E64" t="s">
        <v>3685</v>
      </c>
      <c r="F64" t="s">
        <v>3562</v>
      </c>
      <c r="G64" t="s">
        <v>3686</v>
      </c>
    </row>
    <row r="65" spans="1:7" ht="11.25" customHeight="1">
      <c r="A65" t="s">
        <v>3</v>
      </c>
      <c r="B65" t="s">
        <v>3687</v>
      </c>
      <c r="C65" t="s">
        <v>3688</v>
      </c>
      <c r="D65" t="s">
        <v>3689</v>
      </c>
      <c r="E65" t="s">
        <v>3690</v>
      </c>
      <c r="F65" t="s">
        <v>3562</v>
      </c>
      <c r="G65" t="s">
        <v>3691</v>
      </c>
    </row>
    <row r="66" spans="1:7" ht="11.25" customHeight="1">
      <c r="A66" t="s">
        <v>3</v>
      </c>
      <c r="B66" t="s">
        <v>3687</v>
      </c>
      <c r="C66" t="s">
        <v>3688</v>
      </c>
      <c r="D66" t="s">
        <v>3687</v>
      </c>
      <c r="E66" t="s">
        <v>3688</v>
      </c>
      <c r="F66" t="s">
        <v>3556</v>
      </c>
      <c r="G66" t="s">
        <v>3692</v>
      </c>
    </row>
    <row r="67" spans="1:7" ht="11.25" customHeight="1">
      <c r="A67" t="s">
        <v>3</v>
      </c>
      <c r="B67" t="s">
        <v>3687</v>
      </c>
      <c r="C67" t="s">
        <v>3688</v>
      </c>
      <c r="D67" t="s">
        <v>3693</v>
      </c>
      <c r="E67" t="s">
        <v>3694</v>
      </c>
      <c r="F67" t="s">
        <v>3622</v>
      </c>
      <c r="G67" t="s">
        <v>3695</v>
      </c>
    </row>
    <row r="68" spans="1:7" ht="11.25" customHeight="1">
      <c r="A68" t="s">
        <v>3</v>
      </c>
      <c r="B68" t="s">
        <v>3687</v>
      </c>
      <c r="C68" t="s">
        <v>3688</v>
      </c>
      <c r="D68" t="s">
        <v>3696</v>
      </c>
      <c r="E68" t="s">
        <v>3697</v>
      </c>
      <c r="F68" t="s">
        <v>3562</v>
      </c>
      <c r="G68" t="s">
        <v>3698</v>
      </c>
    </row>
    <row r="69" spans="1:7" ht="11.25" customHeight="1">
      <c r="A69" t="s">
        <v>3</v>
      </c>
      <c r="B69" t="s">
        <v>3687</v>
      </c>
      <c r="C69" t="s">
        <v>3688</v>
      </c>
      <c r="D69" t="s">
        <v>3699</v>
      </c>
      <c r="E69" t="s">
        <v>3700</v>
      </c>
      <c r="F69" t="s">
        <v>3562</v>
      </c>
      <c r="G69" t="s">
        <v>3701</v>
      </c>
    </row>
    <row r="70" spans="1:7" ht="11.25" customHeight="1">
      <c r="A70" t="s">
        <v>3</v>
      </c>
      <c r="B70" t="s">
        <v>3702</v>
      </c>
      <c r="C70" t="s">
        <v>3703</v>
      </c>
      <c r="D70" t="s">
        <v>3704</v>
      </c>
      <c r="E70" t="s">
        <v>3705</v>
      </c>
      <c r="F70" t="s">
        <v>3562</v>
      </c>
      <c r="G70" t="s">
        <v>3706</v>
      </c>
    </row>
    <row r="71" spans="1:7" ht="11.25" customHeight="1">
      <c r="A71" t="s">
        <v>3</v>
      </c>
      <c r="B71" t="s">
        <v>3702</v>
      </c>
      <c r="C71" t="s">
        <v>3703</v>
      </c>
      <c r="D71" t="s">
        <v>3707</v>
      </c>
      <c r="E71" t="s">
        <v>3708</v>
      </c>
      <c r="F71" t="s">
        <v>3562</v>
      </c>
      <c r="G71" t="s">
        <v>3709</v>
      </c>
    </row>
    <row r="72" spans="1:7" ht="11.25" customHeight="1">
      <c r="A72" t="s">
        <v>3</v>
      </c>
      <c r="B72" t="s">
        <v>3702</v>
      </c>
      <c r="C72" t="s">
        <v>3703</v>
      </c>
      <c r="D72" t="s">
        <v>3710</v>
      </c>
      <c r="E72" t="s">
        <v>3711</v>
      </c>
      <c r="F72" t="s">
        <v>3562</v>
      </c>
      <c r="G72" t="s">
        <v>3712</v>
      </c>
    </row>
    <row r="73" spans="1:7" ht="11.25" customHeight="1">
      <c r="A73" t="s">
        <v>3</v>
      </c>
      <c r="B73" t="s">
        <v>3702</v>
      </c>
      <c r="C73" t="s">
        <v>3703</v>
      </c>
      <c r="D73" t="s">
        <v>3713</v>
      </c>
      <c r="E73" t="s">
        <v>3714</v>
      </c>
      <c r="F73" t="s">
        <v>3622</v>
      </c>
      <c r="G73" t="s">
        <v>3715</v>
      </c>
    </row>
    <row r="74" spans="1:7" ht="11.25" customHeight="1">
      <c r="A74" t="s">
        <v>3</v>
      </c>
      <c r="B74" t="s">
        <v>3702</v>
      </c>
      <c r="C74" t="s">
        <v>3703</v>
      </c>
      <c r="D74" t="s">
        <v>3702</v>
      </c>
      <c r="E74" t="s">
        <v>3703</v>
      </c>
      <c r="F74" t="s">
        <v>3556</v>
      </c>
      <c r="G74" t="s">
        <v>3716</v>
      </c>
    </row>
    <row r="75" spans="1:7" ht="11.25" customHeight="1">
      <c r="A75" t="s">
        <v>3</v>
      </c>
      <c r="B75" t="s">
        <v>3702</v>
      </c>
      <c r="C75" t="s">
        <v>3703</v>
      </c>
      <c r="D75" t="s">
        <v>3717</v>
      </c>
      <c r="E75" t="s">
        <v>3718</v>
      </c>
      <c r="F75" t="s">
        <v>3562</v>
      </c>
      <c r="G75" t="s">
        <v>3719</v>
      </c>
    </row>
    <row r="76" spans="1:7" ht="11.25" customHeight="1">
      <c r="A76" t="s">
        <v>3</v>
      </c>
      <c r="B76" t="s">
        <v>3702</v>
      </c>
      <c r="C76" t="s">
        <v>3703</v>
      </c>
      <c r="D76" t="s">
        <v>3720</v>
      </c>
      <c r="E76" t="s">
        <v>3721</v>
      </c>
      <c r="F76" t="s">
        <v>3562</v>
      </c>
      <c r="G76" t="s">
        <v>3722</v>
      </c>
    </row>
    <row r="77" spans="1:7" ht="11.25" customHeight="1">
      <c r="A77" t="s">
        <v>3</v>
      </c>
      <c r="B77" t="s">
        <v>3702</v>
      </c>
      <c r="C77" t="s">
        <v>3703</v>
      </c>
      <c r="D77" t="s">
        <v>3723</v>
      </c>
      <c r="E77" t="s">
        <v>3724</v>
      </c>
      <c r="F77" t="s">
        <v>3562</v>
      </c>
      <c r="G77" t="s">
        <v>3725</v>
      </c>
    </row>
    <row r="78" spans="1:7" ht="11.25" customHeight="1">
      <c r="A78" t="s">
        <v>3</v>
      </c>
      <c r="B78" t="s">
        <v>3726</v>
      </c>
      <c r="C78" t="s">
        <v>3727</v>
      </c>
      <c r="D78" t="s">
        <v>3728</v>
      </c>
      <c r="E78" t="s">
        <v>3729</v>
      </c>
      <c r="F78" t="s">
        <v>3562</v>
      </c>
      <c r="G78" t="s">
        <v>3730</v>
      </c>
    </row>
    <row r="79" spans="1:7" ht="11.25" customHeight="1">
      <c r="A79" t="s">
        <v>3</v>
      </c>
      <c r="B79" t="s">
        <v>3726</v>
      </c>
      <c r="C79" t="s">
        <v>3727</v>
      </c>
      <c r="D79" t="s">
        <v>3731</v>
      </c>
      <c r="E79" t="s">
        <v>3732</v>
      </c>
      <c r="F79" t="s">
        <v>3562</v>
      </c>
      <c r="G79" t="s">
        <v>3733</v>
      </c>
    </row>
    <row r="80" spans="1:7" ht="11.25" customHeight="1">
      <c r="A80" t="s">
        <v>3</v>
      </c>
      <c r="B80" t="s">
        <v>3726</v>
      </c>
      <c r="C80" t="s">
        <v>3727</v>
      </c>
      <c r="D80" t="s">
        <v>3734</v>
      </c>
      <c r="E80" t="s">
        <v>3735</v>
      </c>
      <c r="F80" t="s">
        <v>3562</v>
      </c>
      <c r="G80" t="s">
        <v>3736</v>
      </c>
    </row>
    <row r="81" spans="1:7" ht="11.25" customHeight="1">
      <c r="A81" t="s">
        <v>3</v>
      </c>
      <c r="B81" t="s">
        <v>3726</v>
      </c>
      <c r="C81" t="s">
        <v>3727</v>
      </c>
      <c r="D81" t="s">
        <v>3726</v>
      </c>
      <c r="E81" t="s">
        <v>3727</v>
      </c>
      <c r="F81" t="s">
        <v>3556</v>
      </c>
      <c r="G81" t="s">
        <v>3737</v>
      </c>
    </row>
    <row r="82" spans="1:7" ht="11.25" customHeight="1">
      <c r="A82" t="s">
        <v>3</v>
      </c>
      <c r="B82" t="s">
        <v>3726</v>
      </c>
      <c r="C82" t="s">
        <v>3727</v>
      </c>
      <c r="D82" t="s">
        <v>3738</v>
      </c>
      <c r="E82" t="s">
        <v>3739</v>
      </c>
      <c r="F82" t="s">
        <v>3562</v>
      </c>
      <c r="G82" t="s">
        <v>3740</v>
      </c>
    </row>
    <row r="83" spans="1:7" ht="11.25" customHeight="1">
      <c r="A83" t="s">
        <v>3</v>
      </c>
      <c r="B83" t="s">
        <v>3726</v>
      </c>
      <c r="C83" t="s">
        <v>3727</v>
      </c>
      <c r="D83" t="s">
        <v>3741</v>
      </c>
      <c r="E83" t="s">
        <v>3742</v>
      </c>
      <c r="F83" t="s">
        <v>3562</v>
      </c>
      <c r="G83" t="s">
        <v>3743</v>
      </c>
    </row>
    <row r="84" spans="1:7" ht="11.25" customHeight="1">
      <c r="A84" t="s">
        <v>3</v>
      </c>
      <c r="B84" t="s">
        <v>1508</v>
      </c>
      <c r="C84" t="s">
        <v>3744</v>
      </c>
      <c r="D84" t="s">
        <v>3745</v>
      </c>
      <c r="E84" t="s">
        <v>3746</v>
      </c>
      <c r="F84" t="s">
        <v>3562</v>
      </c>
      <c r="G84" t="s">
        <v>3747</v>
      </c>
    </row>
    <row r="85" spans="1:7" ht="11.25" customHeight="1">
      <c r="A85" t="s">
        <v>3</v>
      </c>
      <c r="B85" t="s">
        <v>1508</v>
      </c>
      <c r="C85" t="s">
        <v>3744</v>
      </c>
      <c r="D85" t="s">
        <v>3748</v>
      </c>
      <c r="E85" t="s">
        <v>3749</v>
      </c>
      <c r="F85" t="s">
        <v>3562</v>
      </c>
      <c r="G85" t="s">
        <v>3750</v>
      </c>
    </row>
    <row r="86" spans="1:7" ht="11.25" customHeight="1">
      <c r="A86" t="s">
        <v>3</v>
      </c>
      <c r="B86" t="s">
        <v>1508</v>
      </c>
      <c r="C86" t="s">
        <v>3744</v>
      </c>
      <c r="D86" t="s">
        <v>1508</v>
      </c>
      <c r="E86" t="s">
        <v>3744</v>
      </c>
      <c r="F86" t="s">
        <v>3556</v>
      </c>
      <c r="G86" t="s">
        <v>3751</v>
      </c>
    </row>
    <row r="87" spans="1:7" ht="11.25" customHeight="1">
      <c r="A87" t="s">
        <v>3</v>
      </c>
      <c r="B87" t="s">
        <v>1508</v>
      </c>
      <c r="C87" t="s">
        <v>3744</v>
      </c>
      <c r="D87" t="s">
        <v>1509</v>
      </c>
      <c r="E87" t="s">
        <v>1510</v>
      </c>
      <c r="F87" t="s">
        <v>3559</v>
      </c>
      <c r="G87" t="s">
        <v>3752</v>
      </c>
    </row>
    <row r="88" spans="1:7" ht="11.25" customHeight="1">
      <c r="A88" t="s">
        <v>3</v>
      </c>
      <c r="B88" t="s">
        <v>1508</v>
      </c>
      <c r="C88" t="s">
        <v>3744</v>
      </c>
      <c r="D88" t="s">
        <v>3753</v>
      </c>
      <c r="E88" t="s">
        <v>3754</v>
      </c>
      <c r="F88" t="s">
        <v>3562</v>
      </c>
      <c r="G88" t="s">
        <v>3755</v>
      </c>
    </row>
    <row r="89" spans="1:7" ht="11.25" customHeight="1">
      <c r="A89" t="s">
        <v>3</v>
      </c>
      <c r="B89" t="s">
        <v>1508</v>
      </c>
      <c r="C89" t="s">
        <v>3744</v>
      </c>
      <c r="D89" t="s">
        <v>3756</v>
      </c>
      <c r="E89" t="s">
        <v>3757</v>
      </c>
      <c r="F89" t="s">
        <v>3562</v>
      </c>
      <c r="G89" t="s">
        <v>3758</v>
      </c>
    </row>
    <row r="90" spans="1:7" ht="11.25" customHeight="1">
      <c r="A90" t="s">
        <v>3</v>
      </c>
      <c r="B90" t="s">
        <v>1508</v>
      </c>
      <c r="C90" t="s">
        <v>3744</v>
      </c>
      <c r="D90" t="s">
        <v>3759</v>
      </c>
      <c r="E90" t="s">
        <v>3760</v>
      </c>
      <c r="F90" t="s">
        <v>3562</v>
      </c>
      <c r="G90" t="s">
        <v>3761</v>
      </c>
    </row>
    <row r="91" spans="1:7" ht="11.25" customHeight="1">
      <c r="A91" t="s">
        <v>3</v>
      </c>
      <c r="B91" t="s">
        <v>3762</v>
      </c>
      <c r="C91" t="s">
        <v>3763</v>
      </c>
      <c r="D91" t="s">
        <v>3764</v>
      </c>
      <c r="E91" t="s">
        <v>3765</v>
      </c>
      <c r="F91" t="s">
        <v>3562</v>
      </c>
      <c r="G91" t="s">
        <v>3766</v>
      </c>
    </row>
    <row r="92" spans="1:7" ht="11.25" customHeight="1">
      <c r="A92" t="s">
        <v>3</v>
      </c>
      <c r="B92" t="s">
        <v>3762</v>
      </c>
      <c r="C92" t="s">
        <v>3763</v>
      </c>
      <c r="D92" t="s">
        <v>3767</v>
      </c>
      <c r="E92" t="s">
        <v>3768</v>
      </c>
      <c r="F92" t="s">
        <v>3562</v>
      </c>
      <c r="G92" t="s">
        <v>3769</v>
      </c>
    </row>
    <row r="93" spans="1:7" ht="11.25" customHeight="1">
      <c r="A93" t="s">
        <v>3</v>
      </c>
      <c r="B93" t="s">
        <v>3762</v>
      </c>
      <c r="C93" t="s">
        <v>3763</v>
      </c>
      <c r="D93" t="s">
        <v>3770</v>
      </c>
      <c r="E93" t="s">
        <v>3771</v>
      </c>
      <c r="F93" t="s">
        <v>3562</v>
      </c>
      <c r="G93" t="s">
        <v>3772</v>
      </c>
    </row>
    <row r="94" spans="1:7" ht="11.25" customHeight="1">
      <c r="A94" t="s">
        <v>3</v>
      </c>
      <c r="B94" t="s">
        <v>3762</v>
      </c>
      <c r="C94" t="s">
        <v>3763</v>
      </c>
      <c r="D94" t="s">
        <v>3773</v>
      </c>
      <c r="E94" t="s">
        <v>3774</v>
      </c>
      <c r="F94" t="s">
        <v>3562</v>
      </c>
      <c r="G94" t="s">
        <v>3775</v>
      </c>
    </row>
    <row r="95" spans="1:7" ht="11.25" customHeight="1">
      <c r="A95" t="s">
        <v>3</v>
      </c>
      <c r="B95" t="s">
        <v>3762</v>
      </c>
      <c r="C95" t="s">
        <v>3763</v>
      </c>
      <c r="D95" t="s">
        <v>3776</v>
      </c>
      <c r="E95" t="s">
        <v>3777</v>
      </c>
      <c r="F95" t="s">
        <v>3562</v>
      </c>
      <c r="G95" t="s">
        <v>3778</v>
      </c>
    </row>
    <row r="96" spans="1:7" ht="11.25" customHeight="1">
      <c r="A96" t="s">
        <v>3</v>
      </c>
      <c r="B96" t="s">
        <v>3762</v>
      </c>
      <c r="C96" t="s">
        <v>3763</v>
      </c>
      <c r="D96" t="s">
        <v>3779</v>
      </c>
      <c r="E96" t="s">
        <v>3780</v>
      </c>
      <c r="F96" t="s">
        <v>3562</v>
      </c>
      <c r="G96" t="s">
        <v>3781</v>
      </c>
    </row>
    <row r="97" spans="1:7" ht="11.25" customHeight="1">
      <c r="A97" t="s">
        <v>3</v>
      </c>
      <c r="B97" t="s">
        <v>3762</v>
      </c>
      <c r="C97" t="s">
        <v>3763</v>
      </c>
      <c r="D97" t="s">
        <v>3782</v>
      </c>
      <c r="E97" t="s">
        <v>3783</v>
      </c>
      <c r="F97" t="s">
        <v>3562</v>
      </c>
      <c r="G97" t="s">
        <v>3784</v>
      </c>
    </row>
    <row r="98" spans="1:7" ht="11.25" customHeight="1">
      <c r="A98" t="s">
        <v>3</v>
      </c>
      <c r="B98" t="s">
        <v>3762</v>
      </c>
      <c r="C98" t="s">
        <v>3763</v>
      </c>
      <c r="D98" t="s">
        <v>3785</v>
      </c>
      <c r="E98" t="s">
        <v>3786</v>
      </c>
      <c r="F98" t="s">
        <v>3562</v>
      </c>
      <c r="G98" t="s">
        <v>3787</v>
      </c>
    </row>
    <row r="99" spans="1:7" ht="11.25" customHeight="1">
      <c r="A99" t="s">
        <v>3</v>
      </c>
      <c r="B99" t="s">
        <v>3762</v>
      </c>
      <c r="C99" t="s">
        <v>3763</v>
      </c>
      <c r="D99" t="s">
        <v>3762</v>
      </c>
      <c r="E99" t="s">
        <v>3763</v>
      </c>
      <c r="F99" t="s">
        <v>3556</v>
      </c>
      <c r="G99" t="s">
        <v>3788</v>
      </c>
    </row>
    <row r="100" spans="1:7" ht="11.25" customHeight="1">
      <c r="A100" t="s">
        <v>3</v>
      </c>
      <c r="B100" t="s">
        <v>3762</v>
      </c>
      <c r="C100" t="s">
        <v>3763</v>
      </c>
      <c r="D100" t="s">
        <v>3789</v>
      </c>
      <c r="E100" t="s">
        <v>3790</v>
      </c>
      <c r="F100" t="s">
        <v>3559</v>
      </c>
      <c r="G100" t="s">
        <v>3791</v>
      </c>
    </row>
    <row r="101" spans="1:7" ht="11.25" customHeight="1">
      <c r="A101" t="s">
        <v>3</v>
      </c>
      <c r="B101" t="s">
        <v>3762</v>
      </c>
      <c r="C101" t="s">
        <v>3763</v>
      </c>
      <c r="D101" t="s">
        <v>3792</v>
      </c>
      <c r="E101" t="s">
        <v>3793</v>
      </c>
      <c r="F101" t="s">
        <v>3562</v>
      </c>
      <c r="G101" t="s">
        <v>3794</v>
      </c>
    </row>
    <row r="102" spans="1:7" ht="11.25" customHeight="1">
      <c r="A102" t="s">
        <v>3</v>
      </c>
      <c r="B102" t="s">
        <v>3795</v>
      </c>
      <c r="C102" t="s">
        <v>3796</v>
      </c>
      <c r="D102" t="s">
        <v>3797</v>
      </c>
      <c r="E102" t="s">
        <v>3798</v>
      </c>
      <c r="F102" t="s">
        <v>3622</v>
      </c>
      <c r="G102" t="s">
        <v>3799</v>
      </c>
    </row>
    <row r="103" spans="1:7" ht="11.25" customHeight="1">
      <c r="A103" t="s">
        <v>3</v>
      </c>
      <c r="B103" t="s">
        <v>3795</v>
      </c>
      <c r="C103" t="s">
        <v>3796</v>
      </c>
      <c r="D103" t="s">
        <v>3800</v>
      </c>
      <c r="E103" t="s">
        <v>3801</v>
      </c>
      <c r="F103" t="s">
        <v>3562</v>
      </c>
      <c r="G103" t="s">
        <v>3802</v>
      </c>
    </row>
    <row r="104" spans="1:7" ht="11.25" customHeight="1">
      <c r="A104" t="s">
        <v>3</v>
      </c>
      <c r="B104" t="s">
        <v>3795</v>
      </c>
      <c r="C104" t="s">
        <v>3796</v>
      </c>
      <c r="D104" t="s">
        <v>3803</v>
      </c>
      <c r="E104" t="s">
        <v>3804</v>
      </c>
      <c r="F104" t="s">
        <v>3562</v>
      </c>
      <c r="G104" t="s">
        <v>3805</v>
      </c>
    </row>
    <row r="105" spans="1:7" ht="11.25" customHeight="1">
      <c r="A105" t="s">
        <v>3</v>
      </c>
      <c r="B105" t="s">
        <v>3795</v>
      </c>
      <c r="C105" t="s">
        <v>3796</v>
      </c>
      <c r="D105" t="s">
        <v>3806</v>
      </c>
      <c r="E105" t="s">
        <v>3807</v>
      </c>
      <c r="F105" t="s">
        <v>3562</v>
      </c>
      <c r="G105" t="s">
        <v>3808</v>
      </c>
    </row>
    <row r="106" spans="1:7" ht="11.25" customHeight="1">
      <c r="A106" t="s">
        <v>3</v>
      </c>
      <c r="B106" t="s">
        <v>3795</v>
      </c>
      <c r="C106" t="s">
        <v>3796</v>
      </c>
      <c r="D106" t="s">
        <v>3795</v>
      </c>
      <c r="E106" t="s">
        <v>3796</v>
      </c>
      <c r="F106" t="s">
        <v>3556</v>
      </c>
      <c r="G106" t="s">
        <v>3809</v>
      </c>
    </row>
    <row r="107" spans="1:7" ht="11.25" customHeight="1">
      <c r="A107" t="s">
        <v>3</v>
      </c>
      <c r="B107" t="s">
        <v>3795</v>
      </c>
      <c r="C107" t="s">
        <v>3796</v>
      </c>
      <c r="D107" t="s">
        <v>3810</v>
      </c>
      <c r="E107" t="s">
        <v>3811</v>
      </c>
      <c r="F107" t="s">
        <v>3559</v>
      </c>
      <c r="G107" t="s">
        <v>3812</v>
      </c>
    </row>
    <row r="108" spans="1:7" ht="11.25" customHeight="1">
      <c r="A108" t="s">
        <v>3</v>
      </c>
      <c r="B108" t="s">
        <v>3795</v>
      </c>
      <c r="C108" t="s">
        <v>3796</v>
      </c>
      <c r="D108" t="s">
        <v>3813</v>
      </c>
      <c r="E108" t="s">
        <v>3814</v>
      </c>
      <c r="F108" t="s">
        <v>3562</v>
      </c>
      <c r="G108" t="s">
        <v>3815</v>
      </c>
    </row>
    <row r="109" spans="1:7" ht="11.25" customHeight="1">
      <c r="A109" t="s">
        <v>3</v>
      </c>
      <c r="B109" t="s">
        <v>3816</v>
      </c>
      <c r="C109" t="s">
        <v>3817</v>
      </c>
      <c r="D109" t="s">
        <v>3818</v>
      </c>
      <c r="E109" t="s">
        <v>3819</v>
      </c>
      <c r="F109" t="s">
        <v>3562</v>
      </c>
      <c r="G109" t="s">
        <v>3820</v>
      </c>
    </row>
    <row r="110" spans="1:7" ht="11.25" customHeight="1">
      <c r="A110" t="s">
        <v>3</v>
      </c>
      <c r="B110" t="s">
        <v>3816</v>
      </c>
      <c r="C110" t="s">
        <v>3817</v>
      </c>
      <c r="D110" t="s">
        <v>3821</v>
      </c>
      <c r="E110" t="s">
        <v>3822</v>
      </c>
      <c r="F110" t="s">
        <v>3562</v>
      </c>
      <c r="G110" t="s">
        <v>3823</v>
      </c>
    </row>
    <row r="111" spans="1:7" ht="11.25" customHeight="1">
      <c r="A111" t="s">
        <v>3</v>
      </c>
      <c r="B111" t="s">
        <v>3816</v>
      </c>
      <c r="C111" t="s">
        <v>3817</v>
      </c>
      <c r="D111" t="s">
        <v>3824</v>
      </c>
      <c r="E111" t="s">
        <v>3825</v>
      </c>
      <c r="F111" t="s">
        <v>3562</v>
      </c>
      <c r="G111" t="s">
        <v>3826</v>
      </c>
    </row>
    <row r="112" spans="1:7" ht="11.25" customHeight="1">
      <c r="A112" t="s">
        <v>3</v>
      </c>
      <c r="B112" t="s">
        <v>3816</v>
      </c>
      <c r="C112" t="s">
        <v>3817</v>
      </c>
      <c r="D112" t="s">
        <v>3827</v>
      </c>
      <c r="E112" t="s">
        <v>3828</v>
      </c>
      <c r="F112" t="s">
        <v>3562</v>
      </c>
      <c r="G112" t="s">
        <v>3829</v>
      </c>
    </row>
    <row r="113" spans="1:7" ht="11.25" customHeight="1">
      <c r="A113" t="s">
        <v>3</v>
      </c>
      <c r="B113" t="s">
        <v>3816</v>
      </c>
      <c r="C113" t="s">
        <v>3817</v>
      </c>
      <c r="D113" t="s">
        <v>3830</v>
      </c>
      <c r="E113" t="s">
        <v>3831</v>
      </c>
      <c r="F113" t="s">
        <v>3562</v>
      </c>
      <c r="G113" t="s">
        <v>3832</v>
      </c>
    </row>
    <row r="114" spans="1:7" ht="11.25" customHeight="1">
      <c r="A114" t="s">
        <v>3</v>
      </c>
      <c r="B114" t="s">
        <v>3816</v>
      </c>
      <c r="C114" t="s">
        <v>3817</v>
      </c>
      <c r="D114" t="s">
        <v>3833</v>
      </c>
      <c r="E114" t="s">
        <v>3834</v>
      </c>
      <c r="F114" t="s">
        <v>3562</v>
      </c>
      <c r="G114" t="s">
        <v>3835</v>
      </c>
    </row>
    <row r="115" spans="1:7" ht="11.25" customHeight="1">
      <c r="A115" t="s">
        <v>3</v>
      </c>
      <c r="B115" t="s">
        <v>3816</v>
      </c>
      <c r="C115" t="s">
        <v>3817</v>
      </c>
      <c r="D115" t="s">
        <v>3836</v>
      </c>
      <c r="E115" t="s">
        <v>3837</v>
      </c>
      <c r="F115" t="s">
        <v>3562</v>
      </c>
      <c r="G115" t="s">
        <v>3838</v>
      </c>
    </row>
    <row r="116" spans="1:7" ht="11.25" customHeight="1">
      <c r="A116" t="s">
        <v>3</v>
      </c>
      <c r="B116" t="s">
        <v>3816</v>
      </c>
      <c r="C116" t="s">
        <v>3817</v>
      </c>
      <c r="D116" t="s">
        <v>3839</v>
      </c>
      <c r="E116" t="s">
        <v>3840</v>
      </c>
      <c r="F116" t="s">
        <v>3562</v>
      </c>
      <c r="G116" t="s">
        <v>3841</v>
      </c>
    </row>
    <row r="117" spans="1:7" ht="11.25" customHeight="1">
      <c r="A117" t="s">
        <v>3</v>
      </c>
      <c r="B117" t="s">
        <v>3816</v>
      </c>
      <c r="C117" t="s">
        <v>3817</v>
      </c>
      <c r="D117" t="s">
        <v>3842</v>
      </c>
      <c r="E117" t="s">
        <v>3843</v>
      </c>
      <c r="F117" t="s">
        <v>3562</v>
      </c>
      <c r="G117" t="s">
        <v>3844</v>
      </c>
    </row>
    <row r="118" spans="1:7" ht="11.25" customHeight="1">
      <c r="A118" t="s">
        <v>3</v>
      </c>
      <c r="B118" t="s">
        <v>3816</v>
      </c>
      <c r="C118" t="s">
        <v>3817</v>
      </c>
      <c r="D118" t="s">
        <v>3845</v>
      </c>
      <c r="E118" t="s">
        <v>3846</v>
      </c>
      <c r="F118" t="s">
        <v>3562</v>
      </c>
      <c r="G118" t="s">
        <v>3847</v>
      </c>
    </row>
    <row r="119" spans="1:7" ht="11.25" customHeight="1">
      <c r="A119" t="s">
        <v>3</v>
      </c>
      <c r="B119" t="s">
        <v>3816</v>
      </c>
      <c r="C119" t="s">
        <v>3817</v>
      </c>
      <c r="D119" t="s">
        <v>3848</v>
      </c>
      <c r="E119" t="s">
        <v>3849</v>
      </c>
      <c r="F119" t="s">
        <v>3562</v>
      </c>
      <c r="G119" t="s">
        <v>3850</v>
      </c>
    </row>
    <row r="120" spans="1:7" ht="11.25" customHeight="1">
      <c r="A120" t="s">
        <v>3</v>
      </c>
      <c r="B120" t="s">
        <v>3816</v>
      </c>
      <c r="C120" t="s">
        <v>3817</v>
      </c>
      <c r="D120" t="s">
        <v>3851</v>
      </c>
      <c r="E120" t="s">
        <v>3852</v>
      </c>
      <c r="F120" t="s">
        <v>3559</v>
      </c>
      <c r="G120" t="s">
        <v>3853</v>
      </c>
    </row>
    <row r="121" spans="1:7" ht="11.25" customHeight="1">
      <c r="A121" t="s">
        <v>3</v>
      </c>
      <c r="B121" t="s">
        <v>3816</v>
      </c>
      <c r="C121" t="s">
        <v>3817</v>
      </c>
      <c r="D121" t="s">
        <v>3816</v>
      </c>
      <c r="E121" t="s">
        <v>3817</v>
      </c>
      <c r="F121" t="s">
        <v>3556</v>
      </c>
      <c r="G121" t="s">
        <v>3854</v>
      </c>
    </row>
    <row r="122" spans="1:7" ht="11.25" customHeight="1">
      <c r="A122" t="s">
        <v>3</v>
      </c>
      <c r="B122" t="s">
        <v>3816</v>
      </c>
      <c r="C122" t="s">
        <v>3817</v>
      </c>
      <c r="D122" t="s">
        <v>3855</v>
      </c>
      <c r="E122" t="s">
        <v>3856</v>
      </c>
      <c r="F122" t="s">
        <v>3562</v>
      </c>
      <c r="G122" t="s">
        <v>3857</v>
      </c>
    </row>
    <row r="123" spans="1:7" ht="11.25" customHeight="1">
      <c r="A123" t="s">
        <v>3</v>
      </c>
      <c r="B123" t="s">
        <v>3858</v>
      </c>
      <c r="C123" t="s">
        <v>3859</v>
      </c>
      <c r="D123" t="s">
        <v>3860</v>
      </c>
      <c r="E123" t="s">
        <v>3861</v>
      </c>
      <c r="F123" t="s">
        <v>3562</v>
      </c>
      <c r="G123" t="s">
        <v>3862</v>
      </c>
    </row>
    <row r="124" spans="1:7" ht="11.25" customHeight="1">
      <c r="A124" t="s">
        <v>3</v>
      </c>
      <c r="B124" t="s">
        <v>3858</v>
      </c>
      <c r="C124" t="s">
        <v>3859</v>
      </c>
      <c r="D124" t="s">
        <v>3863</v>
      </c>
      <c r="E124" t="s">
        <v>3864</v>
      </c>
      <c r="F124" t="s">
        <v>3562</v>
      </c>
      <c r="G124" t="s">
        <v>3865</v>
      </c>
    </row>
    <row r="125" spans="1:7" ht="11.25" customHeight="1">
      <c r="A125" t="s">
        <v>3</v>
      </c>
      <c r="B125" t="s">
        <v>3858</v>
      </c>
      <c r="C125" t="s">
        <v>3859</v>
      </c>
      <c r="D125" t="s">
        <v>3866</v>
      </c>
      <c r="E125" t="s">
        <v>3867</v>
      </c>
      <c r="F125" t="s">
        <v>3562</v>
      </c>
      <c r="G125" t="s">
        <v>3868</v>
      </c>
    </row>
    <row r="126" spans="1:7" ht="11.25" customHeight="1">
      <c r="A126" t="s">
        <v>3</v>
      </c>
      <c r="B126" t="s">
        <v>3858</v>
      </c>
      <c r="C126" t="s">
        <v>3859</v>
      </c>
      <c r="D126" t="s">
        <v>3869</v>
      </c>
      <c r="E126" t="s">
        <v>3870</v>
      </c>
      <c r="F126" t="s">
        <v>3562</v>
      </c>
      <c r="G126" t="s">
        <v>3871</v>
      </c>
    </row>
    <row r="127" spans="1:7" ht="11.25" customHeight="1">
      <c r="A127" t="s">
        <v>3</v>
      </c>
      <c r="B127" t="s">
        <v>3858</v>
      </c>
      <c r="C127" t="s">
        <v>3859</v>
      </c>
      <c r="D127" t="s">
        <v>3872</v>
      </c>
      <c r="E127" t="s">
        <v>3873</v>
      </c>
      <c r="F127" t="s">
        <v>3562</v>
      </c>
      <c r="G127" t="s">
        <v>3874</v>
      </c>
    </row>
    <row r="128" spans="1:7" ht="11.25" customHeight="1">
      <c r="A128" t="s">
        <v>3</v>
      </c>
      <c r="B128" t="s">
        <v>3858</v>
      </c>
      <c r="C128" t="s">
        <v>3859</v>
      </c>
      <c r="D128" t="s">
        <v>3875</v>
      </c>
      <c r="E128" t="s">
        <v>3876</v>
      </c>
      <c r="F128" t="s">
        <v>3562</v>
      </c>
      <c r="G128" t="s">
        <v>3877</v>
      </c>
    </row>
    <row r="129" spans="1:7" ht="11.25" customHeight="1">
      <c r="A129" t="s">
        <v>3</v>
      </c>
      <c r="B129" t="s">
        <v>3858</v>
      </c>
      <c r="C129" t="s">
        <v>3859</v>
      </c>
      <c r="D129" t="s">
        <v>3878</v>
      </c>
      <c r="E129" t="s">
        <v>3879</v>
      </c>
      <c r="F129" t="s">
        <v>3562</v>
      </c>
      <c r="G129" t="s">
        <v>3880</v>
      </c>
    </row>
    <row r="130" spans="1:7" ht="11.25" customHeight="1">
      <c r="A130" t="s">
        <v>3</v>
      </c>
      <c r="B130" t="s">
        <v>3858</v>
      </c>
      <c r="C130" t="s">
        <v>3859</v>
      </c>
      <c r="D130" t="s">
        <v>3881</v>
      </c>
      <c r="E130" t="s">
        <v>3882</v>
      </c>
      <c r="F130" t="s">
        <v>3562</v>
      </c>
      <c r="G130" t="s">
        <v>3883</v>
      </c>
    </row>
    <row r="131" spans="1:7" ht="11.25" customHeight="1">
      <c r="A131" t="s">
        <v>3</v>
      </c>
      <c r="B131" t="s">
        <v>3858</v>
      </c>
      <c r="C131" t="s">
        <v>3859</v>
      </c>
      <c r="D131" t="s">
        <v>3884</v>
      </c>
      <c r="E131" t="s">
        <v>3885</v>
      </c>
      <c r="F131" t="s">
        <v>3562</v>
      </c>
      <c r="G131" t="s">
        <v>3886</v>
      </c>
    </row>
    <row r="132" spans="1:7" ht="11.25" customHeight="1">
      <c r="A132" t="s">
        <v>3</v>
      </c>
      <c r="B132" t="s">
        <v>3858</v>
      </c>
      <c r="C132" t="s">
        <v>3859</v>
      </c>
      <c r="D132" t="s">
        <v>3887</v>
      </c>
      <c r="E132" t="s">
        <v>3888</v>
      </c>
      <c r="F132" t="s">
        <v>3562</v>
      </c>
      <c r="G132" t="s">
        <v>3889</v>
      </c>
    </row>
    <row r="133" spans="1:7" ht="11.25" customHeight="1">
      <c r="A133" t="s">
        <v>3</v>
      </c>
      <c r="B133" t="s">
        <v>3858</v>
      </c>
      <c r="C133" t="s">
        <v>3859</v>
      </c>
      <c r="D133" t="s">
        <v>3890</v>
      </c>
      <c r="E133" t="s">
        <v>3891</v>
      </c>
      <c r="F133" t="s">
        <v>3562</v>
      </c>
      <c r="G133" t="s">
        <v>3892</v>
      </c>
    </row>
    <row r="134" spans="1:7" ht="11.25" customHeight="1">
      <c r="A134" t="s">
        <v>3</v>
      </c>
      <c r="B134" t="s">
        <v>3858</v>
      </c>
      <c r="C134" t="s">
        <v>3859</v>
      </c>
      <c r="D134" t="s">
        <v>3893</v>
      </c>
      <c r="E134" t="s">
        <v>3894</v>
      </c>
      <c r="F134" t="s">
        <v>3562</v>
      </c>
      <c r="G134" t="s">
        <v>3895</v>
      </c>
    </row>
    <row r="135" spans="1:7" ht="11.25" customHeight="1">
      <c r="A135" t="s">
        <v>3</v>
      </c>
      <c r="B135" t="s">
        <v>3858</v>
      </c>
      <c r="C135" t="s">
        <v>3859</v>
      </c>
      <c r="D135" t="s">
        <v>3896</v>
      </c>
      <c r="E135" t="s">
        <v>3897</v>
      </c>
      <c r="F135" t="s">
        <v>3562</v>
      </c>
      <c r="G135" t="s">
        <v>3898</v>
      </c>
    </row>
    <row r="136" spans="1:7" ht="11.25" customHeight="1">
      <c r="A136" t="s">
        <v>3</v>
      </c>
      <c r="B136" t="s">
        <v>3858</v>
      </c>
      <c r="C136" t="s">
        <v>3859</v>
      </c>
      <c r="D136" t="s">
        <v>3899</v>
      </c>
      <c r="E136" t="s">
        <v>3900</v>
      </c>
      <c r="F136" t="s">
        <v>3562</v>
      </c>
      <c r="G136" t="s">
        <v>3901</v>
      </c>
    </row>
    <row r="137" spans="1:7" ht="11.25" customHeight="1">
      <c r="A137" t="s">
        <v>3</v>
      </c>
      <c r="B137" t="s">
        <v>3858</v>
      </c>
      <c r="C137" t="s">
        <v>3859</v>
      </c>
      <c r="D137" t="s">
        <v>3902</v>
      </c>
      <c r="E137" t="s">
        <v>3903</v>
      </c>
      <c r="F137" t="s">
        <v>3562</v>
      </c>
      <c r="G137" t="s">
        <v>3904</v>
      </c>
    </row>
    <row r="138" spans="1:7" ht="11.25" customHeight="1">
      <c r="A138" t="s">
        <v>3</v>
      </c>
      <c r="B138" t="s">
        <v>3858</v>
      </c>
      <c r="C138" t="s">
        <v>3859</v>
      </c>
      <c r="D138" t="s">
        <v>3905</v>
      </c>
      <c r="E138" t="s">
        <v>3906</v>
      </c>
      <c r="F138" t="s">
        <v>3562</v>
      </c>
      <c r="G138" t="s">
        <v>3907</v>
      </c>
    </row>
    <row r="139" spans="1:7" ht="11.25" customHeight="1">
      <c r="A139" t="s">
        <v>3</v>
      </c>
      <c r="B139" t="s">
        <v>3858</v>
      </c>
      <c r="C139" t="s">
        <v>3859</v>
      </c>
      <c r="D139" t="s">
        <v>3858</v>
      </c>
      <c r="E139" t="s">
        <v>3859</v>
      </c>
      <c r="F139" t="s">
        <v>3556</v>
      </c>
      <c r="G139" t="s">
        <v>3908</v>
      </c>
    </row>
    <row r="140" spans="1:7" ht="11.25" customHeight="1">
      <c r="A140" t="s">
        <v>3</v>
      </c>
      <c r="B140" t="s">
        <v>3858</v>
      </c>
      <c r="C140" t="s">
        <v>3859</v>
      </c>
      <c r="D140" t="s">
        <v>3909</v>
      </c>
      <c r="E140" t="s">
        <v>3910</v>
      </c>
      <c r="F140" t="s">
        <v>3562</v>
      </c>
      <c r="G140" t="s">
        <v>3911</v>
      </c>
    </row>
    <row r="141" spans="1:7" ht="11.25" customHeight="1">
      <c r="A141" t="s">
        <v>3</v>
      </c>
      <c r="B141" t="s">
        <v>3858</v>
      </c>
      <c r="C141" t="s">
        <v>3859</v>
      </c>
      <c r="D141" t="s">
        <v>3912</v>
      </c>
      <c r="E141" t="s">
        <v>3913</v>
      </c>
      <c r="F141" t="s">
        <v>3562</v>
      </c>
      <c r="G141" t="s">
        <v>3914</v>
      </c>
    </row>
    <row r="142" spans="1:7" ht="11.25" customHeight="1">
      <c r="A142" t="s">
        <v>3</v>
      </c>
      <c r="B142" t="s">
        <v>3858</v>
      </c>
      <c r="C142" t="s">
        <v>3859</v>
      </c>
      <c r="D142" t="s">
        <v>3915</v>
      </c>
      <c r="E142" t="s">
        <v>3916</v>
      </c>
      <c r="F142" t="s">
        <v>3562</v>
      </c>
      <c r="G142" t="s">
        <v>3917</v>
      </c>
    </row>
    <row r="143" spans="1:7" ht="11.25" customHeight="1">
      <c r="A143" t="s">
        <v>3</v>
      </c>
      <c r="B143" t="s">
        <v>3918</v>
      </c>
      <c r="C143" t="s">
        <v>3919</v>
      </c>
      <c r="D143" t="s">
        <v>3920</v>
      </c>
      <c r="E143" t="s">
        <v>3921</v>
      </c>
      <c r="F143" t="s">
        <v>3562</v>
      </c>
      <c r="G143" t="s">
        <v>3922</v>
      </c>
    </row>
    <row r="144" spans="1:7" ht="11.25" customHeight="1">
      <c r="A144" t="s">
        <v>3</v>
      </c>
      <c r="B144" t="s">
        <v>3918</v>
      </c>
      <c r="C144" t="s">
        <v>3919</v>
      </c>
      <c r="D144" t="s">
        <v>3923</v>
      </c>
      <c r="E144" t="s">
        <v>3924</v>
      </c>
      <c r="F144" t="s">
        <v>3562</v>
      </c>
      <c r="G144" t="s">
        <v>3925</v>
      </c>
    </row>
    <row r="145" spans="1:7" ht="11.25" customHeight="1">
      <c r="A145" t="s">
        <v>3</v>
      </c>
      <c r="B145" t="s">
        <v>3918</v>
      </c>
      <c r="C145" t="s">
        <v>3919</v>
      </c>
      <c r="D145" t="s">
        <v>3926</v>
      </c>
      <c r="E145" t="s">
        <v>3927</v>
      </c>
      <c r="F145" t="s">
        <v>3562</v>
      </c>
      <c r="G145" t="s">
        <v>3928</v>
      </c>
    </row>
    <row r="146" spans="1:7" ht="11.25" customHeight="1">
      <c r="A146" t="s">
        <v>3</v>
      </c>
      <c r="B146" t="s">
        <v>3918</v>
      </c>
      <c r="C146" t="s">
        <v>3919</v>
      </c>
      <c r="D146" t="s">
        <v>3593</v>
      </c>
      <c r="E146" t="s">
        <v>3929</v>
      </c>
      <c r="F146" t="s">
        <v>3562</v>
      </c>
      <c r="G146" t="s">
        <v>3930</v>
      </c>
    </row>
    <row r="147" spans="1:7" ht="11.25" customHeight="1">
      <c r="A147" t="s">
        <v>3</v>
      </c>
      <c r="B147" t="s">
        <v>3918</v>
      </c>
      <c r="C147" t="s">
        <v>3919</v>
      </c>
      <c r="D147" t="s">
        <v>3918</v>
      </c>
      <c r="E147" t="s">
        <v>3919</v>
      </c>
      <c r="F147" t="s">
        <v>3556</v>
      </c>
      <c r="G147" t="s">
        <v>3931</v>
      </c>
    </row>
    <row r="148" spans="1:7" ht="11.25" customHeight="1">
      <c r="A148" t="s">
        <v>3</v>
      </c>
      <c r="B148" t="s">
        <v>3918</v>
      </c>
      <c r="C148" t="s">
        <v>3919</v>
      </c>
      <c r="D148" t="s">
        <v>3932</v>
      </c>
      <c r="E148" t="s">
        <v>3933</v>
      </c>
      <c r="F148" t="s">
        <v>3559</v>
      </c>
      <c r="G148" t="s">
        <v>3934</v>
      </c>
    </row>
    <row r="149" spans="1:7" ht="11.25" customHeight="1">
      <c r="A149" t="s">
        <v>3</v>
      </c>
      <c r="B149" t="s">
        <v>3935</v>
      </c>
      <c r="C149" t="s">
        <v>3936</v>
      </c>
      <c r="D149" t="s">
        <v>3935</v>
      </c>
      <c r="E149" t="s">
        <v>3936</v>
      </c>
      <c r="F149" t="s">
        <v>3553</v>
      </c>
      <c r="G149" t="s">
        <v>3937</v>
      </c>
    </row>
    <row r="150" spans="1:7" ht="11.25" customHeight="1">
      <c r="A150" t="s">
        <v>3</v>
      </c>
      <c r="B150" t="s">
        <v>3938</v>
      </c>
      <c r="C150" t="s">
        <v>3939</v>
      </c>
      <c r="D150" t="s">
        <v>3940</v>
      </c>
      <c r="E150" t="s">
        <v>3941</v>
      </c>
      <c r="F150" t="s">
        <v>3562</v>
      </c>
      <c r="G150" t="s">
        <v>3942</v>
      </c>
    </row>
    <row r="151" spans="1:7" ht="11.25" customHeight="1">
      <c r="A151" t="s">
        <v>3</v>
      </c>
      <c r="B151" t="s">
        <v>3938</v>
      </c>
      <c r="C151" t="s">
        <v>3939</v>
      </c>
      <c r="D151" t="s">
        <v>3943</v>
      </c>
      <c r="E151" t="s">
        <v>3944</v>
      </c>
      <c r="F151" t="s">
        <v>3562</v>
      </c>
      <c r="G151" t="s">
        <v>3945</v>
      </c>
    </row>
    <row r="152" spans="1:7" ht="11.25" customHeight="1">
      <c r="A152" t="s">
        <v>3</v>
      </c>
      <c r="B152" t="s">
        <v>3938</v>
      </c>
      <c r="C152" t="s">
        <v>3939</v>
      </c>
      <c r="D152" t="s">
        <v>3946</v>
      </c>
      <c r="E152" t="s">
        <v>3947</v>
      </c>
      <c r="F152" t="s">
        <v>3562</v>
      </c>
      <c r="G152" t="s">
        <v>3948</v>
      </c>
    </row>
    <row r="153" spans="1:7" ht="11.25" customHeight="1">
      <c r="A153" t="s">
        <v>3</v>
      </c>
      <c r="B153" t="s">
        <v>3938</v>
      </c>
      <c r="C153" t="s">
        <v>3939</v>
      </c>
      <c r="D153" t="s">
        <v>3938</v>
      </c>
      <c r="E153" t="s">
        <v>3939</v>
      </c>
      <c r="F153" t="s">
        <v>3556</v>
      </c>
      <c r="G153" t="s">
        <v>3949</v>
      </c>
    </row>
    <row r="154" spans="1:7" ht="11.25" customHeight="1">
      <c r="A154" t="s">
        <v>3</v>
      </c>
      <c r="B154" t="s">
        <v>3938</v>
      </c>
      <c r="C154" t="s">
        <v>3939</v>
      </c>
      <c r="D154" t="s">
        <v>3950</v>
      </c>
      <c r="E154" t="s">
        <v>3951</v>
      </c>
      <c r="F154" t="s">
        <v>3562</v>
      </c>
      <c r="G154" t="s">
        <v>3952</v>
      </c>
    </row>
    <row r="155" spans="1:7" ht="11.25" customHeight="1">
      <c r="A155" t="s">
        <v>3</v>
      </c>
      <c r="B155" t="s">
        <v>3953</v>
      </c>
      <c r="C155" t="s">
        <v>3954</v>
      </c>
      <c r="D155" t="s">
        <v>3953</v>
      </c>
      <c r="E155" t="s">
        <v>3954</v>
      </c>
      <c r="F155" t="s">
        <v>3553</v>
      </c>
      <c r="G155" t="s">
        <v>3955</v>
      </c>
    </row>
    <row r="156" spans="1:7" ht="11.25" customHeight="1">
      <c r="A156" t="s">
        <v>3</v>
      </c>
      <c r="B156" t="s">
        <v>3956</v>
      </c>
      <c r="C156" t="s">
        <v>3957</v>
      </c>
      <c r="D156" t="s">
        <v>3958</v>
      </c>
      <c r="E156" t="s">
        <v>3959</v>
      </c>
      <c r="F156" t="s">
        <v>3562</v>
      </c>
      <c r="G156" t="s">
        <v>3960</v>
      </c>
    </row>
    <row r="157" spans="1:7" ht="11.25" customHeight="1">
      <c r="A157" t="s">
        <v>3</v>
      </c>
      <c r="B157" t="s">
        <v>3956</v>
      </c>
      <c r="C157" t="s">
        <v>3957</v>
      </c>
      <c r="D157" t="s">
        <v>3961</v>
      </c>
      <c r="E157" t="s">
        <v>3962</v>
      </c>
      <c r="F157" t="s">
        <v>3562</v>
      </c>
      <c r="G157" t="s">
        <v>3963</v>
      </c>
    </row>
    <row r="158" spans="1:7" ht="11.25" customHeight="1">
      <c r="A158" t="s">
        <v>3</v>
      </c>
      <c r="B158" t="s">
        <v>3956</v>
      </c>
      <c r="C158" t="s">
        <v>3957</v>
      </c>
      <c r="D158" t="s">
        <v>3956</v>
      </c>
      <c r="E158" t="s">
        <v>3957</v>
      </c>
      <c r="F158" t="s">
        <v>3556</v>
      </c>
      <c r="G158" t="s">
        <v>3964</v>
      </c>
    </row>
    <row r="159" spans="1:7" ht="11.25" customHeight="1">
      <c r="A159" t="s">
        <v>3</v>
      </c>
      <c r="B159" t="s">
        <v>3956</v>
      </c>
      <c r="C159" t="s">
        <v>3957</v>
      </c>
      <c r="D159" t="s">
        <v>3965</v>
      </c>
      <c r="E159" t="s">
        <v>3966</v>
      </c>
      <c r="F159" t="s">
        <v>3562</v>
      </c>
      <c r="G159" t="s">
        <v>3967</v>
      </c>
    </row>
    <row r="160" spans="1:7" ht="11.25" customHeight="1">
      <c r="A160" t="s">
        <v>3</v>
      </c>
      <c r="B160" t="s">
        <v>3968</v>
      </c>
      <c r="C160" t="s">
        <v>3969</v>
      </c>
      <c r="D160" t="s">
        <v>3970</v>
      </c>
      <c r="E160" t="s">
        <v>3971</v>
      </c>
      <c r="F160" t="s">
        <v>3562</v>
      </c>
      <c r="G160" t="s">
        <v>3972</v>
      </c>
    </row>
    <row r="161" spans="1:7" ht="11.25" customHeight="1">
      <c r="A161" t="s">
        <v>3</v>
      </c>
      <c r="B161" t="s">
        <v>3968</v>
      </c>
      <c r="C161" t="s">
        <v>3969</v>
      </c>
      <c r="D161" t="s">
        <v>3973</v>
      </c>
      <c r="E161" t="s">
        <v>3974</v>
      </c>
      <c r="F161" t="s">
        <v>3562</v>
      </c>
      <c r="G161" t="s">
        <v>3975</v>
      </c>
    </row>
    <row r="162" spans="1:7" ht="11.25" customHeight="1">
      <c r="A162" t="s">
        <v>3</v>
      </c>
      <c r="B162" t="s">
        <v>3968</v>
      </c>
      <c r="C162" t="s">
        <v>3969</v>
      </c>
      <c r="D162" t="s">
        <v>3976</v>
      </c>
      <c r="E162" t="s">
        <v>3977</v>
      </c>
      <c r="F162" t="s">
        <v>3562</v>
      </c>
      <c r="G162" t="s">
        <v>3978</v>
      </c>
    </row>
    <row r="163" spans="1:7" ht="11.25" customHeight="1">
      <c r="A163" t="s">
        <v>3</v>
      </c>
      <c r="B163" t="s">
        <v>3968</v>
      </c>
      <c r="C163" t="s">
        <v>3969</v>
      </c>
      <c r="D163" t="s">
        <v>3979</v>
      </c>
      <c r="E163" t="s">
        <v>3980</v>
      </c>
      <c r="F163" t="s">
        <v>3562</v>
      </c>
      <c r="G163" t="s">
        <v>3981</v>
      </c>
    </row>
    <row r="164" spans="1:7" ht="11.25" customHeight="1">
      <c r="A164" t="s">
        <v>3</v>
      </c>
      <c r="B164" t="s">
        <v>3968</v>
      </c>
      <c r="C164" t="s">
        <v>3969</v>
      </c>
      <c r="D164" t="s">
        <v>3982</v>
      </c>
      <c r="E164" t="s">
        <v>3983</v>
      </c>
      <c r="F164" t="s">
        <v>3562</v>
      </c>
      <c r="G164" t="s">
        <v>3984</v>
      </c>
    </row>
    <row r="165" spans="1:7" ht="11.25" customHeight="1">
      <c r="A165" t="s">
        <v>3</v>
      </c>
      <c r="B165" t="s">
        <v>3968</v>
      </c>
      <c r="C165" t="s">
        <v>3969</v>
      </c>
      <c r="D165" t="s">
        <v>3968</v>
      </c>
      <c r="E165" t="s">
        <v>3969</v>
      </c>
      <c r="F165" t="s">
        <v>3556</v>
      </c>
      <c r="G165" t="s">
        <v>3985</v>
      </c>
    </row>
    <row r="166" spans="1:7" ht="11.25" customHeight="1">
      <c r="A166" t="s">
        <v>3</v>
      </c>
      <c r="B166" t="s">
        <v>3968</v>
      </c>
      <c r="C166" t="s">
        <v>3969</v>
      </c>
      <c r="D166" t="s">
        <v>3986</v>
      </c>
      <c r="E166" t="s">
        <v>3987</v>
      </c>
      <c r="F166" t="s">
        <v>3622</v>
      </c>
      <c r="G166" t="s">
        <v>3988</v>
      </c>
    </row>
    <row r="167" spans="1:7" ht="11.25" customHeight="1">
      <c r="A167" t="s">
        <v>3</v>
      </c>
      <c r="B167" t="s">
        <v>3968</v>
      </c>
      <c r="C167" t="s">
        <v>3969</v>
      </c>
      <c r="D167" t="s">
        <v>3989</v>
      </c>
      <c r="E167" t="s">
        <v>3990</v>
      </c>
      <c r="F167" t="s">
        <v>3562</v>
      </c>
      <c r="G167" t="s">
        <v>3991</v>
      </c>
    </row>
    <row r="168" spans="1:7" ht="11.25" customHeight="1">
      <c r="A168" t="s">
        <v>3</v>
      </c>
      <c r="B168" t="s">
        <v>3992</v>
      </c>
      <c r="C168" t="s">
        <v>3993</v>
      </c>
      <c r="D168" t="s">
        <v>3994</v>
      </c>
      <c r="E168" t="s">
        <v>3995</v>
      </c>
      <c r="F168" t="s">
        <v>3562</v>
      </c>
      <c r="G168" t="s">
        <v>3996</v>
      </c>
    </row>
    <row r="169" spans="1:7" ht="11.25" customHeight="1">
      <c r="A169" t="s">
        <v>3</v>
      </c>
      <c r="B169" t="s">
        <v>3992</v>
      </c>
      <c r="C169" t="s">
        <v>3993</v>
      </c>
      <c r="D169" t="s">
        <v>3997</v>
      </c>
      <c r="E169" t="s">
        <v>3998</v>
      </c>
      <c r="F169" t="s">
        <v>3562</v>
      </c>
      <c r="G169" t="s">
        <v>3999</v>
      </c>
    </row>
    <row r="170" spans="1:7" ht="11.25" customHeight="1">
      <c r="A170" t="s">
        <v>3</v>
      </c>
      <c r="B170" t="s">
        <v>3992</v>
      </c>
      <c r="C170" t="s">
        <v>3993</v>
      </c>
      <c r="D170" t="s">
        <v>4000</v>
      </c>
      <c r="E170" t="s">
        <v>4001</v>
      </c>
      <c r="F170" t="s">
        <v>3562</v>
      </c>
      <c r="G170" t="s">
        <v>4002</v>
      </c>
    </row>
    <row r="171" spans="1:7" ht="11.25" customHeight="1">
      <c r="A171" t="s">
        <v>3</v>
      </c>
      <c r="B171" t="s">
        <v>3992</v>
      </c>
      <c r="C171" t="s">
        <v>3993</v>
      </c>
      <c r="D171" t="s">
        <v>4003</v>
      </c>
      <c r="E171" t="s">
        <v>4004</v>
      </c>
      <c r="F171" t="s">
        <v>3562</v>
      </c>
      <c r="G171" t="s">
        <v>4005</v>
      </c>
    </row>
    <row r="172" spans="1:7" ht="11.25" customHeight="1">
      <c r="A172" t="s">
        <v>3</v>
      </c>
      <c r="B172" t="s">
        <v>3992</v>
      </c>
      <c r="C172" t="s">
        <v>3993</v>
      </c>
      <c r="D172" t="s">
        <v>4006</v>
      </c>
      <c r="E172" t="s">
        <v>4007</v>
      </c>
      <c r="F172" t="s">
        <v>3562</v>
      </c>
      <c r="G172" t="s">
        <v>4008</v>
      </c>
    </row>
    <row r="173" spans="1:7" ht="11.25" customHeight="1">
      <c r="A173" t="s">
        <v>3</v>
      </c>
      <c r="B173" t="s">
        <v>3992</v>
      </c>
      <c r="C173" t="s">
        <v>3993</v>
      </c>
      <c r="D173" t="s">
        <v>3992</v>
      </c>
      <c r="E173" t="s">
        <v>3993</v>
      </c>
      <c r="F173" t="s">
        <v>3556</v>
      </c>
      <c r="G173" t="s">
        <v>4009</v>
      </c>
    </row>
    <row r="174" spans="1:7" ht="11.25" customHeight="1">
      <c r="A174" t="s">
        <v>3</v>
      </c>
      <c r="B174" t="s">
        <v>3992</v>
      </c>
      <c r="C174" t="s">
        <v>3993</v>
      </c>
      <c r="D174" t="s">
        <v>4010</v>
      </c>
      <c r="E174" t="s">
        <v>4011</v>
      </c>
      <c r="F174" t="s">
        <v>3622</v>
      </c>
      <c r="G174" t="s">
        <v>4012</v>
      </c>
    </row>
    <row r="175" spans="1:7" ht="11.25" customHeight="1">
      <c r="A175" t="s">
        <v>3</v>
      </c>
      <c r="B175" t="s">
        <v>4013</v>
      </c>
      <c r="C175" t="s">
        <v>4014</v>
      </c>
      <c r="D175" t="s">
        <v>4015</v>
      </c>
      <c r="E175" t="s">
        <v>4016</v>
      </c>
      <c r="F175" t="s">
        <v>3562</v>
      </c>
      <c r="G175" t="s">
        <v>4017</v>
      </c>
    </row>
    <row r="176" spans="1:7" ht="11.25" customHeight="1">
      <c r="A176" t="s">
        <v>3</v>
      </c>
      <c r="B176" t="s">
        <v>4013</v>
      </c>
      <c r="C176" t="s">
        <v>4014</v>
      </c>
      <c r="D176" t="s">
        <v>4018</v>
      </c>
      <c r="E176" t="s">
        <v>4019</v>
      </c>
      <c r="F176" t="s">
        <v>3562</v>
      </c>
      <c r="G176" t="s">
        <v>4020</v>
      </c>
    </row>
    <row r="177" spans="1:7" ht="11.25" customHeight="1">
      <c r="A177" t="s">
        <v>3</v>
      </c>
      <c r="B177" t="s">
        <v>4013</v>
      </c>
      <c r="C177" t="s">
        <v>4014</v>
      </c>
      <c r="D177" t="s">
        <v>4021</v>
      </c>
      <c r="E177" t="s">
        <v>4022</v>
      </c>
      <c r="F177" t="s">
        <v>3562</v>
      </c>
      <c r="G177" t="s">
        <v>4023</v>
      </c>
    </row>
    <row r="178" spans="1:7" ht="11.25" customHeight="1">
      <c r="A178" t="s">
        <v>3</v>
      </c>
      <c r="B178" t="s">
        <v>4013</v>
      </c>
      <c r="C178" t="s">
        <v>4014</v>
      </c>
      <c r="D178" t="s">
        <v>4024</v>
      </c>
      <c r="E178" t="s">
        <v>4025</v>
      </c>
      <c r="F178" t="s">
        <v>3562</v>
      </c>
      <c r="G178" t="s">
        <v>4026</v>
      </c>
    </row>
    <row r="179" spans="1:7" ht="11.25" customHeight="1">
      <c r="A179" t="s">
        <v>3</v>
      </c>
      <c r="B179" t="s">
        <v>4013</v>
      </c>
      <c r="C179" t="s">
        <v>4014</v>
      </c>
      <c r="D179" t="s">
        <v>4027</v>
      </c>
      <c r="E179" t="s">
        <v>4028</v>
      </c>
      <c r="F179" t="s">
        <v>3562</v>
      </c>
      <c r="G179" t="s">
        <v>4029</v>
      </c>
    </row>
    <row r="180" spans="1:7" ht="11.25" customHeight="1">
      <c r="A180" t="s">
        <v>3</v>
      </c>
      <c r="B180" t="s">
        <v>4013</v>
      </c>
      <c r="C180" t="s">
        <v>4014</v>
      </c>
      <c r="D180" t="s">
        <v>4030</v>
      </c>
      <c r="E180" t="s">
        <v>4031</v>
      </c>
      <c r="F180" t="s">
        <v>3562</v>
      </c>
      <c r="G180" t="s">
        <v>4032</v>
      </c>
    </row>
    <row r="181" spans="1:7" ht="11.25" customHeight="1">
      <c r="A181" t="s">
        <v>3</v>
      </c>
      <c r="B181" t="s">
        <v>4013</v>
      </c>
      <c r="C181" t="s">
        <v>4014</v>
      </c>
      <c r="D181" t="s">
        <v>4033</v>
      </c>
      <c r="E181" t="s">
        <v>4034</v>
      </c>
      <c r="F181" t="s">
        <v>3562</v>
      </c>
      <c r="G181" t="s">
        <v>4035</v>
      </c>
    </row>
    <row r="182" spans="1:7" ht="11.25" customHeight="1">
      <c r="A182" t="s">
        <v>3</v>
      </c>
      <c r="B182" t="s">
        <v>4013</v>
      </c>
      <c r="C182" t="s">
        <v>4014</v>
      </c>
      <c r="D182" t="s">
        <v>4013</v>
      </c>
      <c r="E182" t="s">
        <v>4014</v>
      </c>
      <c r="F182" t="s">
        <v>3556</v>
      </c>
      <c r="G182" t="s">
        <v>4036</v>
      </c>
    </row>
    <row r="183" spans="1:7" ht="11.25" customHeight="1">
      <c r="A183" t="s">
        <v>3</v>
      </c>
      <c r="B183" t="s">
        <v>4013</v>
      </c>
      <c r="C183" t="s">
        <v>4014</v>
      </c>
      <c r="D183" t="s">
        <v>4037</v>
      </c>
      <c r="E183" t="s">
        <v>4038</v>
      </c>
      <c r="F183" t="s">
        <v>3622</v>
      </c>
      <c r="G183" t="s">
        <v>4039</v>
      </c>
    </row>
    <row r="184" spans="1:7" ht="11.25" customHeight="1">
      <c r="A184" t="s">
        <v>3</v>
      </c>
      <c r="B184" t="s">
        <v>155</v>
      </c>
      <c r="C184" t="s">
        <v>156</v>
      </c>
      <c r="D184" t="s">
        <v>155</v>
      </c>
      <c r="E184" t="s">
        <v>156</v>
      </c>
      <c r="F184" t="s">
        <v>3553</v>
      </c>
      <c r="G184" t="s">
        <v>154</v>
      </c>
    </row>
    <row r="185" spans="1:7" ht="11.25" customHeight="1">
      <c r="A185" t="s">
        <v>3</v>
      </c>
      <c r="B185" t="s">
        <v>4040</v>
      </c>
      <c r="C185" t="s">
        <v>4041</v>
      </c>
      <c r="D185" t="s">
        <v>4042</v>
      </c>
      <c r="E185" t="s">
        <v>4043</v>
      </c>
      <c r="F185" t="s">
        <v>3562</v>
      </c>
      <c r="G185" t="s">
        <v>4044</v>
      </c>
    </row>
    <row r="186" spans="1:7" ht="11.25" customHeight="1">
      <c r="A186" t="s">
        <v>3</v>
      </c>
      <c r="B186" t="s">
        <v>4040</v>
      </c>
      <c r="C186" t="s">
        <v>4041</v>
      </c>
      <c r="D186" t="s">
        <v>4045</v>
      </c>
      <c r="E186" t="s">
        <v>4046</v>
      </c>
      <c r="F186" t="s">
        <v>3562</v>
      </c>
      <c r="G186" t="s">
        <v>4047</v>
      </c>
    </row>
    <row r="187" spans="1:7" ht="11.25" customHeight="1">
      <c r="A187" t="s">
        <v>3</v>
      </c>
      <c r="B187" t="s">
        <v>4040</v>
      </c>
      <c r="C187" t="s">
        <v>4041</v>
      </c>
      <c r="D187" t="s">
        <v>4048</v>
      </c>
      <c r="E187" t="s">
        <v>4049</v>
      </c>
      <c r="F187" t="s">
        <v>3562</v>
      </c>
      <c r="G187" t="s">
        <v>4050</v>
      </c>
    </row>
    <row r="188" spans="1:7" ht="11.25" customHeight="1">
      <c r="A188" t="s">
        <v>3</v>
      </c>
      <c r="B188" t="s">
        <v>4040</v>
      </c>
      <c r="C188" t="s">
        <v>4041</v>
      </c>
      <c r="D188" t="s">
        <v>4051</v>
      </c>
      <c r="E188" t="s">
        <v>4052</v>
      </c>
      <c r="F188" t="s">
        <v>3562</v>
      </c>
      <c r="G188" t="s">
        <v>4053</v>
      </c>
    </row>
    <row r="189" spans="1:7" ht="11.25" customHeight="1">
      <c r="A189" t="s">
        <v>3</v>
      </c>
      <c r="B189" t="s">
        <v>4040</v>
      </c>
      <c r="C189" t="s">
        <v>4041</v>
      </c>
      <c r="D189" t="s">
        <v>4054</v>
      </c>
      <c r="E189" t="s">
        <v>4055</v>
      </c>
      <c r="F189" t="s">
        <v>3562</v>
      </c>
      <c r="G189" t="s">
        <v>4056</v>
      </c>
    </row>
    <row r="190" spans="1:7" ht="11.25" customHeight="1">
      <c r="A190" t="s">
        <v>3</v>
      </c>
      <c r="B190" t="s">
        <v>4040</v>
      </c>
      <c r="C190" t="s">
        <v>4041</v>
      </c>
      <c r="D190" t="s">
        <v>4040</v>
      </c>
      <c r="E190" t="s">
        <v>4041</v>
      </c>
      <c r="F190" t="s">
        <v>3556</v>
      </c>
      <c r="G190" t="s">
        <v>4057</v>
      </c>
    </row>
    <row r="191" spans="1:7" ht="11.25" customHeight="1">
      <c r="A191" t="s">
        <v>3</v>
      </c>
      <c r="B191" t="s">
        <v>4040</v>
      </c>
      <c r="C191" t="s">
        <v>4041</v>
      </c>
      <c r="D191" t="s">
        <v>4058</v>
      </c>
      <c r="E191" t="s">
        <v>4059</v>
      </c>
      <c r="F191" t="s">
        <v>3559</v>
      </c>
      <c r="G191" t="s">
        <v>4060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2"/>
    <col min="2" max="2" width="84.28515625" style="1612" customWidth="1"/>
    <col min="3" max="3" width="9.140625" style="1612"/>
  </cols>
  <sheetData>
    <row r="1" spans="1:3" ht="11.25" customHeight="1">
      <c r="A1" s="763" t="s">
        <v>4981</v>
      </c>
      <c r="B1" s="763" t="s">
        <v>4982</v>
      </c>
      <c r="C1" s="763" t="s">
        <v>1686</v>
      </c>
    </row>
    <row r="2" spans="1:3" ht="11.25" customHeight="1">
      <c r="A2" s="763">
        <v>4189678</v>
      </c>
      <c r="B2" s="763" t="s">
        <v>4983</v>
      </c>
      <c r="C2" s="763" t="s">
        <v>4984</v>
      </c>
    </row>
    <row r="3" spans="1:3" ht="11.25" customHeight="1">
      <c r="A3" s="763">
        <v>4190415</v>
      </c>
      <c r="B3" s="763" t="s">
        <v>4985</v>
      </c>
      <c r="C3" s="763" t="s">
        <v>4984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7" customWidth="1"/>
    <col min="2" max="5" width="9.140625" style="97"/>
  </cols>
  <sheetData>
    <row r="1" spans="1:5" ht="15" customHeight="1">
      <c r="A1" s="98" t="s">
        <v>4986</v>
      </c>
      <c r="B1" s="98" t="s">
        <v>4987</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4988</v>
      </c>
      <c r="B1" t="b">
        <v>1</v>
      </c>
    </row>
    <row r="2" spans="1:2" ht="11.25" customHeight="1">
      <c r="A2" t="s">
        <v>4989</v>
      </c>
      <c r="B2" t="b">
        <v>0</v>
      </c>
    </row>
    <row r="3" spans="1:2" ht="11.25" customHeight="1">
      <c r="A3" t="s">
        <v>4990</v>
      </c>
      <c r="B3" t="b">
        <v>1</v>
      </c>
    </row>
    <row r="4" spans="1:2" ht="11.25" customHeight="1">
      <c r="A4" t="s">
        <v>4991</v>
      </c>
      <c r="B4" t="b">
        <v>0</v>
      </c>
    </row>
    <row r="5" spans="1:2" ht="11.25" customHeight="1">
      <c r="A5" t="s">
        <v>4992</v>
      </c>
      <c r="B5" t="b">
        <v>0</v>
      </c>
    </row>
    <row r="6" spans="1:2" ht="11.25" customHeight="1">
      <c r="A6" t="s">
        <v>4993</v>
      </c>
      <c r="B6" t="b">
        <v>0</v>
      </c>
    </row>
    <row r="7" spans="1:2" ht="11.25" customHeight="1">
      <c r="A7" t="s">
        <v>4994</v>
      </c>
      <c r="B7" t="b">
        <v>0</v>
      </c>
    </row>
    <row r="8" spans="1:2" ht="11.25" customHeight="1">
      <c r="A8" t="s">
        <v>4995</v>
      </c>
      <c r="B8" t="b">
        <v>0</v>
      </c>
    </row>
    <row r="9" spans="1:2" ht="11.25" customHeight="1">
      <c r="A9" t="s">
        <v>4996</v>
      </c>
      <c r="B9" t="b">
        <v>0</v>
      </c>
    </row>
    <row r="10" spans="1:2" ht="11.25" customHeight="1">
      <c r="A10" t="s">
        <v>4997</v>
      </c>
      <c r="B10" t="b">
        <v>1</v>
      </c>
    </row>
    <row r="11" spans="1:2" ht="11.25" customHeight="1">
      <c r="A11" t="s">
        <v>4998</v>
      </c>
      <c r="B11" t="b">
        <v>0</v>
      </c>
    </row>
    <row r="12" spans="1:2" ht="11.25" customHeight="1">
      <c r="A12" t="s">
        <v>4999</v>
      </c>
      <c r="B12" t="b">
        <v>0</v>
      </c>
    </row>
    <row r="13" spans="1:2" ht="11.25" customHeight="1">
      <c r="A13" t="s">
        <v>5000</v>
      </c>
      <c r="B13" t="b">
        <v>0</v>
      </c>
    </row>
    <row r="14" spans="1:2" ht="11.25" customHeight="1">
      <c r="A14" t="s">
        <v>5001</v>
      </c>
      <c r="B14" t="b">
        <v>0</v>
      </c>
    </row>
    <row r="15" spans="1:2" ht="11.25" customHeight="1">
      <c r="A15" t="s">
        <v>5002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341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39" customWidth="1"/>
    <col min="2" max="2" width="21.140625" style="1739" customWidth="1"/>
  </cols>
  <sheetData>
    <row r="1" spans="1:2" ht="11.25" customHeight="1">
      <c r="A1" s="6" t="s">
        <v>5003</v>
      </c>
      <c r="B1" s="6" t="s">
        <v>5004</v>
      </c>
    </row>
    <row r="2" spans="1:2" ht="11.25" customHeight="1">
      <c r="A2" s="3" t="s">
        <v>5005</v>
      </c>
      <c r="B2" s="3" t="s">
        <v>5006</v>
      </c>
    </row>
    <row r="3" spans="1:2" ht="11.25" customHeight="1">
      <c r="A3" s="3" t="s">
        <v>5007</v>
      </c>
      <c r="B3" s="3" t="s">
        <v>5008</v>
      </c>
    </row>
    <row r="4" spans="1:2" ht="11.25" customHeight="1">
      <c r="A4" s="3" t="s">
        <v>5009</v>
      </c>
      <c r="B4" s="3" t="s">
        <v>5010</v>
      </c>
    </row>
    <row r="5" spans="1:2" ht="11.25" customHeight="1">
      <c r="A5" s="3" t="s">
        <v>5011</v>
      </c>
      <c r="B5" s="3" t="s">
        <v>5012</v>
      </c>
    </row>
    <row r="6" spans="1:2" ht="11.25" customHeight="1">
      <c r="A6" s="3" t="s">
        <v>5013</v>
      </c>
      <c r="B6" s="3" t="s">
        <v>5014</v>
      </c>
    </row>
    <row r="7" spans="1:2" ht="11.25" customHeight="1">
      <c r="A7" s="3" t="s">
        <v>5015</v>
      </c>
      <c r="B7" s="3" t="s">
        <v>5016</v>
      </c>
    </row>
    <row r="8" spans="1:2" ht="11.25" customHeight="1">
      <c r="A8" s="3" t="s">
        <v>5017</v>
      </c>
      <c r="B8" s="3" t="s">
        <v>5018</v>
      </c>
    </row>
    <row r="9" spans="1:2" ht="11.25" customHeight="1">
      <c r="A9" s="3" t="s">
        <v>5019</v>
      </c>
      <c r="B9" s="3" t="s">
        <v>5020</v>
      </c>
    </row>
    <row r="10" spans="1:2" ht="11.25" customHeight="1">
      <c r="A10" s="3" t="s">
        <v>5021</v>
      </c>
      <c r="B10" s="3" t="s">
        <v>5022</v>
      </c>
    </row>
    <row r="11" spans="1:2" ht="11.25" customHeight="1">
      <c r="A11" s="3" t="s">
        <v>5023</v>
      </c>
      <c r="B11" s="3" t="s">
        <v>5024</v>
      </c>
    </row>
    <row r="12" spans="1:2" ht="11.25" customHeight="1">
      <c r="A12" s="3" t="s">
        <v>5025</v>
      </c>
      <c r="B12" s="3" t="s">
        <v>5026</v>
      </c>
    </row>
    <row r="13" spans="1:2" ht="11.25" customHeight="1">
      <c r="A13" s="3" t="s">
        <v>5027</v>
      </c>
      <c r="B13" s="3" t="s">
        <v>5028</v>
      </c>
    </row>
    <row r="14" spans="1:2" ht="11.25" customHeight="1">
      <c r="A14" s="3" t="s">
        <v>5029</v>
      </c>
      <c r="B14" s="3" t="s">
        <v>5030</v>
      </c>
    </row>
    <row r="15" spans="1:2" ht="11.25" customHeight="1">
      <c r="A15" s="3" t="s">
        <v>5031</v>
      </c>
      <c r="B15" s="3" t="s">
        <v>5032</v>
      </c>
    </row>
    <row r="16" spans="1:2" ht="11.25" customHeight="1">
      <c r="A16" s="3" t="s">
        <v>5033</v>
      </c>
      <c r="B16" s="3" t="s">
        <v>5034</v>
      </c>
    </row>
    <row r="17" spans="1:2" ht="11.25" customHeight="1">
      <c r="A17" s="3" t="s">
        <v>5035</v>
      </c>
      <c r="B17" s="3" t="s">
        <v>5036</v>
      </c>
    </row>
    <row r="18" spans="1:2" ht="11.25" customHeight="1">
      <c r="A18" s="3" t="s">
        <v>5037</v>
      </c>
      <c r="B18" s="3" t="s">
        <v>5038</v>
      </c>
    </row>
    <row r="19" spans="1:2" ht="11.25" customHeight="1">
      <c r="A19" s="3" t="s">
        <v>5039</v>
      </c>
      <c r="B19" s="3" t="s">
        <v>5040</v>
      </c>
    </row>
    <row r="20" spans="1:2" ht="11.25" customHeight="1">
      <c r="A20" s="3" t="s">
        <v>5041</v>
      </c>
      <c r="B20" s="3" t="s">
        <v>5042</v>
      </c>
    </row>
    <row r="21" spans="1:2" ht="11.25" customHeight="1">
      <c r="A21" s="3" t="s">
        <v>5043</v>
      </c>
      <c r="B21" s="3" t="s">
        <v>5044</v>
      </c>
    </row>
    <row r="22" spans="1:2" ht="11.25" customHeight="1">
      <c r="A22" s="3" t="s">
        <v>5045</v>
      </c>
      <c r="B22" s="3" t="s">
        <v>5046</v>
      </c>
    </row>
    <row r="23" spans="1:2" ht="11.25" customHeight="1">
      <c r="A23" s="3" t="s">
        <v>5047</v>
      </c>
      <c r="B23" s="3" t="s">
        <v>5048</v>
      </c>
    </row>
    <row r="24" spans="1:2" ht="11.25" customHeight="1">
      <c r="A24" s="3" t="s">
        <v>5049</v>
      </c>
      <c r="B24" s="3" t="s">
        <v>5050</v>
      </c>
    </row>
    <row r="25" spans="1:2" ht="11.25" customHeight="1">
      <c r="A25" s="3" t="s">
        <v>5051</v>
      </c>
      <c r="B25" s="3" t="s">
        <v>5052</v>
      </c>
    </row>
    <row r="26" spans="1:2" ht="11.25" customHeight="1">
      <c r="A26" s="3" t="s">
        <v>5053</v>
      </c>
      <c r="B26" s="3" t="s">
        <v>5054</v>
      </c>
    </row>
    <row r="27" spans="1:2" ht="11.25" customHeight="1">
      <c r="A27" s="3" t="s">
        <v>5055</v>
      </c>
      <c r="B27" s="3" t="s">
        <v>5056</v>
      </c>
    </row>
    <row r="28" spans="1:2" ht="11.25" customHeight="1">
      <c r="A28" s="3" t="s">
        <v>5057</v>
      </c>
      <c r="B28" s="3" t="s">
        <v>5058</v>
      </c>
    </row>
    <row r="29" spans="1:2" ht="11.25" customHeight="1">
      <c r="A29" s="3" t="s">
        <v>5059</v>
      </c>
      <c r="B29" s="3" t="s">
        <v>5060</v>
      </c>
    </row>
    <row r="30" spans="1:2" ht="11.25" customHeight="1">
      <c r="A30" s="3" t="s">
        <v>5061</v>
      </c>
      <c r="B30" s="3" t="s">
        <v>5062</v>
      </c>
    </row>
    <row r="31" spans="1:2" ht="11.25" customHeight="1">
      <c r="A31" s="3" t="s">
        <v>5063</v>
      </c>
      <c r="B31" s="3" t="s">
        <v>5064</v>
      </c>
    </row>
    <row r="32" spans="1:2" ht="11.25" customHeight="1">
      <c r="A32" s="3" t="s">
        <v>5065</v>
      </c>
      <c r="B32" s="3" t="s">
        <v>5066</v>
      </c>
    </row>
    <row r="33" spans="1:2" ht="11.25" customHeight="1">
      <c r="A33" s="3" t="s">
        <v>5067</v>
      </c>
      <c r="B33" s="3" t="s">
        <v>5068</v>
      </c>
    </row>
    <row r="34" spans="1:2" ht="11.25" customHeight="1">
      <c r="A34" s="3" t="s">
        <v>5069</v>
      </c>
      <c r="B34" s="3" t="s">
        <v>5070</v>
      </c>
    </row>
    <row r="35" spans="1:2" ht="11.25" customHeight="1">
      <c r="A35" s="3" t="s">
        <v>5071</v>
      </c>
      <c r="B35" s="3" t="s">
        <v>5072</v>
      </c>
    </row>
    <row r="36" spans="1:2" ht="11.25" customHeight="1">
      <c r="A36" s="3" t="s">
        <v>5073</v>
      </c>
      <c r="B36" s="3" t="s">
        <v>5074</v>
      </c>
    </row>
    <row r="37" spans="1:2" ht="11.25" customHeight="1">
      <c r="A37" s="3" t="s">
        <v>5075</v>
      </c>
      <c r="B37" s="3" t="s">
        <v>5076</v>
      </c>
    </row>
    <row r="38" spans="1:2" ht="11.25" customHeight="1">
      <c r="A38" s="3" t="s">
        <v>5077</v>
      </c>
      <c r="B38" s="3" t="s">
        <v>5078</v>
      </c>
    </row>
    <row r="39" spans="1:2" ht="11.25" customHeight="1">
      <c r="A39" s="3" t="s">
        <v>5079</v>
      </c>
      <c r="B39" s="3" t="s">
        <v>5080</v>
      </c>
    </row>
    <row r="40" spans="1:2" ht="11.25" customHeight="1">
      <c r="A40" s="3" t="s">
        <v>5081</v>
      </c>
      <c r="B40" s="3" t="s">
        <v>5082</v>
      </c>
    </row>
    <row r="41" spans="1:2" ht="11.25" customHeight="1">
      <c r="A41" s="3" t="s">
        <v>5083</v>
      </c>
      <c r="B41" s="3" t="s">
        <v>5084</v>
      </c>
    </row>
    <row r="42" spans="1:2" ht="11.25" customHeight="1">
      <c r="A42" s="3" t="s">
        <v>5085</v>
      </c>
      <c r="B42" s="3" t="s">
        <v>5086</v>
      </c>
    </row>
    <row r="43" spans="1:2" ht="11.25" customHeight="1">
      <c r="A43" s="3" t="s">
        <v>5087</v>
      </c>
      <c r="B43" s="3" t="s">
        <v>5088</v>
      </c>
    </row>
    <row r="44" spans="1:2" ht="11.25" customHeight="1">
      <c r="A44" s="3" t="s">
        <v>5089</v>
      </c>
      <c r="B44" s="3" t="s">
        <v>5090</v>
      </c>
    </row>
    <row r="45" spans="1:2" ht="11.25" customHeight="1">
      <c r="A45" s="3" t="s">
        <v>5091</v>
      </c>
      <c r="B45" s="3" t="s">
        <v>5092</v>
      </c>
    </row>
    <row r="46" spans="1:2" ht="11.25" customHeight="1">
      <c r="A46" s="3" t="s">
        <v>5093</v>
      </c>
      <c r="B46" s="3" t="s">
        <v>5094</v>
      </c>
    </row>
    <row r="47" spans="1:2" ht="11.25" customHeight="1">
      <c r="A47" s="3" t="s">
        <v>5095</v>
      </c>
      <c r="B47" s="3" t="s">
        <v>5096</v>
      </c>
    </row>
    <row r="48" spans="1:2" ht="11.25" customHeight="1">
      <c r="A48" s="3" t="s">
        <v>5097</v>
      </c>
      <c r="B48" s="3" t="s">
        <v>5098</v>
      </c>
    </row>
    <row r="49" spans="1:2" ht="11.25" customHeight="1">
      <c r="A49" s="3" t="s">
        <v>5099</v>
      </c>
      <c r="B49" s="3" t="s">
        <v>5100</v>
      </c>
    </row>
    <row r="50" spans="1:2" ht="11.25" customHeight="1">
      <c r="A50" s="3" t="s">
        <v>5101</v>
      </c>
      <c r="B50" s="3" t="s">
        <v>5102</v>
      </c>
    </row>
    <row r="51" spans="1:2" ht="11.25" customHeight="1">
      <c r="A51" s="3" t="s">
        <v>5103</v>
      </c>
      <c r="B51" s="3" t="s">
        <v>5104</v>
      </c>
    </row>
    <row r="52" spans="1:2" ht="11.25" customHeight="1">
      <c r="A52" s="3" t="s">
        <v>5105</v>
      </c>
      <c r="B52" s="3" t="s">
        <v>5106</v>
      </c>
    </row>
    <row r="53" spans="1:2" ht="11.25" customHeight="1">
      <c r="A53" s="3" t="s">
        <v>5107</v>
      </c>
      <c r="B53" s="3" t="s">
        <v>5108</v>
      </c>
    </row>
    <row r="54" spans="1:2" ht="11.25" customHeight="1">
      <c r="A54" s="3" t="s">
        <v>5109</v>
      </c>
      <c r="B54" s="3" t="s">
        <v>5110</v>
      </c>
    </row>
    <row r="55" spans="1:2" ht="11.25" customHeight="1">
      <c r="A55" s="3" t="s">
        <v>5111</v>
      </c>
      <c r="B55" s="3" t="s">
        <v>5112</v>
      </c>
    </row>
    <row r="56" spans="1:2" ht="11.25" customHeight="1">
      <c r="A56" s="3" t="s">
        <v>5113</v>
      </c>
      <c r="B56" s="3" t="s">
        <v>5114</v>
      </c>
    </row>
    <row r="57" spans="1:2" ht="11.25" customHeight="1">
      <c r="A57" s="3" t="s">
        <v>5115</v>
      </c>
      <c r="B57" s="3" t="s">
        <v>5116</v>
      </c>
    </row>
    <row r="58" spans="1:2" ht="11.25" customHeight="1">
      <c r="A58" s="3" t="s">
        <v>5117</v>
      </c>
      <c r="B58" s="3" t="s">
        <v>5118</v>
      </c>
    </row>
    <row r="59" spans="1:2" ht="11.25" customHeight="1">
      <c r="A59" s="3" t="s">
        <v>5119</v>
      </c>
      <c r="B59" s="3" t="s">
        <v>5120</v>
      </c>
    </row>
    <row r="60" spans="1:2" ht="11.25" customHeight="1">
      <c r="A60" s="3" t="s">
        <v>5121</v>
      </c>
      <c r="B60" s="3" t="s">
        <v>5122</v>
      </c>
    </row>
    <row r="61" spans="1:2" ht="11.25" customHeight="1">
      <c r="A61" s="3"/>
      <c r="B61" s="3" t="s">
        <v>5123</v>
      </c>
    </row>
    <row r="62" spans="1:2" ht="11.25" customHeight="1">
      <c r="A62" s="3"/>
      <c r="B62" s="3" t="s">
        <v>5124</v>
      </c>
    </row>
    <row r="63" spans="1:2" ht="11.25" customHeight="1">
      <c r="A63" s="3"/>
      <c r="B63" s="3" t="s">
        <v>5125</v>
      </c>
    </row>
    <row r="64" spans="1:2" ht="11.25" customHeight="1">
      <c r="A64" s="3"/>
      <c r="B64" s="3" t="s">
        <v>5126</v>
      </c>
    </row>
    <row r="65" spans="1:2" ht="11.25" customHeight="1">
      <c r="A65" s="3"/>
      <c r="B65" s="3" t="s">
        <v>5127</v>
      </c>
    </row>
    <row r="66" spans="1:2" ht="11.25" customHeight="1">
      <c r="A66" s="3"/>
      <c r="B66" s="3" t="s">
        <v>5128</v>
      </c>
    </row>
    <row r="67" spans="1:2" ht="11.25" customHeight="1">
      <c r="A67" s="3"/>
      <c r="B67" s="3" t="s">
        <v>5129</v>
      </c>
    </row>
    <row r="68" spans="1:2" ht="11.25" customHeight="1">
      <c r="A68" s="3"/>
      <c r="B68" s="3" t="s">
        <v>5130</v>
      </c>
    </row>
    <row r="69" spans="1:2" ht="11.25" customHeight="1">
      <c r="A69" s="3"/>
      <c r="B69" s="3" t="s">
        <v>5131</v>
      </c>
    </row>
    <row r="70" spans="1:2" ht="11.25" customHeight="1">
      <c r="A70" s="3"/>
      <c r="B70" s="3" t="s">
        <v>5132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39" customWidth="1"/>
    <col min="2" max="2" width="90.7109375" style="1739" customWidth="1"/>
    <col min="3" max="4" width="9.140625" style="1739"/>
  </cols>
  <sheetData>
    <row r="1" spans="2:4" ht="11.25" customHeight="1">
      <c r="B1" s="32" t="s">
        <v>5133</v>
      </c>
    </row>
    <row r="2" spans="2:4" ht="90" customHeight="1">
      <c r="B2" s="33" t="s">
        <v>5134</v>
      </c>
    </row>
    <row r="3" spans="2:4" ht="67.5" customHeight="1">
      <c r="B3" s="33" t="s">
        <v>5135</v>
      </c>
    </row>
    <row r="4" spans="2:4" ht="33.75" customHeight="1">
      <c r="B4" s="33" t="s">
        <v>5136</v>
      </c>
    </row>
    <row r="5" spans="2:4" ht="11.25" customHeight="1">
      <c r="B5" s="33" t="s">
        <v>5137</v>
      </c>
    </row>
    <row r="6" spans="2:4" ht="22.5" customHeight="1">
      <c r="B6" s="33" t="s">
        <v>5138</v>
      </c>
    </row>
    <row r="7" spans="2:4" ht="22.5" customHeight="1">
      <c r="B7" s="33" t="s">
        <v>5139</v>
      </c>
    </row>
    <row r="8" spans="2:4" ht="22.5" customHeight="1">
      <c r="B8" s="33" t="s">
        <v>5140</v>
      </c>
    </row>
    <row r="9" spans="2:4" ht="22.5" customHeight="1">
      <c r="B9" s="33" t="s">
        <v>5141</v>
      </c>
    </row>
    <row r="10" spans="2:4" ht="56.25" customHeight="1">
      <c r="B10" s="33" t="s">
        <v>5142</v>
      </c>
    </row>
    <row r="11" spans="2:4" ht="12.75" customHeight="1">
      <c r="B11" s="94" t="s">
        <v>5143</v>
      </c>
    </row>
    <row r="12" spans="2:4" ht="11.25" customHeight="1">
      <c r="B12" s="32" t="s">
        <v>5144</v>
      </c>
    </row>
    <row r="13" spans="2:4" ht="22.5" customHeight="1">
      <c r="B13" s="33" t="s">
        <v>5145</v>
      </c>
    </row>
    <row r="14" spans="2:4" ht="67.5" customHeight="1">
      <c r="B14" s="33" t="s">
        <v>5146</v>
      </c>
    </row>
    <row r="15" spans="2:4" ht="22.5" customHeight="1">
      <c r="B15" s="33" t="s">
        <v>5147</v>
      </c>
    </row>
    <row r="16" spans="2:4" ht="11.25" customHeight="1">
      <c r="B16" s="32" t="s">
        <v>5148</v>
      </c>
      <c r="D16" s="39"/>
    </row>
    <row r="17" spans="1:2" ht="33.75" customHeight="1">
      <c r="B17" s="33" t="s">
        <v>5149</v>
      </c>
    </row>
    <row r="18" spans="1:2" ht="33.75" customHeight="1">
      <c r="B18" s="33" t="s">
        <v>5150</v>
      </c>
    </row>
    <row r="19" spans="1:2" ht="11.25" customHeight="1">
      <c r="B19" s="33" t="s">
        <v>5151</v>
      </c>
    </row>
    <row r="20" spans="1:2" ht="33.75" customHeight="1">
      <c r="B20" s="33" t="s">
        <v>5152</v>
      </c>
    </row>
    <row r="21" spans="1:2" ht="11.25" customHeight="1">
      <c r="B21" s="32" t="s">
        <v>5153</v>
      </c>
    </row>
    <row r="22" spans="1:2" ht="11.25" customHeight="1">
      <c r="B22" s="33" t="s">
        <v>5154</v>
      </c>
    </row>
    <row r="24" spans="1:2" ht="22.5" customHeight="1">
      <c r="B24" s="96" t="s">
        <v>5155</v>
      </c>
    </row>
    <row r="26" spans="1:2" ht="11.25" customHeight="1">
      <c r="B26" s="32" t="s">
        <v>5156</v>
      </c>
    </row>
    <row r="27" spans="1:2" ht="22.5" customHeight="1">
      <c r="B27" s="95" t="s">
        <v>441</v>
      </c>
    </row>
    <row r="28" spans="1:2" ht="56.25" customHeight="1">
      <c r="B28" s="95" t="s">
        <v>5157</v>
      </c>
    </row>
    <row r="29" spans="1:2" ht="11.25" customHeight="1">
      <c r="B29" s="145" t="s">
        <v>5158</v>
      </c>
    </row>
    <row r="30" spans="1:2" ht="22.5" customHeight="1">
      <c r="B30" s="95" t="s">
        <v>5159</v>
      </c>
    </row>
    <row r="32" spans="1:2" ht="11.25" customHeight="1">
      <c r="A32" s="123"/>
      <c r="B32" s="124" t="s">
        <v>5160</v>
      </c>
    </row>
    <row r="33" spans="1:2" ht="14.25" customHeight="1">
      <c r="A33" s="125">
        <v>1</v>
      </c>
      <c r="B33" s="126" t="s">
        <v>5161</v>
      </c>
    </row>
    <row r="34" spans="1:2" ht="14.25" customHeight="1">
      <c r="A34" s="125">
        <v>2</v>
      </c>
      <c r="B34" s="126" t="s">
        <v>5162</v>
      </c>
    </row>
    <row r="35" spans="1:2" ht="11.25" customHeight="1">
      <c r="B35" s="124" t="s">
        <v>5163</v>
      </c>
    </row>
    <row r="36" spans="1:2" ht="11.25" customHeight="1">
      <c r="B36" s="126" t="s">
        <v>5164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4" hidden="1" customWidth="1"/>
    <col min="2" max="3" width="9.140625" style="1557" hidden="1" customWidth="1"/>
    <col min="4" max="4" width="3" style="1731" customWidth="1"/>
    <col min="5" max="5" width="6" style="1557" customWidth="1"/>
    <col min="6" max="6" width="1.7109375" style="1557" hidden="1" customWidth="1"/>
    <col min="7" max="8" width="30" style="1557" customWidth="1"/>
    <col min="9" max="9" width="8" style="1557" customWidth="1"/>
    <col min="10" max="10" width="12.140625" style="1557" customWidth="1"/>
    <col min="11" max="11" width="46" style="1557" customWidth="1"/>
    <col min="12" max="12" width="100" style="1557" customWidth="1"/>
    <col min="13" max="13" width="7" style="1711" customWidth="1"/>
    <col min="14" max="22" width="10" style="1557" customWidth="1"/>
    <col min="23" max="23" width="10.5703125" style="1557" hidden="1"/>
  </cols>
  <sheetData>
    <row r="1" spans="1:23" s="1564" customFormat="1" ht="5.25" hidden="1" customHeight="1">
      <c r="C1" s="445"/>
      <c r="D1" s="428"/>
      <c r="F1" s="445"/>
      <c r="G1" s="423" t="s">
        <v>71</v>
      </c>
      <c r="H1" s="423" t="s">
        <v>72</v>
      </c>
      <c r="I1" s="423" t="s">
        <v>73</v>
      </c>
      <c r="P1" s="423" t="s">
        <v>71</v>
      </c>
      <c r="Q1" s="423" t="s">
        <v>72</v>
      </c>
      <c r="R1" s="423" t="s">
        <v>73</v>
      </c>
      <c r="W1" s="423" t="s">
        <v>1</v>
      </c>
    </row>
    <row r="2" spans="1:23" s="1564" customFormat="1" ht="5.25" hidden="1" customHeight="1">
      <c r="C2" s="445"/>
      <c r="D2" s="428"/>
      <c r="F2" s="445"/>
      <c r="W2" s="423">
        <v>0</v>
      </c>
    </row>
    <row r="3" spans="1:23" s="1534" customFormat="1" ht="5.25" customHeight="1">
      <c r="A3" s="413"/>
      <c r="D3" s="420"/>
      <c r="E3" s="415"/>
      <c r="F3" s="415"/>
      <c r="G3" s="415"/>
      <c r="H3" s="415"/>
      <c r="I3" s="416"/>
      <c r="J3" s="417"/>
      <c r="K3" s="417"/>
      <c r="L3" s="417"/>
      <c r="W3" s="414">
        <v>5</v>
      </c>
    </row>
    <row r="4" spans="1:23" ht="23.25" customHeight="1">
      <c r="D4" s="384"/>
      <c r="E4" s="3611" t="s">
        <v>433</v>
      </c>
      <c r="F4" s="3611"/>
      <c r="G4" s="3612"/>
      <c r="H4" s="3612"/>
      <c r="I4" s="3613"/>
      <c r="J4" s="425"/>
      <c r="K4" s="387"/>
      <c r="L4" s="387"/>
      <c r="W4" s="381">
        <v>22</v>
      </c>
    </row>
    <row r="5" spans="1:23" s="1557" customFormat="1" ht="18" customHeight="1">
      <c r="A5" s="691"/>
      <c r="D5" s="750"/>
      <c r="E5" s="3702" t="str">
        <f>IF(org=0,"Не определено",org)</f>
        <v>ООО "Смоленскрегионтеплоэнерго"</v>
      </c>
      <c r="F5" s="3702"/>
      <c r="G5" s="3703"/>
      <c r="H5" s="3703"/>
      <c r="I5" s="3704"/>
      <c r="J5" s="425"/>
      <c r="K5" s="387"/>
      <c r="L5" s="387"/>
      <c r="M5" s="441"/>
      <c r="W5" s="690">
        <v>17</v>
      </c>
    </row>
    <row r="6" spans="1:23" s="1534" customFormat="1" ht="11.45" customHeight="1">
      <c r="A6" s="413"/>
      <c r="D6" s="420"/>
      <c r="E6" s="415"/>
      <c r="F6" s="415"/>
      <c r="G6" s="418"/>
      <c r="H6" s="418"/>
      <c r="I6" s="419"/>
      <c r="J6" s="419"/>
      <c r="K6" s="686"/>
      <c r="L6" s="419"/>
      <c r="W6" s="414">
        <v>11</v>
      </c>
    </row>
    <row r="7" spans="1:23" ht="14.65" customHeight="1">
      <c r="D7" s="384"/>
      <c r="E7" s="3696" t="s">
        <v>345</v>
      </c>
      <c r="F7" s="3696"/>
      <c r="G7" s="3697"/>
      <c r="H7" s="3697"/>
      <c r="I7" s="3697"/>
      <c r="J7" s="3697"/>
      <c r="K7" s="3697"/>
      <c r="L7" s="3646" t="s">
        <v>346</v>
      </c>
      <c r="W7" s="381">
        <v>14</v>
      </c>
    </row>
    <row r="8" spans="1:23" ht="48.2" customHeight="1">
      <c r="D8" s="384"/>
      <c r="E8" s="407" t="s">
        <v>76</v>
      </c>
      <c r="F8" s="751"/>
      <c r="G8" s="399" t="s">
        <v>74</v>
      </c>
      <c r="H8" s="399" t="s">
        <v>75</v>
      </c>
      <c r="I8" s="348" t="s">
        <v>73</v>
      </c>
      <c r="J8" s="348" t="s">
        <v>434</v>
      </c>
      <c r="K8" s="348" t="s">
        <v>435</v>
      </c>
      <c r="L8" s="3646"/>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3708" t="s">
        <v>436</v>
      </c>
      <c r="M10" s="441"/>
      <c r="N10" s="439"/>
      <c r="O10" s="439"/>
      <c r="P10" s="439"/>
      <c r="Q10" s="439"/>
      <c r="R10" s="439"/>
      <c r="S10" s="439"/>
      <c r="T10" s="439"/>
      <c r="U10" s="439"/>
      <c r="V10" s="439"/>
      <c r="W10" s="381">
        <v>0</v>
      </c>
    </row>
    <row r="11" spans="1:23" ht="15" hidden="1" customHeight="1">
      <c r="A11" s="3592"/>
      <c r="B11" s="438"/>
      <c r="C11" s="438"/>
      <c r="D11" s="793"/>
      <c r="E11" s="447"/>
      <c r="F11" s="447"/>
      <c r="G11" s="447"/>
      <c r="H11" s="447"/>
      <c r="I11" s="448"/>
      <c r="J11" s="449"/>
      <c r="K11" s="647"/>
      <c r="L11" s="3722"/>
      <c r="M11" s="445"/>
      <c r="N11" s="445"/>
      <c r="O11" s="445"/>
      <c r="P11" s="450"/>
      <c r="Q11" s="450"/>
      <c r="R11" s="451"/>
      <c r="S11" s="445"/>
      <c r="T11" s="445"/>
      <c r="U11" s="445"/>
      <c r="V11" s="445"/>
      <c r="W11" s="381">
        <v>0</v>
      </c>
    </row>
    <row r="12" spans="1:23" s="1534" customFormat="1" ht="15" customHeight="1">
      <c r="A12" s="3592"/>
      <c r="B12" s="438"/>
      <c r="C12" s="438"/>
      <c r="D12" s="794"/>
      <c r="E12" s="751">
        <v>1</v>
      </c>
      <c r="F12" s="792">
        <v>23</v>
      </c>
      <c r="G12" s="791"/>
      <c r="H12" s="721"/>
      <c r="I12" s="719"/>
      <c r="J12" s="454" t="s">
        <v>50</v>
      </c>
      <c r="K12" s="1086" t="s">
        <v>9</v>
      </c>
      <c r="L12" s="3722"/>
      <c r="M12" s="445"/>
      <c r="N12" s="445"/>
      <c r="O12" s="445"/>
      <c r="P12" s="450" t="s">
        <v>437</v>
      </c>
      <c r="Q12" s="450" t="s">
        <v>438</v>
      </c>
      <c r="R12" s="451" t="s">
        <v>439</v>
      </c>
      <c r="S12" s="445" t="s">
        <v>440</v>
      </c>
      <c r="T12" s="445"/>
      <c r="U12" s="445"/>
      <c r="V12" s="445"/>
      <c r="W12" s="414">
        <v>14</v>
      </c>
    </row>
    <row r="13" spans="1:23" ht="15.75" customHeight="1">
      <c r="A13" s="3592"/>
      <c r="B13" s="439"/>
      <c r="D13" s="440"/>
      <c r="E13" s="339"/>
      <c r="F13" s="463"/>
      <c r="G13" s="350" t="s">
        <v>157</v>
      </c>
      <c r="H13" s="338"/>
      <c r="I13" s="338"/>
      <c r="J13" s="338"/>
      <c r="K13" s="337"/>
      <c r="L13" s="3709"/>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70</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2243</vt:i4>
      </vt:variant>
    </vt:vector>
  </HeadingPairs>
  <TitlesOfParts>
    <vt:vector size="2330"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IP_DETAILED_ip_5111</vt:lpstr>
      <vt:lpstr>IP_DETAILED_ip_51111</vt:lpstr>
      <vt:lpstr>IP_DETAILED_ip_511111</vt:lpstr>
      <vt:lpstr>IP_DETAILED_ip_5111111</vt:lpstr>
      <vt:lpstr>IP_DETAILED_ip_51111111</vt:lpstr>
      <vt:lpstr>IP_DETAILED_ip_511111111</vt:lpstr>
      <vt:lpstr>IP_DETAILED_ip_5111111111</vt:lpstr>
      <vt:lpstr>IP_DETAILED_ip_51111111111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IP_FIN_PLAN_ip_5111</vt:lpstr>
      <vt:lpstr>IP_FIN_PLAN_ip_51111</vt:lpstr>
      <vt:lpstr>IP_FIN_PLAN_ip_511111</vt:lpstr>
      <vt:lpstr>IP_FIN_PLAN_ip_5111111</vt:lpstr>
      <vt:lpstr>IP_FIN_PLAN_ip_51111111</vt:lpstr>
      <vt:lpstr>IP_FIN_PLAN_ip_511111111</vt:lpstr>
      <vt:lpstr>IP_FIN_PLAN_ip_5111111111</vt:lpstr>
      <vt:lpstr>IP_FIN_PLAN_ip_51111111111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IP_MAIN_ip_5111</vt:lpstr>
      <vt:lpstr>IP_MAIN_ip_51111</vt:lpstr>
      <vt:lpstr>IP_MAIN_ip_511111</vt:lpstr>
      <vt:lpstr>IP_MAIN_ip_5111111</vt:lpstr>
      <vt:lpstr>IP_MAIN_ip_51111111</vt:lpstr>
      <vt:lpstr>IP_MAIN_ip_511111111</vt:lpstr>
      <vt:lpstr>IP_MAIN_ip_5111111111</vt:lpstr>
      <vt:lpstr>IP_MAIN_ip_51111111111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IP_QRE_ip_5111</vt:lpstr>
      <vt:lpstr>IP_QRE_ip_51111</vt:lpstr>
      <vt:lpstr>IP_QRE_ip_511111</vt:lpstr>
      <vt:lpstr>IP_QRE_ip_5111111</vt:lpstr>
      <vt:lpstr>IP_QRE_ip_51111111</vt:lpstr>
      <vt:lpstr>IP_QRE_ip_511111111</vt:lpstr>
      <vt:lpstr>IP_QRE_ip_5111111111</vt:lpstr>
      <vt:lpstr>IP_QRE_ip_51111111111</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Скалунов Сергей Николаевич</cp:lastModifiedBy>
  <cp:lastPrinted>2013-08-29T08:11:20Z</cp:lastPrinted>
  <dcterms:created xsi:type="dcterms:W3CDTF">2004-05-21T07:18:45Z</dcterms:created>
  <dcterms:modified xsi:type="dcterms:W3CDTF">2026-05-15T11:51:22Z</dcterms:modified>
</cp:coreProperties>
</file>